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Mac\Home\Desktop\Masterarbeit\Dokument\Datenauswertung\Modell und Szenarien\"/>
    </mc:Choice>
  </mc:AlternateContent>
  <xr:revisionPtr revIDLastSave="0" documentId="13_ncr:1_{EA68C051-CA2D-4CC8-9696-86ABA43020F3}" xr6:coauthVersionLast="47" xr6:coauthVersionMax="47" xr10:uidLastSave="{00000000-0000-0000-0000-000000000000}"/>
  <bookViews>
    <workbookView xWindow="-98" yWindow="-98" windowWidth="22875" windowHeight="13650" firstSheet="21" activeTab="23" xr2:uid="{00000000-000D-0000-FFFF-FFFF00000000}"/>
  </bookViews>
  <sheets>
    <sheet name="Rohdaten" sheetId="4" r:id="rId1"/>
    <sheet name="Modell PHOS4green-Verfahren" sheetId="48" r:id="rId2"/>
    <sheet name="P-Ex(Szenario 1 EB.1)" sheetId="17" state="hidden" r:id="rId3"/>
    <sheet name="P-Ex(Szenario 2 EB.2 mit F)" sheetId="35" state="hidden" r:id="rId4"/>
    <sheet name="P-Ex(Szenario 13 EB.2 Cd10%)" sheetId="46" state="hidden" r:id="rId5"/>
    <sheet name="P-Ex(Szenario 14 EB.2 Cd85%)" sheetId="44" state="hidden" r:id="rId6"/>
    <sheet name="P-Ex(Szenario 3 EB.2 ohne F)" sheetId="36" state="hidden" r:id="rId7"/>
    <sheet name="Modell Phosphorextraktion" sheetId="1" r:id="rId8"/>
    <sheet name="P-Ex(Sze.1 SEFoV mit F)" sheetId="37" r:id="rId9"/>
    <sheet name="P-Ex(Sze.1 SEFoV mit F HS)" sheetId="50" r:id="rId10"/>
    <sheet name="P-Ex(Sze.2 SEFoV ohne F)" sheetId="51" r:id="rId11"/>
    <sheet name="P-Ex(Sze.2 SEFoV ohne F HS)" sheetId="57" r:id="rId12"/>
    <sheet name="P-Ex(Sze.3 SEFmV mit F)" sheetId="25" r:id="rId13"/>
    <sheet name="P-Ex(Szenario 6 EB.3 k CuZn)" sheetId="38" state="hidden" r:id="rId14"/>
    <sheet name="P-Ex(Szenario 7 EB.3 nk CuZn)" sheetId="39" state="hidden" r:id="rId15"/>
    <sheet name="P-Ex(Sze.3 SEFmV mit F HS)" sheetId="54" r:id="rId16"/>
    <sheet name="SM-Ex(Szenario 8 EB.4)" sheetId="13" state="hidden" r:id="rId17"/>
    <sheet name="Modell Schwermetallextraktion" sheetId="2" r:id="rId18"/>
    <sheet name="SM-Ex(Sze.4 SEFoV)" sheetId="40" r:id="rId19"/>
    <sheet name="SM-Ex(Sze.4 SEFoV HS)" sheetId="55" r:id="rId20"/>
    <sheet name="SM-Ex(Sze.5 SEFmV)" sheetId="30" r:id="rId21"/>
    <sheet name="SM-Ex(Sze.5 SEFmV HS)" sheetId="56" r:id="rId22"/>
    <sheet name="Sensitivitätsanalyse Solbo" sheetId="58" r:id="rId23"/>
    <sheet name="Sensitivität Analyse OAT" sheetId="65" r:id="rId24"/>
    <sheet name="SM-Ex(Szenario 11 EB.5 k CuZn)" sheetId="45" state="hidden" r:id="rId25"/>
    <sheet name="SM-Ex(Szenario12 EB.5 nk CuZn)" sheetId="42" state="hidden" r:id="rId26"/>
  </sheets>
  <externalReferences>
    <externalReference r:id="rId27"/>
    <externalReference r:id="rId28"/>
  </externalReferences>
  <definedNames>
    <definedName name="FeP" localSheetId="1">'Modell PHOS4green-Verfahren'!#REF!</definedName>
    <definedName name="FeP" localSheetId="9">'P-Ex(Sze.1 SEFoV mit F HS)'!$B$278</definedName>
    <definedName name="FeP" localSheetId="8">'P-Ex(Sze.1 SEFoV mit F)'!$B$235</definedName>
    <definedName name="FeP" localSheetId="11">'P-Ex(Sze.2 SEFoV ohne F HS)'!$B$241</definedName>
    <definedName name="FeP" localSheetId="10">'P-Ex(Sze.2 SEFoV ohne F)'!$B$231</definedName>
    <definedName name="FeP" localSheetId="15">'P-Ex(Sze.3 SEFmV mit F HS)'!$B$222</definedName>
    <definedName name="FeP" localSheetId="12">'P-Ex(Sze.3 SEFmV mit F)'!$B$216</definedName>
    <definedName name="FeP" localSheetId="2">'P-Ex(Szenario 1 EB.1)'!$B$315</definedName>
    <definedName name="FeP" localSheetId="4">'P-Ex(Szenario 13 EB.2 Cd10%)'!$B$315</definedName>
    <definedName name="FeP" localSheetId="5">'P-Ex(Szenario 14 EB.2 Cd85%)'!$B$315</definedName>
    <definedName name="FeP" localSheetId="3">'P-Ex(Szenario 2 EB.2 mit F)'!$B$315</definedName>
    <definedName name="FeP" localSheetId="6">'P-Ex(Szenario 3 EB.2 ohne F)'!$B$315</definedName>
    <definedName name="FeP" localSheetId="13">'P-Ex(Szenario 6 EB.3 k CuZn)'!$B$315</definedName>
    <definedName name="FeP" localSheetId="14">'P-Ex(Szenario 7 EB.3 nk CuZn)'!$B$315</definedName>
    <definedName name="FeP" localSheetId="19">'SM-Ex(Sze.4 SEFoV HS)'!$B$111</definedName>
    <definedName name="FeP" localSheetId="18">'SM-Ex(Sze.4 SEFoV)'!$B$107</definedName>
    <definedName name="FeP" localSheetId="21">'SM-Ex(Sze.5 SEFmV HS)'!$B$108</definedName>
    <definedName name="FeP" localSheetId="20">'SM-Ex(Sze.5 SEFmV)'!$B$104</definedName>
    <definedName name="FeP" localSheetId="24">'SM-Ex(Szenario 11 EB.5 k CuZn)'!$B$149</definedName>
    <definedName name="FeP" localSheetId="16">'SM-Ex(Szenario 8 EB.4)'!$B$149</definedName>
    <definedName name="FeP" localSheetId="25">'SM-Ex(Szenario12 EB.5 nk CuZn)'!$B$146</definedName>
    <definedName name="FeP">#REF!</definedName>
    <definedName name="FePh" localSheetId="19">'SM-Ex(Sze.4 SEFoV HS)'!$B$327</definedName>
    <definedName name="FePh" localSheetId="18">'SM-Ex(Sze.4 SEFoV)'!$B$292</definedName>
    <definedName name="FePh" localSheetId="21">'SM-Ex(Sze.5 SEFmV HS)'!$B$369</definedName>
    <definedName name="FePh" localSheetId="20">'SM-Ex(Sze.5 SEFmV)'!$B$289</definedName>
    <definedName name="FePh" localSheetId="24">'SM-Ex(Szenario 11 EB.5 k CuZn)'!$B$379</definedName>
    <definedName name="FePh" localSheetId="16">'SM-Ex(Szenario 8 EB.4)'!$B$377</definedName>
    <definedName name="FePh" localSheetId="25">'SM-Ex(Szenario12 EB.5 nk CuZn)'!$B$376</definedName>
    <definedName name="FK" localSheetId="1">'Modell PHOS4green-Verfahren'!#REF!</definedName>
    <definedName name="FK" localSheetId="9">'P-Ex(Sze.1 SEFoV mit F HS)'!$B$113</definedName>
    <definedName name="FK" localSheetId="8">'P-Ex(Sze.1 SEFoV mit F)'!$B$110</definedName>
    <definedName name="FK" localSheetId="11">'P-Ex(Sze.2 SEFoV ohne F HS)'!$B$113</definedName>
    <definedName name="FK" localSheetId="10">'P-Ex(Sze.2 SEFoV ohne F)'!$B$125</definedName>
    <definedName name="FK" localSheetId="15">'P-Ex(Sze.3 SEFmV mit F HS)'!$B$113</definedName>
    <definedName name="FK" localSheetId="12">'P-Ex(Sze.3 SEFmV mit F)'!$B$110</definedName>
    <definedName name="FK" localSheetId="4">'P-Ex(Szenario 13 EB.2 Cd10%)'!$B$151</definedName>
    <definedName name="FK" localSheetId="5">'P-Ex(Szenario 14 EB.2 Cd85%)'!$B$151</definedName>
    <definedName name="FK" localSheetId="3">'P-Ex(Szenario 2 EB.2 mit F)'!$B$151</definedName>
    <definedName name="FK" localSheetId="6">'P-Ex(Szenario 3 EB.2 ohne F)'!$B$151</definedName>
    <definedName name="FK" localSheetId="13">'P-Ex(Szenario 6 EB.3 k CuZn)'!$B$151</definedName>
    <definedName name="FK" localSheetId="14">'P-Ex(Szenario 7 EB.3 nk CuZn)'!$B$151</definedName>
    <definedName name="FK" localSheetId="19">'SM-Ex(Sze.4 SEFoV HS)'!$B$233</definedName>
    <definedName name="FK" localSheetId="18">'SM-Ex(Sze.4 SEFoV)'!$B$198</definedName>
    <definedName name="FK" localSheetId="21">'SM-Ex(Sze.5 SEFmV HS)'!$B$258</definedName>
    <definedName name="FK" localSheetId="20">'SM-Ex(Sze.5 SEFmV)'!$B$195</definedName>
    <definedName name="FK" localSheetId="24">'SM-Ex(Szenario 11 EB.5 k CuZn)'!$B$268</definedName>
    <definedName name="FK" localSheetId="16">'SM-Ex(Szenario 8 EB.4)'!$B$268</definedName>
    <definedName name="FK" localSheetId="25">'SM-Ex(Szenario12 EB.5 nk CuZn)'!$B$265</definedName>
    <definedName name="FK">'P-Ex(Szenario 1 EB.1)'!$B$151</definedName>
    <definedName name="FlP" localSheetId="1">'Modell PHOS4green-Verfahren'!#REF!</definedName>
    <definedName name="FlP" localSheetId="9">'P-Ex(Sze.1 SEFoV mit F HS)'!$A$278</definedName>
    <definedName name="FlP" localSheetId="8">'P-Ex(Sze.1 SEFoV mit F)'!$A$235</definedName>
    <definedName name="FlP" localSheetId="11">'P-Ex(Sze.2 SEFoV ohne F HS)'!$A$241</definedName>
    <definedName name="FlP" localSheetId="10">'P-Ex(Sze.2 SEFoV ohne F)'!$A$231</definedName>
    <definedName name="FlP" localSheetId="15">'P-Ex(Sze.3 SEFmV mit F HS)'!$A$222</definedName>
    <definedName name="FlP" localSheetId="12">'P-Ex(Sze.3 SEFmV mit F)'!$A$216</definedName>
    <definedName name="FlP" localSheetId="2">'P-Ex(Szenario 1 EB.1)'!$A$315</definedName>
    <definedName name="FlP" localSheetId="4">'P-Ex(Szenario 13 EB.2 Cd10%)'!$A$315</definedName>
    <definedName name="FlP" localSheetId="5">'P-Ex(Szenario 14 EB.2 Cd85%)'!$A$315</definedName>
    <definedName name="FlP" localSheetId="3">'P-Ex(Szenario 2 EB.2 mit F)'!$A$315</definedName>
    <definedName name="FlP" localSheetId="6">'P-Ex(Szenario 3 EB.2 ohne F)'!$A$315</definedName>
    <definedName name="FlP" localSheetId="13">'P-Ex(Szenario 6 EB.3 k CuZn)'!$A$315</definedName>
    <definedName name="FlP" localSheetId="14">'P-Ex(Szenario 7 EB.3 nk CuZn)'!$A$315</definedName>
    <definedName name="FlP" localSheetId="19">'SM-Ex(Sze.4 SEFoV HS)'!$A$111</definedName>
    <definedName name="FlP" localSheetId="18">'SM-Ex(Sze.4 SEFoV)'!$A$107</definedName>
    <definedName name="FlP" localSheetId="21">'SM-Ex(Sze.5 SEFmV HS)'!$A$108</definedName>
    <definedName name="FlP" localSheetId="20">'SM-Ex(Sze.5 SEFmV)'!$A$104</definedName>
    <definedName name="FlP" localSheetId="24">'SM-Ex(Szenario 11 EB.5 k CuZn)'!$A$149</definedName>
    <definedName name="FlP" localSheetId="16">'SM-Ex(Szenario 8 EB.4)'!$A$149</definedName>
    <definedName name="FlP" localSheetId="25">'SM-Ex(Szenario12 EB.5 nk CuZn)'!$A$146</definedName>
    <definedName name="FlP">#REF!</definedName>
    <definedName name="FlPh" localSheetId="19">'SM-Ex(Sze.4 SEFoV HS)'!$A$327</definedName>
    <definedName name="FlPh" localSheetId="18">'SM-Ex(Sze.4 SEFoV)'!$A$292</definedName>
    <definedName name="FlPh" localSheetId="21">'SM-Ex(Sze.5 SEFmV HS)'!$A$369</definedName>
    <definedName name="FlPh" localSheetId="20">'SM-Ex(Sze.5 SEFmV)'!$A$289</definedName>
    <definedName name="FlPh" localSheetId="24">'SM-Ex(Szenario 11 EB.5 k CuZn)'!$A$379</definedName>
    <definedName name="FlPh" localSheetId="16">'SM-Ex(Szenario 8 EB.4)'!$A$377</definedName>
    <definedName name="FlPh" localSheetId="25">'SM-Ex(Szenario12 EB.5 nk CuZn)'!$A$376</definedName>
    <definedName name="FrAl" localSheetId="1">'Modell PHOS4green-Verfahren'!#REF!</definedName>
    <definedName name="FrAl" localSheetId="9">'P-Ex(Sze.1 SEFoV mit F HS)'!$B$143</definedName>
    <definedName name="FrAl" localSheetId="8">'P-Ex(Sze.1 SEFoV mit F)'!$B$159</definedName>
    <definedName name="FrAl" localSheetId="11">'P-Ex(Sze.2 SEFoV ohne F HS)'!$B$162</definedName>
    <definedName name="FrAl" localSheetId="10">'P-Ex(Sze.2 SEFoV ohne F)'!$B$155</definedName>
    <definedName name="FrAl" localSheetId="15">'P-Ex(Sze.3 SEFmV mit F HS)'!$B$143</definedName>
    <definedName name="FrAl" localSheetId="12">'P-Ex(Sze.3 SEFmV mit F)'!$B$140</definedName>
    <definedName name="FrAl" localSheetId="2">'P-Ex(Szenario 1 EB.1)'!$B$216</definedName>
    <definedName name="FrAl" localSheetId="4">'P-Ex(Szenario 13 EB.2 Cd10%)'!$B$216</definedName>
    <definedName name="FrAl" localSheetId="5">'P-Ex(Szenario 14 EB.2 Cd85%)'!$B$216</definedName>
    <definedName name="FrAl" localSheetId="3">'P-Ex(Szenario 2 EB.2 mit F)'!$B$216</definedName>
    <definedName name="FrAl" localSheetId="6">'P-Ex(Szenario 3 EB.2 ohne F)'!$B$216</definedName>
    <definedName name="FrAl" localSheetId="13">'P-Ex(Szenario 6 EB.3 k CuZn)'!$B$216</definedName>
    <definedName name="FrAl" localSheetId="14">'P-Ex(Szenario 7 EB.3 nk CuZn)'!$B$216</definedName>
    <definedName name="FrAl" localSheetId="19">'SM-Ex(Sze.4 SEFoV HS)'!$B$263</definedName>
    <definedName name="FrAl" localSheetId="18">'SM-Ex(Sze.4 SEFoV)'!$B$228</definedName>
    <definedName name="FrAl" localSheetId="21">'SM-Ex(Sze.5 SEFmV HS)'!$B$305</definedName>
    <definedName name="FrAl" localSheetId="20">'SM-Ex(Sze.5 SEFmV)'!$B$225</definedName>
    <definedName name="FrAl" localSheetId="24">'SM-Ex(Szenario 11 EB.5 k CuZn)'!$B$315</definedName>
    <definedName name="FrAl" localSheetId="16">'SM-Ex(Szenario 8 EB.4)'!$B$315</definedName>
    <definedName name="FrAl" localSheetId="25">'SM-Ex(Szenario12 EB.5 nk CuZn)'!$B$312</definedName>
    <definedName name="FrAl">#REF!</definedName>
    <definedName name="FrAs" localSheetId="1">'Modell PHOS4green-Verfahren'!#REF!</definedName>
    <definedName name="FrAs" localSheetId="9">'P-Ex(Sze.1 SEFoV mit F HS)'!$B$144</definedName>
    <definedName name="FrAs" localSheetId="8">'P-Ex(Sze.1 SEFoV mit F)'!$B$160</definedName>
    <definedName name="FrAs" localSheetId="11">'P-Ex(Sze.2 SEFoV ohne F HS)'!$B$163</definedName>
    <definedName name="FrAs" localSheetId="10">'P-Ex(Sze.2 SEFoV ohne F)'!$B$156</definedName>
    <definedName name="FrAs" localSheetId="15">'P-Ex(Sze.3 SEFmV mit F HS)'!$B$144</definedName>
    <definedName name="FrAs" localSheetId="12">'P-Ex(Sze.3 SEFmV mit F)'!$B$141</definedName>
    <definedName name="FrAs" localSheetId="2">'P-Ex(Szenario 1 EB.1)'!$B$217</definedName>
    <definedName name="FrAs" localSheetId="4">'P-Ex(Szenario 13 EB.2 Cd10%)'!$B$217</definedName>
    <definedName name="FrAs" localSheetId="5">'P-Ex(Szenario 14 EB.2 Cd85%)'!$B$217</definedName>
    <definedName name="FrAs" localSheetId="3">'P-Ex(Szenario 2 EB.2 mit F)'!$B$217</definedName>
    <definedName name="FrAs" localSheetId="6">'P-Ex(Szenario 3 EB.2 ohne F)'!$B$217</definedName>
    <definedName name="FrAs" localSheetId="13">'P-Ex(Szenario 6 EB.3 k CuZn)'!$B$217</definedName>
    <definedName name="FrAs" localSheetId="14">'P-Ex(Szenario 7 EB.3 nk CuZn)'!$B$217</definedName>
    <definedName name="FrAs" localSheetId="19">'SM-Ex(Sze.4 SEFoV HS)'!$B$264</definedName>
    <definedName name="FrAs" localSheetId="18">'SM-Ex(Sze.4 SEFoV)'!$B$229</definedName>
    <definedName name="FrAs" localSheetId="21">'SM-Ex(Sze.5 SEFmV HS)'!$B$306</definedName>
    <definedName name="FrAs" localSheetId="20">'SM-Ex(Sze.5 SEFmV)'!$B$226</definedName>
    <definedName name="FrAs" localSheetId="24">'SM-Ex(Szenario 11 EB.5 k CuZn)'!$B$316</definedName>
    <definedName name="FrAs" localSheetId="16">'SM-Ex(Szenario 8 EB.4)'!$B$316</definedName>
    <definedName name="FrAs" localSheetId="25">'SM-Ex(Szenario12 EB.5 nk CuZn)'!$B$313</definedName>
    <definedName name="FrAs">#REF!</definedName>
    <definedName name="FrCu" localSheetId="1">'Modell PHOS4green-Verfahren'!#REF!</definedName>
    <definedName name="FrCu" localSheetId="9">'P-Ex(Sze.1 SEFoV mit F HS)'!$B$146</definedName>
    <definedName name="FrCu" localSheetId="8">'P-Ex(Sze.1 SEFoV mit F)'!$B$162</definedName>
    <definedName name="FrCu" localSheetId="11">'P-Ex(Sze.2 SEFoV ohne F HS)'!$B$165</definedName>
    <definedName name="FrCu" localSheetId="10">'P-Ex(Sze.2 SEFoV ohne F)'!$B$158</definedName>
    <definedName name="FrCu" localSheetId="15">'P-Ex(Sze.3 SEFmV mit F HS)'!$B$146</definedName>
    <definedName name="FrCu" localSheetId="12">'P-Ex(Sze.3 SEFmV mit F)'!$B$143</definedName>
    <definedName name="FrCu" localSheetId="2">'P-Ex(Szenario 1 EB.1)'!$B$219</definedName>
    <definedName name="FrCu" localSheetId="4">'P-Ex(Szenario 13 EB.2 Cd10%)'!$B$219</definedName>
    <definedName name="FrCu" localSheetId="5">'P-Ex(Szenario 14 EB.2 Cd85%)'!$B$219</definedName>
    <definedName name="FrCu" localSheetId="3">'P-Ex(Szenario 2 EB.2 mit F)'!$B$219</definedName>
    <definedName name="FrCu" localSheetId="6">'P-Ex(Szenario 3 EB.2 ohne F)'!$B$219</definedName>
    <definedName name="FrCu" localSheetId="13">'P-Ex(Szenario 6 EB.3 k CuZn)'!$B$219</definedName>
    <definedName name="FrCu" localSheetId="14">'P-Ex(Szenario 7 EB.3 nk CuZn)'!$B$219</definedName>
    <definedName name="FrCu" localSheetId="19">'SM-Ex(Sze.4 SEFoV HS)'!$B$266</definedName>
    <definedName name="FrCu" localSheetId="18">'SM-Ex(Sze.4 SEFoV)'!$B$231</definedName>
    <definedName name="FrCu" localSheetId="21">'SM-Ex(Sze.5 SEFmV HS)'!$B$308</definedName>
    <definedName name="FrCu" localSheetId="20">'SM-Ex(Sze.5 SEFmV)'!$B$228</definedName>
    <definedName name="FrCu" localSheetId="24">'SM-Ex(Szenario 11 EB.5 k CuZn)'!$B$318</definedName>
    <definedName name="FrCu" localSheetId="16">'SM-Ex(Szenario 8 EB.4)'!$B$318</definedName>
    <definedName name="FrCu" localSheetId="25">'SM-Ex(Szenario12 EB.5 nk CuZn)'!$B$315</definedName>
    <definedName name="FrCu">#REF!</definedName>
    <definedName name="FrFe" localSheetId="1">'Modell PHOS4green-Verfahren'!#REF!</definedName>
    <definedName name="FrFe" localSheetId="9">'P-Ex(Sze.1 SEFoV mit F HS)'!$B$147</definedName>
    <definedName name="FrFe" localSheetId="8">'P-Ex(Sze.1 SEFoV mit F)'!$B$163</definedName>
    <definedName name="FrFe" localSheetId="11">'P-Ex(Sze.2 SEFoV ohne F HS)'!$B$166</definedName>
    <definedName name="FrFe" localSheetId="10">'P-Ex(Sze.2 SEFoV ohne F)'!$B$159</definedName>
    <definedName name="FrFe" localSheetId="15">'P-Ex(Sze.3 SEFmV mit F HS)'!$B$147</definedName>
    <definedName name="FrFe" localSheetId="12">'P-Ex(Sze.3 SEFmV mit F)'!$B$144</definedName>
    <definedName name="FrFe" localSheetId="2">'P-Ex(Szenario 1 EB.1)'!$B$220</definedName>
    <definedName name="FrFe" localSheetId="4">'P-Ex(Szenario 13 EB.2 Cd10%)'!$B$220</definedName>
    <definedName name="FrFe" localSheetId="5">'P-Ex(Szenario 14 EB.2 Cd85%)'!$B$220</definedName>
    <definedName name="FrFe" localSheetId="3">'P-Ex(Szenario 2 EB.2 mit F)'!$B$220</definedName>
    <definedName name="FrFe" localSheetId="6">'P-Ex(Szenario 3 EB.2 ohne F)'!$B$220</definedName>
    <definedName name="FrFe" localSheetId="13">'P-Ex(Szenario 6 EB.3 k CuZn)'!$B$220</definedName>
    <definedName name="FrFe" localSheetId="14">'P-Ex(Szenario 7 EB.3 nk CuZn)'!$B$220</definedName>
    <definedName name="FrFe" localSheetId="19">'SM-Ex(Sze.4 SEFoV HS)'!$B$267</definedName>
    <definedName name="FrFe" localSheetId="18">'SM-Ex(Sze.4 SEFoV)'!$B$232</definedName>
    <definedName name="FrFe" localSheetId="21">'SM-Ex(Sze.5 SEFmV HS)'!$B$309</definedName>
    <definedName name="FrFe" localSheetId="20">'SM-Ex(Sze.5 SEFmV)'!$B$229</definedName>
    <definedName name="FrFe" localSheetId="24">'SM-Ex(Szenario 11 EB.5 k CuZn)'!$B$319</definedName>
    <definedName name="FrFe" localSheetId="16">'SM-Ex(Szenario 8 EB.4)'!$B$319</definedName>
    <definedName name="FrFe" localSheetId="25">'SM-Ex(Szenario12 EB.5 nk CuZn)'!$B$316</definedName>
    <definedName name="FrFe">#REF!</definedName>
    <definedName name="FrK" localSheetId="1">'Modell PHOS4green-Verfahren'!#REF!</definedName>
    <definedName name="FrK" localSheetId="9">'P-Ex(Sze.1 SEFoV mit F HS)'!$B$148</definedName>
    <definedName name="FrK" localSheetId="8">'P-Ex(Sze.1 SEFoV mit F)'!$B$164</definedName>
    <definedName name="FrK" localSheetId="11">'P-Ex(Sze.2 SEFoV ohne F HS)'!$B$167</definedName>
    <definedName name="FrK" localSheetId="10">'P-Ex(Sze.2 SEFoV ohne F)'!$B$160</definedName>
    <definedName name="FrK" localSheetId="15">'P-Ex(Sze.3 SEFmV mit F HS)'!$B$148</definedName>
    <definedName name="FrK" localSheetId="12">'P-Ex(Sze.3 SEFmV mit F)'!$B$145</definedName>
    <definedName name="FrK" localSheetId="2">'P-Ex(Szenario 1 EB.1)'!$B$221</definedName>
    <definedName name="FrK" localSheetId="4">'P-Ex(Szenario 13 EB.2 Cd10%)'!$B$221</definedName>
    <definedName name="FrK" localSheetId="5">'P-Ex(Szenario 14 EB.2 Cd85%)'!$B$221</definedName>
    <definedName name="FrK" localSheetId="3">'P-Ex(Szenario 2 EB.2 mit F)'!$B$221</definedName>
    <definedName name="FrK" localSheetId="6">'P-Ex(Szenario 3 EB.2 ohne F)'!$B$221</definedName>
    <definedName name="FrK" localSheetId="13">'P-Ex(Szenario 6 EB.3 k CuZn)'!$B$221</definedName>
    <definedName name="FrK" localSheetId="14">'P-Ex(Szenario 7 EB.3 nk CuZn)'!$B$221</definedName>
    <definedName name="FrK" localSheetId="19">'SM-Ex(Sze.4 SEFoV HS)'!$B$268</definedName>
    <definedName name="FrK" localSheetId="18">'SM-Ex(Sze.4 SEFoV)'!$B$233</definedName>
    <definedName name="FrK" localSheetId="21">'SM-Ex(Sze.5 SEFmV HS)'!$B$310</definedName>
    <definedName name="FrK" localSheetId="20">'SM-Ex(Sze.5 SEFmV)'!$B$230</definedName>
    <definedName name="FrK" localSheetId="24">'SM-Ex(Szenario 11 EB.5 k CuZn)'!$B$320</definedName>
    <definedName name="FrK" localSheetId="16">'SM-Ex(Szenario 8 EB.4)'!$B$320</definedName>
    <definedName name="FrK" localSheetId="25">'SM-Ex(Szenario12 EB.5 nk CuZn)'!$B$317</definedName>
    <definedName name="FrK">#REF!</definedName>
    <definedName name="FrMg" localSheetId="1">'Modell PHOS4green-Verfahren'!#REF!</definedName>
    <definedName name="FrMg" localSheetId="9">'P-Ex(Sze.1 SEFoV mit F HS)'!$B$149</definedName>
    <definedName name="FrMg" localSheetId="8">'P-Ex(Sze.1 SEFoV mit F)'!$B$165</definedName>
    <definedName name="FrMg" localSheetId="11">'P-Ex(Sze.2 SEFoV ohne F HS)'!$B$168</definedName>
    <definedName name="FrMg" localSheetId="10">'P-Ex(Sze.2 SEFoV ohne F)'!$B$161</definedName>
    <definedName name="FrMg" localSheetId="15">'P-Ex(Sze.3 SEFmV mit F HS)'!$B$149</definedName>
    <definedName name="FrMg" localSheetId="12">'P-Ex(Sze.3 SEFmV mit F)'!$B$146</definedName>
    <definedName name="FrMg" localSheetId="2">'P-Ex(Szenario 1 EB.1)'!$B$222</definedName>
    <definedName name="FrMg" localSheetId="4">'P-Ex(Szenario 13 EB.2 Cd10%)'!$B$222</definedName>
    <definedName name="FrMg" localSheetId="5">'P-Ex(Szenario 14 EB.2 Cd85%)'!$B$222</definedName>
    <definedName name="FrMg" localSheetId="3">'P-Ex(Szenario 2 EB.2 mit F)'!$B$222</definedName>
    <definedName name="FrMg" localSheetId="6">'P-Ex(Szenario 3 EB.2 ohne F)'!$B$222</definedName>
    <definedName name="FrMg" localSheetId="13">'P-Ex(Szenario 6 EB.3 k CuZn)'!$B$222</definedName>
    <definedName name="FrMg" localSheetId="14">'P-Ex(Szenario 7 EB.3 nk CuZn)'!$B$222</definedName>
    <definedName name="FrMg" localSheetId="19">'SM-Ex(Sze.4 SEFoV HS)'!$B$269</definedName>
    <definedName name="FrMg" localSheetId="18">'SM-Ex(Sze.4 SEFoV)'!$B$234</definedName>
    <definedName name="FrMg" localSheetId="21">'SM-Ex(Sze.5 SEFmV HS)'!$B$311</definedName>
    <definedName name="FrMg" localSheetId="20">'SM-Ex(Sze.5 SEFmV)'!$B$231</definedName>
    <definedName name="FrMg" localSheetId="24">'SM-Ex(Szenario 11 EB.5 k CuZn)'!$B$321</definedName>
    <definedName name="FrMg" localSheetId="16">'SM-Ex(Szenario 8 EB.4)'!$B$321</definedName>
    <definedName name="FrMg" localSheetId="25">'SM-Ex(Szenario12 EB.5 nk CuZn)'!$B$318</definedName>
    <definedName name="FrMg">#REF!</definedName>
    <definedName name="FrNi" localSheetId="1">'Modell PHOS4green-Verfahren'!#REF!</definedName>
    <definedName name="FrNi" localSheetId="9">'P-Ex(Sze.1 SEFoV mit F HS)'!$B$150</definedName>
    <definedName name="FrNi" localSheetId="8">'P-Ex(Sze.1 SEFoV mit F)'!$B$166</definedName>
    <definedName name="FrNi" localSheetId="11">'P-Ex(Sze.2 SEFoV ohne F HS)'!$B$169</definedName>
    <definedName name="FrNi" localSheetId="10">'P-Ex(Sze.2 SEFoV ohne F)'!$B$162</definedName>
    <definedName name="FrNi" localSheetId="15">'P-Ex(Sze.3 SEFmV mit F HS)'!$B$150</definedName>
    <definedName name="FrNi" localSheetId="12">'P-Ex(Sze.3 SEFmV mit F)'!$B$147</definedName>
    <definedName name="FrNi" localSheetId="2">'P-Ex(Szenario 1 EB.1)'!$B$223</definedName>
    <definedName name="FrNi" localSheetId="4">'P-Ex(Szenario 13 EB.2 Cd10%)'!$B$223</definedName>
    <definedName name="FrNi" localSheetId="5">'P-Ex(Szenario 14 EB.2 Cd85%)'!$B$223</definedName>
    <definedName name="FrNi" localSheetId="3">'P-Ex(Szenario 2 EB.2 mit F)'!$B$223</definedName>
    <definedName name="FrNi" localSheetId="6">'P-Ex(Szenario 3 EB.2 ohne F)'!$B$223</definedName>
    <definedName name="FrNi" localSheetId="13">'P-Ex(Szenario 6 EB.3 k CuZn)'!$B$223</definedName>
    <definedName name="FrNi" localSheetId="14">'P-Ex(Szenario 7 EB.3 nk CuZn)'!$B$223</definedName>
    <definedName name="FrNi" localSheetId="19">'SM-Ex(Sze.4 SEFoV HS)'!$B$270</definedName>
    <definedName name="FrNi" localSheetId="18">'SM-Ex(Sze.4 SEFoV)'!$B$235</definedName>
    <definedName name="FrNi" localSheetId="21">'SM-Ex(Sze.5 SEFmV HS)'!$B$312</definedName>
    <definedName name="FrNi" localSheetId="20">'SM-Ex(Sze.5 SEFmV)'!$B$232</definedName>
    <definedName name="FrNi" localSheetId="24">'SM-Ex(Szenario 11 EB.5 k CuZn)'!$B$322</definedName>
    <definedName name="FrNi" localSheetId="16">'SM-Ex(Szenario 8 EB.4)'!$B$322</definedName>
    <definedName name="FrNi" localSheetId="25">'SM-Ex(Szenario12 EB.5 nk CuZn)'!$B$319</definedName>
    <definedName name="FrNi">#REF!</definedName>
    <definedName name="FrPG" localSheetId="1">'Modell PHOS4green-Verfahren'!#REF!</definedName>
    <definedName name="FrPG" localSheetId="9">'P-Ex(Sze.1 SEFoV mit F HS)'!$B$153</definedName>
    <definedName name="FrPG" localSheetId="8">'P-Ex(Sze.1 SEFoV mit F)'!$B$169</definedName>
    <definedName name="FrPG" localSheetId="11">'P-Ex(Sze.2 SEFoV ohne F HS)'!$B$172</definedName>
    <definedName name="FrPG" localSheetId="10">'P-Ex(Sze.2 SEFoV ohne F)'!$B$165</definedName>
    <definedName name="FrPG" localSheetId="15">'P-Ex(Sze.3 SEFmV mit F HS)'!$B$153</definedName>
    <definedName name="FrPG" localSheetId="12">'P-Ex(Sze.3 SEFmV mit F)'!$B$150</definedName>
    <definedName name="FrPG" localSheetId="4">'P-Ex(Szenario 13 EB.2 Cd10%)'!$B$226</definedName>
    <definedName name="FrPG" localSheetId="5">'P-Ex(Szenario 14 EB.2 Cd85%)'!$B$226</definedName>
    <definedName name="FrPG" localSheetId="3">'P-Ex(Szenario 2 EB.2 mit F)'!$B$226</definedName>
    <definedName name="FrPG" localSheetId="6">'P-Ex(Szenario 3 EB.2 ohne F)'!$B$226</definedName>
    <definedName name="FrPG" localSheetId="13">'P-Ex(Szenario 6 EB.3 k CuZn)'!$B$226</definedName>
    <definedName name="FrPG" localSheetId="14">'P-Ex(Szenario 7 EB.3 nk CuZn)'!$B$226</definedName>
    <definedName name="FrPG" localSheetId="19">'SM-Ex(Sze.4 SEFoV HS)'!$B$273</definedName>
    <definedName name="FrPG" localSheetId="18">'SM-Ex(Sze.4 SEFoV)'!$B$238</definedName>
    <definedName name="FrPG" localSheetId="21">'SM-Ex(Sze.5 SEFmV HS)'!$B$315</definedName>
    <definedName name="FrPG" localSheetId="20">'SM-Ex(Sze.5 SEFmV)'!$B$235</definedName>
    <definedName name="FrPG" localSheetId="24">'SM-Ex(Szenario 11 EB.5 k CuZn)'!$B$325</definedName>
    <definedName name="FrPG" localSheetId="25">'SM-Ex(Szenario12 EB.5 nk CuZn)'!$B$322</definedName>
    <definedName name="FrPG">'P-Ex(Szenario 1 EB.1)'!$B$226</definedName>
    <definedName name="FrPKSA" localSheetId="1">'Modell PHOS4green-Verfahren'!#REF!</definedName>
    <definedName name="FrPKSA" localSheetId="9">'P-Ex(Sze.1 SEFoV mit F HS)'!$B$151</definedName>
    <definedName name="FrPKSA" localSheetId="8">'P-Ex(Sze.1 SEFoV mit F)'!$B$167</definedName>
    <definedName name="FrPKSA" localSheetId="11">'P-Ex(Sze.2 SEFoV ohne F HS)'!$B$170</definedName>
    <definedName name="FrPKSA" localSheetId="10">'P-Ex(Sze.2 SEFoV ohne F)'!$B$163</definedName>
    <definedName name="FrPKSA" localSheetId="15">'P-Ex(Sze.3 SEFmV mit F HS)'!$B$151</definedName>
    <definedName name="FrPKSA" localSheetId="12">'P-Ex(Sze.3 SEFmV mit F)'!$B$148</definedName>
    <definedName name="FrPKSA" localSheetId="2">'P-Ex(Szenario 1 EB.1)'!$B$224</definedName>
    <definedName name="FrPKSA" localSheetId="4">'P-Ex(Szenario 13 EB.2 Cd10%)'!$B$224</definedName>
    <definedName name="FrPKSA" localSheetId="5">'P-Ex(Szenario 14 EB.2 Cd85%)'!$B$224</definedName>
    <definedName name="FrPKSA" localSheetId="3">'P-Ex(Szenario 2 EB.2 mit F)'!$B$224</definedName>
    <definedName name="FrPKSA" localSheetId="6">'P-Ex(Szenario 3 EB.2 ohne F)'!$B$224</definedName>
    <definedName name="FrPKSA" localSheetId="13">'P-Ex(Szenario 6 EB.3 k CuZn)'!$B$224</definedName>
    <definedName name="FrPKSA" localSheetId="14">'P-Ex(Szenario 7 EB.3 nk CuZn)'!$B$224</definedName>
    <definedName name="FrPKSA" localSheetId="19">'SM-Ex(Sze.4 SEFoV HS)'!$B$271</definedName>
    <definedName name="FrPKSA" localSheetId="18">'SM-Ex(Sze.4 SEFoV)'!$B$236</definedName>
    <definedName name="FrPKSA" localSheetId="21">'SM-Ex(Sze.5 SEFmV HS)'!$B$313</definedName>
    <definedName name="FrPKSA" localSheetId="20">'SM-Ex(Sze.5 SEFmV)'!$B$233</definedName>
    <definedName name="FrPKSA" localSheetId="24">'SM-Ex(Szenario 11 EB.5 k CuZn)'!$B$323</definedName>
    <definedName name="FrPKSA" localSheetId="16">'SM-Ex(Szenario 8 EB.4)'!$B$323</definedName>
    <definedName name="FrPKSA" localSheetId="25">'SM-Ex(Szenario12 EB.5 nk CuZn)'!$B$320</definedName>
    <definedName name="FrPKSA">#REF!</definedName>
    <definedName name="FrPP" localSheetId="1">'Modell PHOS4green-Verfahren'!#REF!</definedName>
    <definedName name="FrPP" localSheetId="9">'P-Ex(Sze.1 SEFoV mit F HS)'!$B$152</definedName>
    <definedName name="FrPP" localSheetId="8">'P-Ex(Sze.1 SEFoV mit F)'!$B$168</definedName>
    <definedName name="FrPP" localSheetId="11">'P-Ex(Sze.2 SEFoV ohne F HS)'!$B$171</definedName>
    <definedName name="FrPP" localSheetId="10">'P-Ex(Sze.2 SEFoV ohne F)'!$B$164</definedName>
    <definedName name="FrPP" localSheetId="15">'P-Ex(Sze.3 SEFmV mit F HS)'!$B$152</definedName>
    <definedName name="FrPP" localSheetId="12">'P-Ex(Sze.3 SEFmV mit F)'!$B$149</definedName>
    <definedName name="FrPP" localSheetId="2">'P-Ex(Szenario 1 EB.1)'!$B$225</definedName>
    <definedName name="FrPP" localSheetId="4">'P-Ex(Szenario 13 EB.2 Cd10%)'!$B$225</definedName>
    <definedName name="FrPP" localSheetId="5">'P-Ex(Szenario 14 EB.2 Cd85%)'!$B$225</definedName>
    <definedName name="FrPP" localSheetId="3">'P-Ex(Szenario 2 EB.2 mit F)'!$B$225</definedName>
    <definedName name="FrPP" localSheetId="6">'P-Ex(Szenario 3 EB.2 ohne F)'!$B$225</definedName>
    <definedName name="FrPP" localSheetId="13">'P-Ex(Szenario 6 EB.3 k CuZn)'!$B$225</definedName>
    <definedName name="FrPP" localSheetId="14">'P-Ex(Szenario 7 EB.3 nk CuZn)'!$B$225</definedName>
    <definedName name="FrPP" localSheetId="19">'SM-Ex(Sze.4 SEFoV HS)'!$B$272</definedName>
    <definedName name="FrPP" localSheetId="18">'SM-Ex(Sze.4 SEFoV)'!$B$237</definedName>
    <definedName name="FrPP" localSheetId="21">'SM-Ex(Sze.5 SEFmV HS)'!$B$314</definedName>
    <definedName name="FrPP" localSheetId="20">'SM-Ex(Sze.5 SEFmV)'!$B$234</definedName>
    <definedName name="FrPP" localSheetId="24">'SM-Ex(Szenario 11 EB.5 k CuZn)'!$B$324</definedName>
    <definedName name="FrPP" localSheetId="16">'SM-Ex(Szenario 8 EB.4)'!$B$324</definedName>
    <definedName name="FrPP" localSheetId="25">'SM-Ex(Szenario12 EB.5 nk CuZn)'!$B$321</definedName>
    <definedName name="FrPP">#REF!</definedName>
    <definedName name="FrZn" localSheetId="1">'Modell PHOS4green-Verfahren'!#REF!</definedName>
    <definedName name="FrZn" localSheetId="9">'P-Ex(Sze.1 SEFoV mit F HS)'!$B$161</definedName>
    <definedName name="FrZn" localSheetId="8">'P-Ex(Sze.1 SEFoV mit F)'!$B$177</definedName>
    <definedName name="FrZn" localSheetId="11">'P-Ex(Sze.2 SEFoV ohne F HS)'!$B$180</definedName>
    <definedName name="FrZn" localSheetId="10">'P-Ex(Sze.2 SEFoV ohne F)'!$B$173</definedName>
    <definedName name="FrZn" localSheetId="15">'P-Ex(Sze.3 SEFmV mit F HS)'!$B$161</definedName>
    <definedName name="FrZn" localSheetId="12">'P-Ex(Sze.3 SEFmV mit F)'!$B$158</definedName>
    <definedName name="FrZn" localSheetId="2">'P-Ex(Szenario 1 EB.1)'!$B$234</definedName>
    <definedName name="FrZn" localSheetId="4">'P-Ex(Szenario 13 EB.2 Cd10%)'!$B$234</definedName>
    <definedName name="FrZn" localSheetId="5">'P-Ex(Szenario 14 EB.2 Cd85%)'!$B$234</definedName>
    <definedName name="FrZn" localSheetId="3">'P-Ex(Szenario 2 EB.2 mit F)'!$B$234</definedName>
    <definedName name="FrZn" localSheetId="6">'P-Ex(Szenario 3 EB.2 ohne F)'!$B$234</definedName>
    <definedName name="FrZn" localSheetId="13">'P-Ex(Szenario 6 EB.3 k CuZn)'!$B$234</definedName>
    <definedName name="FrZn" localSheetId="14">'P-Ex(Szenario 7 EB.3 nk CuZn)'!$B$234</definedName>
    <definedName name="FrZn" localSheetId="19">'SM-Ex(Sze.4 SEFoV HS)'!$B$276</definedName>
    <definedName name="FrZn" localSheetId="18">'SM-Ex(Sze.4 SEFoV)'!$B$241</definedName>
    <definedName name="FrZn" localSheetId="21">'SM-Ex(Sze.5 SEFmV HS)'!$B$318</definedName>
    <definedName name="FrZn" localSheetId="20">'SM-Ex(Sze.5 SEFmV)'!$B$238</definedName>
    <definedName name="FrZn" localSheetId="24">'SM-Ex(Szenario 11 EB.5 k CuZn)'!$B$328</definedName>
    <definedName name="FrZn" localSheetId="16">'SM-Ex(Szenario 8 EB.4)'!$B$327</definedName>
    <definedName name="FrZn" localSheetId="25">'SM-Ex(Szenario12 EB.5 nk CuZn)'!$B$325</definedName>
    <definedName name="FrZn">#REF!</definedName>
    <definedName name="ISH" localSheetId="1">'Modell PHOS4green-Verfahren'!$D$47</definedName>
    <definedName name="ISH" localSheetId="9">'P-Ex(Sze.1 SEFoV mit F HS)'!$D$10</definedName>
    <definedName name="ISH" localSheetId="8">'P-Ex(Sze.1 SEFoV mit F)'!$D$9</definedName>
    <definedName name="ISH" localSheetId="11">'P-Ex(Sze.2 SEFoV ohne F HS)'!$D$10</definedName>
    <definedName name="ISH" localSheetId="10">'P-Ex(Sze.2 SEFoV ohne F)'!$D$9</definedName>
    <definedName name="ISH" localSheetId="15">'P-Ex(Sze.3 SEFmV mit F HS)'!$D$10</definedName>
    <definedName name="ISH" localSheetId="12">'P-Ex(Sze.3 SEFmV mit F)'!$D$9</definedName>
    <definedName name="ISH" localSheetId="2">'P-Ex(Szenario 1 EB.1)'!$D$9</definedName>
    <definedName name="ISH" localSheetId="4">'P-Ex(Szenario 13 EB.2 Cd10%)'!$D$9</definedName>
    <definedName name="ISH" localSheetId="5">'P-Ex(Szenario 14 EB.2 Cd85%)'!$D$9</definedName>
    <definedName name="ISH" localSheetId="3">'P-Ex(Szenario 2 EB.2 mit F)'!$D$9</definedName>
    <definedName name="ISH" localSheetId="6">'P-Ex(Szenario 3 EB.2 ohne F)'!$D$9</definedName>
    <definedName name="ISH" localSheetId="13">'P-Ex(Szenario 6 EB.3 k CuZn)'!$D$9</definedName>
    <definedName name="ISH" localSheetId="14">'P-Ex(Szenario 7 EB.3 nk CuZn)'!$D$9</definedName>
    <definedName name="ISH" localSheetId="19">'SM-Ex(Sze.4 SEFoV HS)'!$D$10</definedName>
    <definedName name="ISH" localSheetId="18">'SM-Ex(Sze.4 SEFoV)'!$D$9</definedName>
    <definedName name="ISH" localSheetId="21">'SM-Ex(Sze.5 SEFmV HS)'!$D$10</definedName>
    <definedName name="ISH" localSheetId="20">'SM-Ex(Sze.5 SEFmV)'!$D$9</definedName>
    <definedName name="ISH" localSheetId="24">'SM-Ex(Szenario 11 EB.5 k CuZn)'!$D$9</definedName>
    <definedName name="ISH" localSheetId="16">'SM-Ex(Szenario 8 EB.4)'!$D$9</definedName>
    <definedName name="ISH" localSheetId="25">'SM-Ex(Szenario12 EB.5 nk CuZn)'!$D$9</definedName>
    <definedName name="ISH">#REF!</definedName>
    <definedName name="KSAk" localSheetId="1">'Modell PHOS4green-Verfahren'!$E$47</definedName>
    <definedName name="KSAnk" localSheetId="1">'Modell PHOS4green-Verfahren'!#REF!</definedName>
    <definedName name="KSAnk" localSheetId="9">'P-Ex(Sze.1 SEFoV mit F HS)'!$C$23</definedName>
    <definedName name="KSAnk" localSheetId="8">'P-Ex(Sze.1 SEFoV mit F)'!$C$22</definedName>
    <definedName name="KSAnk" localSheetId="11">'P-Ex(Sze.2 SEFoV ohne F HS)'!$C$23</definedName>
    <definedName name="KSAnk" localSheetId="10">'P-Ex(Sze.2 SEFoV ohne F)'!$C$22</definedName>
    <definedName name="KSAnk" localSheetId="15">'P-Ex(Sze.3 SEFmV mit F HS)'!$C$23</definedName>
    <definedName name="KSAnk" localSheetId="12">'P-Ex(Sze.3 SEFmV mit F)'!$C$22</definedName>
    <definedName name="KSAnk" localSheetId="4">'P-Ex(Szenario 13 EB.2 Cd10%)'!$C$22</definedName>
    <definedName name="KSAnk" localSheetId="5">'P-Ex(Szenario 14 EB.2 Cd85%)'!$C$22</definedName>
    <definedName name="KSAnk" localSheetId="3">'P-Ex(Szenario 2 EB.2 mit F)'!$C$22</definedName>
    <definedName name="KSAnk" localSheetId="6">'P-Ex(Szenario 3 EB.2 ohne F)'!$C$22</definedName>
    <definedName name="KSAnk" localSheetId="13">'P-Ex(Szenario 6 EB.3 k CuZn)'!$C$22</definedName>
    <definedName name="KSAnk" localSheetId="14">'P-Ex(Szenario 7 EB.3 nk CuZn)'!$C$22</definedName>
    <definedName name="KSAnk">'P-Ex(Szenario 1 EB.1)'!$C$22</definedName>
    <definedName name="KSAnkISH">'Modell Phosphorextraktion'!$B$91</definedName>
    <definedName name="PE" localSheetId="1">'Modell PHOS4green-Verfahren'!#REF!</definedName>
    <definedName name="PE" localSheetId="9">'P-Ex(Sze.1 SEFoV mit F HS)'!$B$462</definedName>
    <definedName name="PE" localSheetId="8">'P-Ex(Sze.1 SEFoV mit F)'!$B$388</definedName>
    <definedName name="PE" localSheetId="11">'P-Ex(Sze.2 SEFoV ohne F HS)'!$B$425</definedName>
    <definedName name="PE" localSheetId="10">'P-Ex(Sze.2 SEFoV ohne F)'!$B$384</definedName>
    <definedName name="PE" localSheetId="15">'P-Ex(Sze.3 SEFmV mit F HS)'!$B$405</definedName>
    <definedName name="PE" localSheetId="12">'P-Ex(Sze.3 SEFmV mit F)'!$B$390</definedName>
    <definedName name="PE" localSheetId="2">'P-Ex(Szenario 1 EB.1)'!$B$512</definedName>
    <definedName name="PE" localSheetId="4">'P-Ex(Szenario 13 EB.2 Cd10%)'!$B$512</definedName>
    <definedName name="PE" localSheetId="5">'P-Ex(Szenario 14 EB.2 Cd85%)'!$B$512</definedName>
    <definedName name="PE" localSheetId="3">'P-Ex(Szenario 2 EB.2 mit F)'!$B$512</definedName>
    <definedName name="PE" localSheetId="6">'P-Ex(Szenario 3 EB.2 ohne F)'!$B$512</definedName>
    <definedName name="PE" localSheetId="13">'P-Ex(Szenario 6 EB.3 k CuZn)'!$B$512</definedName>
    <definedName name="PE" localSheetId="14">'P-Ex(Szenario 7 EB.3 nk CuZn)'!$B$513</definedName>
    <definedName name="PE">#REF!</definedName>
    <definedName name="PF" localSheetId="19">'SM-Ex(Sze.4 SEFoV HS)'!$B$493</definedName>
    <definedName name="PF" localSheetId="18">'SM-Ex(Sze.4 SEFoV)'!$B$422</definedName>
    <definedName name="PF" localSheetId="21">'SM-Ex(Sze.5 SEFmV HS)'!$B$534</definedName>
    <definedName name="PF" localSheetId="20">'SM-Ex(Sze.5 SEFmV)'!$B$435</definedName>
    <definedName name="PF" localSheetId="24">'SM-Ex(Szenario 11 EB.5 k CuZn)'!$B$526</definedName>
    <definedName name="PF" localSheetId="16">'SM-Ex(Szenario 8 EB.4)'!$B$522</definedName>
    <definedName name="PF" localSheetId="25">'SM-Ex(Szenario12 EB.5 nk CuZn)'!$B$522</definedName>
    <definedName name="PG" localSheetId="1">'Modell PHOS4green-Verfahren'!$D$97</definedName>
    <definedName name="PG" localSheetId="9">'P-Ex(Sze.1 SEFoV mit F HS)'!$D$465</definedName>
    <definedName name="PG" localSheetId="8">'P-Ex(Sze.1 SEFoV mit F)'!$D$391</definedName>
    <definedName name="PG" localSheetId="11">'P-Ex(Sze.2 SEFoV ohne F HS)'!$D$428</definedName>
    <definedName name="PG" localSheetId="10">'P-Ex(Sze.2 SEFoV ohne F)'!$D$387</definedName>
    <definedName name="PG" localSheetId="15">'P-Ex(Sze.3 SEFmV mit F HS)'!$D$408</definedName>
    <definedName name="PG" localSheetId="12">'P-Ex(Sze.3 SEFmV mit F)'!$D$393</definedName>
    <definedName name="PG" localSheetId="2">'P-Ex(Szenario 1 EB.1)'!$D$515</definedName>
    <definedName name="PG" localSheetId="4">'P-Ex(Szenario 13 EB.2 Cd10%)'!$D$515</definedName>
    <definedName name="PG" localSheetId="5">'P-Ex(Szenario 14 EB.2 Cd85%)'!$D$515</definedName>
    <definedName name="PG" localSheetId="3">'P-Ex(Szenario 2 EB.2 mit F)'!$D$515</definedName>
    <definedName name="PG" localSheetId="6">'P-Ex(Szenario 3 EB.2 ohne F)'!$D$515</definedName>
    <definedName name="PG" localSheetId="13">'P-Ex(Szenario 6 EB.3 k CuZn)'!$D$515</definedName>
    <definedName name="PG" localSheetId="14">'P-Ex(Szenario 7 EB.3 nk CuZn)'!$D$516</definedName>
    <definedName name="PG" localSheetId="19">'SM-Ex(Sze.4 SEFoV HS)'!$D$496</definedName>
    <definedName name="PG" localSheetId="18">'SM-Ex(Sze.4 SEFoV)'!$D$425</definedName>
    <definedName name="PG" localSheetId="21">'SM-Ex(Sze.5 SEFmV HS)'!$D$537</definedName>
    <definedName name="PG" localSheetId="20">'SM-Ex(Sze.5 SEFmV)'!$D$438</definedName>
    <definedName name="PG" localSheetId="24">'SM-Ex(Szenario 11 EB.5 k CuZn)'!$D$529</definedName>
    <definedName name="PG" localSheetId="16">'SM-Ex(Szenario 8 EB.4)'!$D$525</definedName>
    <definedName name="PG" localSheetId="25">'SM-Ex(Szenario12 EB.5 nk CuZn)'!$D$525</definedName>
    <definedName name="PG">#REF!</definedName>
    <definedName name="PISH" localSheetId="1">'Modell PHOS4green-Verfahren'!$D$64</definedName>
    <definedName name="PISH" localSheetId="9">'P-Ex(Sze.1 SEFoV mit F HS)'!$E$52</definedName>
    <definedName name="PISH" localSheetId="8">'P-Ex(Sze.1 SEFoV mit F)'!$C$51</definedName>
    <definedName name="PISH" localSheetId="11">'P-Ex(Sze.2 SEFoV ohne F HS)'!$E$52</definedName>
    <definedName name="PISH" localSheetId="10">'P-Ex(Sze.2 SEFoV ohne F)'!$C$51</definedName>
    <definedName name="PISH" localSheetId="15">'P-Ex(Sze.3 SEFmV mit F HS)'!$E$52</definedName>
    <definedName name="PISH" localSheetId="19">'SM-Ex(Sze.4 SEFoV HS)'!$E$52</definedName>
    <definedName name="PISH" localSheetId="18">'SM-Ex(Sze.4 SEFoV)'!$C$51</definedName>
    <definedName name="PKSA" localSheetId="1">'Modell PHOS4green-Verfahren'!$B$95</definedName>
    <definedName name="PKSA" localSheetId="9">'P-Ex(Sze.1 SEFoV mit F HS)'!$B$463</definedName>
    <definedName name="PKSA" localSheetId="8">'P-Ex(Sze.1 SEFoV mit F)'!$B$389</definedName>
    <definedName name="PKSA" localSheetId="11">'P-Ex(Sze.2 SEFoV ohne F HS)'!$B$426</definedName>
    <definedName name="PKSA" localSheetId="10">'P-Ex(Sze.2 SEFoV ohne F)'!$B$385</definedName>
    <definedName name="PKSA" localSheetId="15">'P-Ex(Sze.3 SEFmV mit F HS)'!$B$406</definedName>
    <definedName name="PKSA" localSheetId="12">'P-Ex(Sze.3 SEFmV mit F)'!$B$391</definedName>
    <definedName name="PKSA" localSheetId="2">'P-Ex(Szenario 1 EB.1)'!$B$513</definedName>
    <definedName name="PKSA" localSheetId="4">'P-Ex(Szenario 13 EB.2 Cd10%)'!$B$513</definedName>
    <definedName name="PKSA" localSheetId="5">'P-Ex(Szenario 14 EB.2 Cd85%)'!$B$513</definedName>
    <definedName name="PKSA" localSheetId="3">'P-Ex(Szenario 2 EB.2 mit F)'!$B$513</definedName>
    <definedName name="PKSA" localSheetId="6">'P-Ex(Szenario 3 EB.2 ohne F)'!$B$513</definedName>
    <definedName name="PKSA" localSheetId="13">'P-Ex(Szenario 6 EB.3 k CuZn)'!$B$513</definedName>
    <definedName name="PKSA" localSheetId="14">'P-Ex(Szenario 7 EB.3 nk CuZn)'!$B$514</definedName>
    <definedName name="PKSA" localSheetId="19">'SM-Ex(Sze.4 SEFoV HS)'!$B$494</definedName>
    <definedName name="PKSA" localSheetId="18">'SM-Ex(Sze.4 SEFoV)'!$B$423</definedName>
    <definedName name="PKSA" localSheetId="21">'SM-Ex(Sze.5 SEFmV HS)'!$B$535</definedName>
    <definedName name="PKSA" localSheetId="20">'SM-Ex(Sze.5 SEFmV)'!$B$436</definedName>
    <definedName name="PKSA" localSheetId="24">'SM-Ex(Szenario 11 EB.5 k CuZn)'!$B$527</definedName>
    <definedName name="PKSA" localSheetId="16">'SM-Ex(Szenario 8 EB.4)'!$B$523</definedName>
    <definedName name="PKSA" localSheetId="25">'SM-Ex(Szenario12 EB.5 nk CuZn)'!$B$523</definedName>
    <definedName name="PKSA">#REF!</definedName>
    <definedName name="PKSAk" localSheetId="1">'Modell PHOS4green-Verfahren'!$H$64</definedName>
    <definedName name="PKSAk" localSheetId="2">'P-Ex(Szenario 1 EB.1)'!$F$479</definedName>
    <definedName name="PKSAnk" localSheetId="2">'P-Ex(Szenario 1 EB.1)'!$D$77</definedName>
    <definedName name="PP" localSheetId="1">'Modell PHOS4green-Verfahren'!$B$96</definedName>
    <definedName name="PP" localSheetId="9">'P-Ex(Sze.1 SEFoV mit F HS)'!$B$464</definedName>
    <definedName name="PP" localSheetId="8">'P-Ex(Sze.1 SEFoV mit F)'!$B$390</definedName>
    <definedName name="PP" localSheetId="11">'P-Ex(Sze.2 SEFoV ohne F HS)'!$B$427</definedName>
    <definedName name="PP" localSheetId="10">'P-Ex(Sze.2 SEFoV ohne F)'!$B$386</definedName>
    <definedName name="PP" localSheetId="15">'P-Ex(Sze.3 SEFmV mit F HS)'!$B$407</definedName>
    <definedName name="PP" localSheetId="12">'P-Ex(Sze.3 SEFmV mit F)'!$B$392</definedName>
    <definedName name="PP" localSheetId="2">'P-Ex(Szenario 1 EB.1)'!$B$514</definedName>
    <definedName name="PP" localSheetId="4">'P-Ex(Szenario 13 EB.2 Cd10%)'!$B$514</definedName>
    <definedName name="PP" localSheetId="5">'P-Ex(Szenario 14 EB.2 Cd85%)'!$B$514</definedName>
    <definedName name="PP" localSheetId="3">'P-Ex(Szenario 2 EB.2 mit F)'!$B$514</definedName>
    <definedName name="PP" localSheetId="6">'P-Ex(Szenario 3 EB.2 ohne F)'!$B$514</definedName>
    <definedName name="PP" localSheetId="13">'P-Ex(Szenario 6 EB.3 k CuZn)'!$B$514</definedName>
    <definedName name="PP" localSheetId="14">'P-Ex(Szenario 7 EB.3 nk CuZn)'!$B$515</definedName>
    <definedName name="PP" localSheetId="19">'SM-Ex(Sze.4 SEFoV HS)'!$B$495</definedName>
    <definedName name="PP" localSheetId="18">'SM-Ex(Sze.4 SEFoV)'!$B$424</definedName>
    <definedName name="PP" localSheetId="21">'SM-Ex(Sze.5 SEFmV HS)'!$B$536</definedName>
    <definedName name="PP" localSheetId="20">'SM-Ex(Sze.5 SEFmV)'!$B$437</definedName>
    <definedName name="PP" localSheetId="24">'SM-Ex(Szenario 11 EB.5 k CuZn)'!$B$528</definedName>
    <definedName name="PP" localSheetId="16">'SM-Ex(Szenario 8 EB.4)'!$B$524</definedName>
    <definedName name="PP" localSheetId="25">'SM-Ex(Szenario12 EB.5 nk CuZn)'!$B$524</definedName>
    <definedName name="PP">#REF!</definedName>
    <definedName name="PSEF" localSheetId="1">'Modell PHOS4green-Verfahren'!$C$64</definedName>
    <definedName name="PSEF" localSheetId="9">'P-Ex(Sze.1 SEFoV mit F HS)'!$C$429</definedName>
    <definedName name="PSEF" localSheetId="8">'P-Ex(Sze.1 SEFoV mit F)'!$C$355</definedName>
    <definedName name="PSEF" localSheetId="11">'P-Ex(Sze.2 SEFoV ohne F HS)'!$C$392</definedName>
    <definedName name="PSEF" localSheetId="10">'P-Ex(Sze.2 SEFoV ohne F)'!$C$351</definedName>
    <definedName name="PSEF" localSheetId="15">'P-Ex(Sze.3 SEFmV mit F HS)'!$F$52</definedName>
    <definedName name="PSEF" localSheetId="19">'SM-Ex(Sze.4 SEFoV HS)'!$C$460</definedName>
    <definedName name="PSEF" localSheetId="18">'SM-Ex(Sze.4 SEFoV)'!$C$389</definedName>
    <definedName name="PSK" localSheetId="1">'Modell PHOS4green-Verfahren'!#REF!</definedName>
    <definedName name="PSK" localSheetId="9">'P-Ex(Sze.1 SEFoV mit F HS)'!$C$15</definedName>
    <definedName name="PSK" localSheetId="8">'P-Ex(Sze.1 SEFoV mit F)'!$C$14</definedName>
    <definedName name="PSK" localSheetId="11">'P-Ex(Sze.2 SEFoV ohne F HS)'!$C$15</definedName>
    <definedName name="PSK" localSheetId="10">'P-Ex(Sze.2 SEFoV ohne F)'!$C$14</definedName>
    <definedName name="PSK" localSheetId="15">'P-Ex(Sze.3 SEFmV mit F HS)'!$C$15</definedName>
    <definedName name="PSK" localSheetId="12">'P-Ex(Sze.3 SEFmV mit F)'!$C$14</definedName>
    <definedName name="PSK" localSheetId="2">'P-Ex(Szenario 1 EB.1)'!$C$14</definedName>
    <definedName name="PSK" localSheetId="4">'P-Ex(Szenario 13 EB.2 Cd10%)'!$C$14</definedName>
    <definedName name="PSK" localSheetId="5">'P-Ex(Szenario 14 EB.2 Cd85%)'!$C$14</definedName>
    <definedName name="PSK" localSheetId="3">'P-Ex(Szenario 2 EB.2 mit F)'!$C$14</definedName>
    <definedName name="PSK" localSheetId="6">'P-Ex(Szenario 3 EB.2 ohne F)'!$C$14</definedName>
    <definedName name="PSK" localSheetId="13">'P-Ex(Szenario 6 EB.3 k CuZn)'!$C$14</definedName>
    <definedName name="PSK" localSheetId="14">'P-Ex(Szenario 7 EB.3 nk CuZn)'!$C$14</definedName>
    <definedName name="PSK" localSheetId="19">'SM-Ex(Sze.4 SEFoV HS)'!$C$15</definedName>
    <definedName name="PSK" localSheetId="18">'SM-Ex(Sze.4 SEFoV)'!$C$14</definedName>
    <definedName name="PSK" localSheetId="21">'SM-Ex(Sze.5 SEFmV HS)'!$C$15</definedName>
    <definedName name="PSK" localSheetId="20">'SM-Ex(Sze.5 SEFmV)'!$C$14</definedName>
    <definedName name="PSK" localSheetId="24">'SM-Ex(Szenario 11 EB.5 k CuZn)'!$C$14</definedName>
    <definedName name="PSK" localSheetId="16">'SM-Ex(Szenario 8 EB.4)'!$C$14</definedName>
    <definedName name="PSK" localSheetId="25">'SM-Ex(Szenario12 EB.5 nk CuZn)'!$C$14</definedName>
    <definedName name="PSK">#REF!</definedName>
    <definedName name="PTVM" localSheetId="1">'Modell PHOS4green-Verfahren'!$B$64</definedName>
    <definedName name="PTVM" localSheetId="9">'P-Ex(Sze.1 SEFoV mit F HS)'!$B$429</definedName>
    <definedName name="PTVM" localSheetId="8">'P-Ex(Sze.1 SEFoV mit F)'!$B$355</definedName>
    <definedName name="PTVM" localSheetId="11">'P-Ex(Sze.2 SEFoV ohne F HS)'!$B$392</definedName>
    <definedName name="PTVM" localSheetId="10">'P-Ex(Sze.2 SEFoV ohne F)'!$B$351</definedName>
    <definedName name="PTVM" localSheetId="15">'P-Ex(Sze.3 SEFmV mit F HS)'!$B$372</definedName>
    <definedName name="PTVM" localSheetId="19">'SM-Ex(Sze.4 SEFoV HS)'!$B$460</definedName>
    <definedName name="PTVM" localSheetId="18">'SM-Ex(Sze.4 SEFoV)'!$B$389</definedName>
    <definedName name="RlAl" localSheetId="1">'Modell PHOS4green-Verfahren'!#REF!</definedName>
    <definedName name="RlAl" localSheetId="9">'P-Ex(Sze.1 SEFoV mit F HS)'!$D$41</definedName>
    <definedName name="RlAl" localSheetId="8">'P-Ex(Sze.1 SEFoV mit F)'!$B$40</definedName>
    <definedName name="RlAl" localSheetId="11">'P-Ex(Sze.2 SEFoV ohne F HS)'!$D$41</definedName>
    <definedName name="RlAl" localSheetId="10">'P-Ex(Sze.2 SEFoV ohne F)'!$B$40</definedName>
    <definedName name="RlAl" localSheetId="15">'P-Ex(Sze.3 SEFmV mit F HS)'!$D$41</definedName>
    <definedName name="RlAl" localSheetId="12">'P-Ex(Sze.3 SEFmV mit F)'!$B$40</definedName>
    <definedName name="RlAl" localSheetId="2">'P-Ex(Szenario 1 EB.1)'!$B$66</definedName>
    <definedName name="RlAl" localSheetId="4">'P-Ex(Szenario 13 EB.2 Cd10%)'!$B$66</definedName>
    <definedName name="RlAl" localSheetId="5">'P-Ex(Szenario 14 EB.2 Cd85%)'!$B$66</definedName>
    <definedName name="RlAl" localSheetId="3">'P-Ex(Szenario 2 EB.2 mit F)'!$B$66</definedName>
    <definedName name="RlAl" localSheetId="6">'P-Ex(Szenario 3 EB.2 ohne F)'!$B$66</definedName>
    <definedName name="RlAl" localSheetId="13">'P-Ex(Szenario 6 EB.3 k CuZn)'!$B$66</definedName>
    <definedName name="RlAl" localSheetId="14">'P-Ex(Szenario 7 EB.3 nk CuZn)'!$B$66</definedName>
    <definedName name="RlAl" localSheetId="19">'SM-Ex(Sze.4 SEFoV HS)'!$D$41</definedName>
    <definedName name="RlAl" localSheetId="18">'SM-Ex(Sze.4 SEFoV)'!$B$40</definedName>
    <definedName name="RlAl" localSheetId="21">'SM-Ex(Sze.5 SEFmV HS)'!$D$38</definedName>
    <definedName name="RlAl" localSheetId="20">'SM-Ex(Sze.5 SEFmV)'!$B$37</definedName>
    <definedName name="RlAl" localSheetId="24">'SM-Ex(Szenario 11 EB.5 k CuZn)'!$B$66</definedName>
    <definedName name="RlAl" localSheetId="16">'SM-Ex(Szenario 8 EB.4)'!$B$66</definedName>
    <definedName name="RlAl" localSheetId="25">'SM-Ex(Szenario12 EB.5 nk CuZn)'!$B$63</definedName>
    <definedName name="RlAl">#REF!</definedName>
    <definedName name="RlAs" localSheetId="1">'Modell PHOS4green-Verfahren'!#REF!</definedName>
    <definedName name="RlAs" localSheetId="9">'P-Ex(Sze.1 SEFoV mit F HS)'!$D$42</definedName>
    <definedName name="RlAs" localSheetId="8">'P-Ex(Sze.1 SEFoV mit F)'!$B$41</definedName>
    <definedName name="RlAs" localSheetId="11">'P-Ex(Sze.2 SEFoV ohne F HS)'!$D$42</definedName>
    <definedName name="RlAs" localSheetId="10">'P-Ex(Sze.2 SEFoV ohne F)'!$B$41</definedName>
    <definedName name="RlAs" localSheetId="15">'P-Ex(Sze.3 SEFmV mit F HS)'!$D$42</definedName>
    <definedName name="RlAs" localSheetId="12">'P-Ex(Sze.3 SEFmV mit F)'!$B$41</definedName>
    <definedName name="RlAs" localSheetId="2">'P-Ex(Szenario 1 EB.1)'!$B$67</definedName>
    <definedName name="RlAs" localSheetId="4">'P-Ex(Szenario 13 EB.2 Cd10%)'!$B$67</definedName>
    <definedName name="RlAs" localSheetId="5">'P-Ex(Szenario 14 EB.2 Cd85%)'!$B$67</definedName>
    <definedName name="RlAs" localSheetId="3">'P-Ex(Szenario 2 EB.2 mit F)'!$B$67</definedName>
    <definedName name="RlAs" localSheetId="6">'P-Ex(Szenario 3 EB.2 ohne F)'!$B$67</definedName>
    <definedName name="RlAs" localSheetId="13">'P-Ex(Szenario 6 EB.3 k CuZn)'!$B$67</definedName>
    <definedName name="RlAs" localSheetId="14">'P-Ex(Szenario 7 EB.3 nk CuZn)'!$B$67</definedName>
    <definedName name="RlAs" localSheetId="19">'SM-Ex(Sze.4 SEFoV HS)'!$D$42</definedName>
    <definedName name="RlAs" localSheetId="18">'SM-Ex(Sze.4 SEFoV)'!$B$41</definedName>
    <definedName name="RlAs" localSheetId="21">'SM-Ex(Sze.5 SEFmV HS)'!$D$39</definedName>
    <definedName name="RlAs" localSheetId="20">'SM-Ex(Sze.5 SEFmV)'!$B$38</definedName>
    <definedName name="RlAs" localSheetId="24">'SM-Ex(Szenario 11 EB.5 k CuZn)'!$B$67</definedName>
    <definedName name="RlAs" localSheetId="16">'SM-Ex(Szenario 8 EB.4)'!$B$67</definedName>
    <definedName name="RlAs" localSheetId="25">'SM-Ex(Szenario12 EB.5 nk CuZn)'!$B$64</definedName>
    <definedName name="RlAs">#REF!</definedName>
    <definedName name="RlCa" localSheetId="1">'Modell PHOS4green-Verfahren'!#REF!</definedName>
    <definedName name="RlCa" localSheetId="9">'P-Ex(Sze.1 SEFoV mit F HS)'!$D$43</definedName>
    <definedName name="RlCa" localSheetId="8">'P-Ex(Sze.1 SEFoV mit F)'!$B$42</definedName>
    <definedName name="RlCa" localSheetId="11">'P-Ex(Sze.2 SEFoV ohne F HS)'!$D$43</definedName>
    <definedName name="RlCa" localSheetId="10">'P-Ex(Sze.2 SEFoV ohne F)'!$B$42</definedName>
    <definedName name="RlCa" localSheetId="15">'P-Ex(Sze.3 SEFmV mit F HS)'!$D$43</definedName>
    <definedName name="RlCa" localSheetId="12">'P-Ex(Sze.3 SEFmV mit F)'!$B$42</definedName>
    <definedName name="RlCa" localSheetId="2">'P-Ex(Szenario 1 EB.1)'!$B$68</definedName>
    <definedName name="RlCa" localSheetId="4">'P-Ex(Szenario 13 EB.2 Cd10%)'!$B$68</definedName>
    <definedName name="RlCa" localSheetId="5">'P-Ex(Szenario 14 EB.2 Cd85%)'!$B$68</definedName>
    <definedName name="RlCa" localSheetId="3">'P-Ex(Szenario 2 EB.2 mit F)'!$B$68</definedName>
    <definedName name="RlCa" localSheetId="6">'P-Ex(Szenario 3 EB.2 ohne F)'!$B$68</definedName>
    <definedName name="RlCa" localSheetId="13">'P-Ex(Szenario 6 EB.3 k CuZn)'!$B$68</definedName>
    <definedName name="RlCa" localSheetId="14">'P-Ex(Szenario 7 EB.3 nk CuZn)'!$B$68</definedName>
    <definedName name="RlCa" localSheetId="19">'SM-Ex(Sze.4 SEFoV HS)'!$D$43</definedName>
    <definedName name="RlCa" localSheetId="18">'SM-Ex(Sze.4 SEFoV)'!$B$42</definedName>
    <definedName name="RlCa" localSheetId="21">'SM-Ex(Sze.5 SEFmV HS)'!$D$40</definedName>
    <definedName name="RlCa" localSheetId="20">'SM-Ex(Sze.5 SEFmV)'!$B$39</definedName>
    <definedName name="RlCa" localSheetId="24">'SM-Ex(Szenario 11 EB.5 k CuZn)'!$B$68</definedName>
    <definedName name="RlCa" localSheetId="16">'SM-Ex(Szenario 8 EB.4)'!$B$68</definedName>
    <definedName name="RlCa" localSheetId="25">'SM-Ex(Szenario12 EB.5 nk CuZn)'!$B$65</definedName>
    <definedName name="RlCa">#REF!</definedName>
    <definedName name="RlCd" localSheetId="1">'Modell PHOS4green-Verfahren'!#REF!</definedName>
    <definedName name="RlCd" localSheetId="9">'P-Ex(Sze.1 SEFoV mit F HS)'!$D$44</definedName>
    <definedName name="RlCd" localSheetId="8">'P-Ex(Sze.1 SEFoV mit F)'!$B$43</definedName>
    <definedName name="RlCd" localSheetId="11">'P-Ex(Sze.2 SEFoV ohne F HS)'!$D$44</definedName>
    <definedName name="RlCd" localSheetId="10">'P-Ex(Sze.2 SEFoV ohne F)'!$B$43</definedName>
    <definedName name="RlCd" localSheetId="15">'P-Ex(Sze.3 SEFmV mit F HS)'!$D$44</definedName>
    <definedName name="RlCd" localSheetId="12">'P-Ex(Sze.3 SEFmV mit F)'!$B$43</definedName>
    <definedName name="RlCd" localSheetId="2">'P-Ex(Szenario 1 EB.1)'!$B$69</definedName>
    <definedName name="RlCd" localSheetId="4">'P-Ex(Szenario 13 EB.2 Cd10%)'!$B$69</definedName>
    <definedName name="RlCd" localSheetId="5">'P-Ex(Szenario 14 EB.2 Cd85%)'!$B$69</definedName>
    <definedName name="RlCd" localSheetId="3">'P-Ex(Szenario 2 EB.2 mit F)'!$B$69</definedName>
    <definedName name="RlCd" localSheetId="6">'P-Ex(Szenario 3 EB.2 ohne F)'!$B$69</definedName>
    <definedName name="RlCd" localSheetId="13">'P-Ex(Szenario 6 EB.3 k CuZn)'!$B$69</definedName>
    <definedName name="RlCd" localSheetId="14">'P-Ex(Szenario 7 EB.3 nk CuZn)'!$B$69</definedName>
    <definedName name="RlCd" localSheetId="19">'SM-Ex(Sze.4 SEFoV HS)'!$D$44</definedName>
    <definedName name="RlCd" localSheetId="18">'SM-Ex(Sze.4 SEFoV)'!$B$43</definedName>
    <definedName name="RlCd" localSheetId="21">'SM-Ex(Sze.5 SEFmV HS)'!$D$41</definedName>
    <definedName name="RlCd" localSheetId="20">'SM-Ex(Sze.5 SEFmV)'!$B$40</definedName>
    <definedName name="RlCd" localSheetId="24">'SM-Ex(Szenario 11 EB.5 k CuZn)'!$B$69</definedName>
    <definedName name="RlCd" localSheetId="16">'SM-Ex(Szenario 8 EB.4)'!$B$69</definedName>
    <definedName name="RlCd" localSheetId="25">'SM-Ex(Szenario12 EB.5 nk CuZn)'!$B$66</definedName>
    <definedName name="RlCd">#REF!</definedName>
    <definedName name="RlCr" localSheetId="1">'Modell PHOS4green-Verfahren'!#REF!</definedName>
    <definedName name="RlCr" localSheetId="9">'P-Ex(Sze.1 SEFoV mit F HS)'!$D$45</definedName>
    <definedName name="RlCr" localSheetId="8">'P-Ex(Sze.1 SEFoV mit F)'!$B$44</definedName>
    <definedName name="RlCr" localSheetId="11">'P-Ex(Sze.2 SEFoV ohne F HS)'!$D$45</definedName>
    <definedName name="RlCr" localSheetId="10">'P-Ex(Sze.2 SEFoV ohne F)'!$B$44</definedName>
    <definedName name="RlCr" localSheetId="15">'P-Ex(Sze.3 SEFmV mit F HS)'!$D$45</definedName>
    <definedName name="RlCr" localSheetId="12">'P-Ex(Sze.3 SEFmV mit F)'!$B$44</definedName>
    <definedName name="RlCr" localSheetId="2">'P-Ex(Szenario 1 EB.1)'!$B$70</definedName>
    <definedName name="RlCr" localSheetId="4">'P-Ex(Szenario 13 EB.2 Cd10%)'!$B$70</definedName>
    <definedName name="RlCr" localSheetId="5">'P-Ex(Szenario 14 EB.2 Cd85%)'!$B$70</definedName>
    <definedName name="RlCr" localSheetId="3">'P-Ex(Szenario 2 EB.2 mit F)'!$B$70</definedName>
    <definedName name="RlCr" localSheetId="6">'P-Ex(Szenario 3 EB.2 ohne F)'!$B$70</definedName>
    <definedName name="RlCr" localSheetId="13">'P-Ex(Szenario 6 EB.3 k CuZn)'!$B$70</definedName>
    <definedName name="RlCr" localSheetId="14">'P-Ex(Szenario 7 EB.3 nk CuZn)'!$B$70</definedName>
    <definedName name="RlCr" localSheetId="19">'SM-Ex(Sze.4 SEFoV HS)'!$D$45</definedName>
    <definedName name="RlCr" localSheetId="18">'SM-Ex(Sze.4 SEFoV)'!$B$44</definedName>
    <definedName name="RlCr" localSheetId="21">'SM-Ex(Sze.5 SEFmV HS)'!$D$42</definedName>
    <definedName name="RlCr" localSheetId="20">'SM-Ex(Sze.5 SEFmV)'!$B$41</definedName>
    <definedName name="RlCr" localSheetId="24">'SM-Ex(Szenario 11 EB.5 k CuZn)'!$B$70</definedName>
    <definedName name="RlCr" localSheetId="16">'SM-Ex(Szenario 8 EB.4)'!$B$70</definedName>
    <definedName name="RlCr" localSheetId="25">'SM-Ex(Szenario12 EB.5 nk CuZn)'!$B$67</definedName>
    <definedName name="RlCr">#REF!</definedName>
    <definedName name="RlCu" localSheetId="1">'Modell PHOS4green-Verfahren'!#REF!</definedName>
    <definedName name="RlCu" localSheetId="9">'P-Ex(Sze.1 SEFoV mit F HS)'!$D$46</definedName>
    <definedName name="RlCu" localSheetId="8">'P-Ex(Sze.1 SEFoV mit F)'!$B$45</definedName>
    <definedName name="RlCu" localSheetId="11">'P-Ex(Sze.2 SEFoV ohne F HS)'!$D$46</definedName>
    <definedName name="RlCu" localSheetId="10">'P-Ex(Sze.2 SEFoV ohne F)'!$B$45</definedName>
    <definedName name="RlCu" localSheetId="15">'P-Ex(Sze.3 SEFmV mit F HS)'!$D$46</definedName>
    <definedName name="RlCu" localSheetId="12">'P-Ex(Sze.3 SEFmV mit F)'!$B$45</definedName>
    <definedName name="RlCu" localSheetId="2">'P-Ex(Szenario 1 EB.1)'!$B$71</definedName>
    <definedName name="RlCu" localSheetId="4">'P-Ex(Szenario 13 EB.2 Cd10%)'!$B$71</definedName>
    <definedName name="RlCu" localSheetId="5">'P-Ex(Szenario 14 EB.2 Cd85%)'!$B$71</definedName>
    <definedName name="RlCu" localSheetId="3">'P-Ex(Szenario 2 EB.2 mit F)'!$B$71</definedName>
    <definedName name="RlCu" localSheetId="6">'P-Ex(Szenario 3 EB.2 ohne F)'!$B$71</definedName>
    <definedName name="RlCu" localSheetId="13">'P-Ex(Szenario 6 EB.3 k CuZn)'!$B$71</definedName>
    <definedName name="RlCu" localSheetId="14">'P-Ex(Szenario 7 EB.3 nk CuZn)'!$B$71</definedName>
    <definedName name="RlCu" localSheetId="19">'SM-Ex(Sze.4 SEFoV HS)'!$D$46</definedName>
    <definedName name="RlCu" localSheetId="18">'SM-Ex(Sze.4 SEFoV)'!$B$45</definedName>
    <definedName name="RlCu" localSheetId="21">'SM-Ex(Sze.5 SEFmV HS)'!$D$43</definedName>
    <definedName name="RlCu" localSheetId="20">'SM-Ex(Sze.5 SEFmV)'!$B$42</definedName>
    <definedName name="RlCu" localSheetId="24">'SM-Ex(Szenario 11 EB.5 k CuZn)'!$B$71</definedName>
    <definedName name="RlCu" localSheetId="16">'SM-Ex(Szenario 8 EB.4)'!$B$71</definedName>
    <definedName name="RlCu" localSheetId="25">'SM-Ex(Szenario12 EB.5 nk CuZn)'!$B$68</definedName>
    <definedName name="RlCu">#REF!</definedName>
    <definedName name="RlFe" localSheetId="1">'Modell PHOS4green-Verfahren'!#REF!</definedName>
    <definedName name="RlFe" localSheetId="9">'P-Ex(Sze.1 SEFoV mit F HS)'!$D$47</definedName>
    <definedName name="RlFe" localSheetId="8">'P-Ex(Sze.1 SEFoV mit F)'!$B$46</definedName>
    <definedName name="RlFe" localSheetId="11">'P-Ex(Sze.2 SEFoV ohne F HS)'!$D$47</definedName>
    <definedName name="RlFe" localSheetId="10">'P-Ex(Sze.2 SEFoV ohne F)'!$B$46</definedName>
    <definedName name="RlFe" localSheetId="15">'P-Ex(Sze.3 SEFmV mit F HS)'!$D$47</definedName>
    <definedName name="RlFe" localSheetId="12">'P-Ex(Sze.3 SEFmV mit F)'!$B$46</definedName>
    <definedName name="RlFe" localSheetId="2">'P-Ex(Szenario 1 EB.1)'!$B$72</definedName>
    <definedName name="RlFe" localSheetId="4">'P-Ex(Szenario 13 EB.2 Cd10%)'!$B$72</definedName>
    <definedName name="RlFe" localSheetId="5">'P-Ex(Szenario 14 EB.2 Cd85%)'!$B$72</definedName>
    <definedName name="RlFe" localSheetId="3">'P-Ex(Szenario 2 EB.2 mit F)'!$B$72</definedName>
    <definedName name="RlFe" localSheetId="6">'P-Ex(Szenario 3 EB.2 ohne F)'!$B$72</definedName>
    <definedName name="RlFe" localSheetId="13">'P-Ex(Szenario 6 EB.3 k CuZn)'!$B$72</definedName>
    <definedName name="RlFe" localSheetId="14">'P-Ex(Szenario 7 EB.3 nk CuZn)'!$B$72</definedName>
    <definedName name="RlFe" localSheetId="19">'SM-Ex(Sze.4 SEFoV HS)'!$D$47</definedName>
    <definedName name="RlFe" localSheetId="18">'SM-Ex(Sze.4 SEFoV)'!$B$46</definedName>
    <definedName name="RlFe" localSheetId="21">'SM-Ex(Sze.5 SEFmV HS)'!$D$44</definedName>
    <definedName name="RlFe" localSheetId="20">'SM-Ex(Sze.5 SEFmV)'!$B$43</definedName>
    <definedName name="RlFe" localSheetId="24">'SM-Ex(Szenario 11 EB.5 k CuZn)'!$B$72</definedName>
    <definedName name="RlFe" localSheetId="16">'SM-Ex(Szenario 8 EB.4)'!$B$72</definedName>
    <definedName name="RlFe" localSheetId="25">'SM-Ex(Szenario12 EB.5 nk CuZn)'!$B$69</definedName>
    <definedName name="RlFe">#REF!</definedName>
    <definedName name="RlK" localSheetId="1">'Modell PHOS4green-Verfahren'!#REF!</definedName>
    <definedName name="RlK" localSheetId="9">'P-Ex(Sze.1 SEFoV mit F HS)'!$D$48</definedName>
    <definedName name="RlK" localSheetId="8">'P-Ex(Sze.1 SEFoV mit F)'!$B$47</definedName>
    <definedName name="RlK" localSheetId="11">'P-Ex(Sze.2 SEFoV ohne F HS)'!$D$48</definedName>
    <definedName name="RlK" localSheetId="10">'P-Ex(Sze.2 SEFoV ohne F)'!$B$47</definedName>
    <definedName name="RlK" localSheetId="15">'P-Ex(Sze.3 SEFmV mit F HS)'!$D$48</definedName>
    <definedName name="RlK" localSheetId="12">'P-Ex(Sze.3 SEFmV mit F)'!$B$47</definedName>
    <definedName name="RlK" localSheetId="2">'P-Ex(Szenario 1 EB.1)'!$B$73</definedName>
    <definedName name="RlK" localSheetId="4">'P-Ex(Szenario 13 EB.2 Cd10%)'!$B$73</definedName>
    <definedName name="RlK" localSheetId="5">'P-Ex(Szenario 14 EB.2 Cd85%)'!$B$73</definedName>
    <definedName name="RlK" localSheetId="3">'P-Ex(Szenario 2 EB.2 mit F)'!$B$73</definedName>
    <definedName name="RlK" localSheetId="6">'P-Ex(Szenario 3 EB.2 ohne F)'!$B$73</definedName>
    <definedName name="RlK" localSheetId="13">'P-Ex(Szenario 6 EB.3 k CuZn)'!$B$73</definedName>
    <definedName name="RlK" localSheetId="14">'P-Ex(Szenario 7 EB.3 nk CuZn)'!$B$73</definedName>
    <definedName name="RlK" localSheetId="19">'SM-Ex(Sze.4 SEFoV HS)'!$D$48</definedName>
    <definedName name="RlK" localSheetId="18">'SM-Ex(Sze.4 SEFoV)'!$B$47</definedName>
    <definedName name="RlK" localSheetId="21">'SM-Ex(Sze.5 SEFmV HS)'!$D$45</definedName>
    <definedName name="RlK" localSheetId="20">'SM-Ex(Sze.5 SEFmV)'!$B$44</definedName>
    <definedName name="RlK" localSheetId="24">'SM-Ex(Szenario 11 EB.5 k CuZn)'!$B$73</definedName>
    <definedName name="RlK" localSheetId="16">'SM-Ex(Szenario 8 EB.4)'!$B$73</definedName>
    <definedName name="RlK" localSheetId="25">'SM-Ex(Szenario12 EB.5 nk CuZn)'!$B$70</definedName>
    <definedName name="RlK">#REF!</definedName>
    <definedName name="RlMg" localSheetId="1">'Modell PHOS4green-Verfahren'!#REF!</definedName>
    <definedName name="RlMg" localSheetId="9">'P-Ex(Sze.1 SEFoV mit F HS)'!$D$49</definedName>
    <definedName name="RlMg" localSheetId="8">'P-Ex(Sze.1 SEFoV mit F)'!$B$48</definedName>
    <definedName name="RlMg" localSheetId="11">'P-Ex(Sze.2 SEFoV ohne F HS)'!$D$49</definedName>
    <definedName name="RlMg" localSheetId="10">'P-Ex(Sze.2 SEFoV ohne F)'!$B$48</definedName>
    <definedName name="RlMg" localSheetId="15">'P-Ex(Sze.3 SEFmV mit F HS)'!$D$49</definedName>
    <definedName name="RlMg" localSheetId="12">'P-Ex(Sze.3 SEFmV mit F)'!$B$48</definedName>
    <definedName name="RlMg" localSheetId="2">'P-Ex(Szenario 1 EB.1)'!$B$74</definedName>
    <definedName name="RlMg" localSheetId="4">'P-Ex(Szenario 13 EB.2 Cd10%)'!$B$74</definedName>
    <definedName name="RlMg" localSheetId="5">'P-Ex(Szenario 14 EB.2 Cd85%)'!$B$74</definedName>
    <definedName name="RlMg" localSheetId="3">'P-Ex(Szenario 2 EB.2 mit F)'!$B$74</definedName>
    <definedName name="RlMg" localSheetId="6">'P-Ex(Szenario 3 EB.2 ohne F)'!$B$74</definedName>
    <definedName name="RlMg" localSheetId="13">'P-Ex(Szenario 6 EB.3 k CuZn)'!$B$74</definedName>
    <definedName name="RlMg" localSheetId="14">'P-Ex(Szenario 7 EB.3 nk CuZn)'!$B$74</definedName>
    <definedName name="RlMg" localSheetId="19">'SM-Ex(Sze.4 SEFoV HS)'!$D$49</definedName>
    <definedName name="RlMg" localSheetId="18">'SM-Ex(Sze.4 SEFoV)'!$B$48</definedName>
    <definedName name="RlMg" localSheetId="21">'SM-Ex(Sze.5 SEFmV HS)'!$D$46</definedName>
    <definedName name="RlMg" localSheetId="20">'SM-Ex(Sze.5 SEFmV)'!$B$45</definedName>
    <definedName name="RlMg" localSheetId="24">'SM-Ex(Szenario 11 EB.5 k CuZn)'!$B$74</definedName>
    <definedName name="RlMg" localSheetId="16">'SM-Ex(Szenario 8 EB.4)'!$B$74</definedName>
    <definedName name="RlMg" localSheetId="25">'SM-Ex(Szenario12 EB.5 nk CuZn)'!$B$71</definedName>
    <definedName name="RlMg">#REF!</definedName>
    <definedName name="RlNa" localSheetId="1">'Modell PHOS4green-Verfahren'!#REF!</definedName>
    <definedName name="RlNa" localSheetId="9">'P-Ex(Sze.1 SEFoV mit F HS)'!$D$50</definedName>
    <definedName name="RlNa" localSheetId="8">'P-Ex(Sze.1 SEFoV mit F)'!$B$49</definedName>
    <definedName name="RlNa" localSheetId="11">'P-Ex(Sze.2 SEFoV ohne F HS)'!$D$50</definedName>
    <definedName name="RlNa" localSheetId="10">'P-Ex(Sze.2 SEFoV ohne F)'!$B$49</definedName>
    <definedName name="RlNa" localSheetId="15">'P-Ex(Sze.3 SEFmV mit F HS)'!$D$50</definedName>
    <definedName name="RlNa" localSheetId="12">'P-Ex(Sze.3 SEFmV mit F)'!$B$49</definedName>
    <definedName name="RlNa" localSheetId="2">'P-Ex(Szenario 1 EB.1)'!$B$75</definedName>
    <definedName name="RlNa" localSheetId="4">'P-Ex(Szenario 13 EB.2 Cd10%)'!$B$75</definedName>
    <definedName name="RlNa" localSheetId="5">'P-Ex(Szenario 14 EB.2 Cd85%)'!$B$75</definedName>
    <definedName name="RlNa" localSheetId="3">'P-Ex(Szenario 2 EB.2 mit F)'!$B$75</definedName>
    <definedName name="RlNa" localSheetId="6">'P-Ex(Szenario 3 EB.2 ohne F)'!$B$75</definedName>
    <definedName name="RlNa" localSheetId="13">'P-Ex(Szenario 6 EB.3 k CuZn)'!$B$75</definedName>
    <definedName name="RlNa" localSheetId="14">'P-Ex(Szenario 7 EB.3 nk CuZn)'!$B$75</definedName>
    <definedName name="RlNa" localSheetId="19">'SM-Ex(Sze.4 SEFoV HS)'!$D$50</definedName>
    <definedName name="RlNa" localSheetId="18">'SM-Ex(Sze.4 SEFoV)'!$B$49</definedName>
    <definedName name="RlNa" localSheetId="21">'SM-Ex(Sze.5 SEFmV HS)'!$D$47</definedName>
    <definedName name="RlNa" localSheetId="20">'SM-Ex(Sze.5 SEFmV)'!$B$46</definedName>
    <definedName name="RlNa" localSheetId="24">'SM-Ex(Szenario 11 EB.5 k CuZn)'!$B$75</definedName>
    <definedName name="RlNa" localSheetId="16">'SM-Ex(Szenario 8 EB.4)'!$B$75</definedName>
    <definedName name="RlNa" localSheetId="25">'SM-Ex(Szenario12 EB.5 nk CuZn)'!$B$72</definedName>
    <definedName name="RlNa">#REF!</definedName>
    <definedName name="RlNi" localSheetId="1">'Modell PHOS4green-Verfahren'!#REF!</definedName>
    <definedName name="RlNi" localSheetId="9">'P-Ex(Sze.1 SEFoV mit F HS)'!$D$51</definedName>
    <definedName name="RlNi" localSheetId="8">'P-Ex(Sze.1 SEFoV mit F)'!$B$50</definedName>
    <definedName name="RlNi" localSheetId="11">'P-Ex(Sze.2 SEFoV ohne F HS)'!$D$51</definedName>
    <definedName name="RlNi" localSheetId="10">'P-Ex(Sze.2 SEFoV ohne F)'!$B$50</definedName>
    <definedName name="RlNi" localSheetId="15">'P-Ex(Sze.3 SEFmV mit F HS)'!$D$51</definedName>
    <definedName name="RlNi" localSheetId="12">'P-Ex(Sze.3 SEFmV mit F)'!$B$50</definedName>
    <definedName name="RlNi" localSheetId="2">'P-Ex(Szenario 1 EB.1)'!$B$76</definedName>
    <definedName name="RlNi" localSheetId="4">'P-Ex(Szenario 13 EB.2 Cd10%)'!$B$76</definedName>
    <definedName name="RlNi" localSheetId="5">'P-Ex(Szenario 14 EB.2 Cd85%)'!$B$76</definedName>
    <definedName name="RlNi" localSheetId="3">'P-Ex(Szenario 2 EB.2 mit F)'!$B$76</definedName>
    <definedName name="RlNi" localSheetId="6">'P-Ex(Szenario 3 EB.2 ohne F)'!$B$76</definedName>
    <definedName name="RlNi" localSheetId="13">'P-Ex(Szenario 6 EB.3 k CuZn)'!$B$76</definedName>
    <definedName name="RlNi" localSheetId="14">'P-Ex(Szenario 7 EB.3 nk CuZn)'!$B$76</definedName>
    <definedName name="RlNi" localSheetId="19">'SM-Ex(Sze.4 SEFoV HS)'!$D$51</definedName>
    <definedName name="RlNi" localSheetId="18">'SM-Ex(Sze.4 SEFoV)'!$B$50</definedName>
    <definedName name="RlNi" localSheetId="21">'SM-Ex(Sze.5 SEFmV HS)'!$D$48</definedName>
    <definedName name="RlNi" localSheetId="20">'SM-Ex(Sze.5 SEFmV)'!$B$47</definedName>
    <definedName name="RlNi" localSheetId="24">'SM-Ex(Szenario 11 EB.5 k CuZn)'!$B$76</definedName>
    <definedName name="RlNi" localSheetId="16">'SM-Ex(Szenario 8 EB.4)'!$B$76</definedName>
    <definedName name="RlNi" localSheetId="25">'SM-Ex(Szenario12 EB.5 nk CuZn)'!$B$73</definedName>
    <definedName name="RlNi">#REF!</definedName>
    <definedName name="RlP" localSheetId="1">'Modell PHOS4green-Verfahren'!#REF!</definedName>
    <definedName name="RlP" localSheetId="9">'P-Ex(Sze.1 SEFoV mit F HS)'!$D$52</definedName>
    <definedName name="RlP" localSheetId="8">'P-Ex(Sze.1 SEFoV mit F)'!$B$51</definedName>
    <definedName name="RlP" localSheetId="11">'P-Ex(Sze.2 SEFoV ohne F HS)'!$D$52</definedName>
    <definedName name="RlP" localSheetId="10">'P-Ex(Sze.2 SEFoV ohne F)'!$B$51</definedName>
    <definedName name="RlP" localSheetId="15">'P-Ex(Sze.3 SEFmV mit F HS)'!$D$52</definedName>
    <definedName name="RlP" localSheetId="12">'P-Ex(Sze.3 SEFmV mit F)'!$B$51</definedName>
    <definedName name="RlP" localSheetId="2">'P-Ex(Szenario 1 EB.1)'!$B$77</definedName>
    <definedName name="RlP" localSheetId="4">'P-Ex(Szenario 13 EB.2 Cd10%)'!$B$77</definedName>
    <definedName name="RlP" localSheetId="5">'P-Ex(Szenario 14 EB.2 Cd85%)'!$B$77</definedName>
    <definedName name="RlP" localSheetId="3">'P-Ex(Szenario 2 EB.2 mit F)'!$B$77</definedName>
    <definedName name="RlP" localSheetId="6">'P-Ex(Szenario 3 EB.2 ohne F)'!$B$77</definedName>
    <definedName name="RlP" localSheetId="13">'P-Ex(Szenario 6 EB.3 k CuZn)'!$B$77</definedName>
    <definedName name="RlP" localSheetId="14">'P-Ex(Szenario 7 EB.3 nk CuZn)'!$B$77</definedName>
    <definedName name="RlP" localSheetId="19">'SM-Ex(Sze.4 SEFoV HS)'!$D$52</definedName>
    <definedName name="RlP" localSheetId="18">'SM-Ex(Sze.4 SEFoV)'!$B$51</definedName>
    <definedName name="RlP" localSheetId="21">'SM-Ex(Sze.5 SEFmV HS)'!$D$49</definedName>
    <definedName name="RlP" localSheetId="20">'SM-Ex(Sze.5 SEFmV)'!$B$48</definedName>
    <definedName name="RlP" localSheetId="24">'SM-Ex(Szenario 11 EB.5 k CuZn)'!$B$77</definedName>
    <definedName name="RlP" localSheetId="16">'SM-Ex(Szenario 8 EB.4)'!$B$77</definedName>
    <definedName name="RlP" localSheetId="25">'SM-Ex(Szenario12 EB.5 nk CuZn)'!$B$74</definedName>
    <definedName name="RlP">#REF!</definedName>
    <definedName name="RlPb" localSheetId="1">'Modell PHOS4green-Verfahren'!#REF!</definedName>
    <definedName name="RlPb" localSheetId="9">'P-Ex(Sze.1 SEFoV mit F HS)'!$D$53</definedName>
    <definedName name="RlPb" localSheetId="8">'P-Ex(Sze.1 SEFoV mit F)'!$B$52</definedName>
    <definedName name="RlPb" localSheetId="11">'P-Ex(Sze.2 SEFoV ohne F HS)'!$D$53</definedName>
    <definedName name="RlPb" localSheetId="10">'P-Ex(Sze.2 SEFoV ohne F)'!$B$52</definedName>
    <definedName name="RlPb" localSheetId="15">'P-Ex(Sze.3 SEFmV mit F HS)'!$D$53</definedName>
    <definedName name="RlPb" localSheetId="12">'P-Ex(Sze.3 SEFmV mit F)'!$B$52</definedName>
    <definedName name="RlPb" localSheetId="2">'P-Ex(Szenario 1 EB.1)'!$B$78</definedName>
    <definedName name="RlPb" localSheetId="4">'P-Ex(Szenario 13 EB.2 Cd10%)'!$B$78</definedName>
    <definedName name="RlPb" localSheetId="5">'P-Ex(Szenario 14 EB.2 Cd85%)'!$B$78</definedName>
    <definedName name="RlPb" localSheetId="3">'P-Ex(Szenario 2 EB.2 mit F)'!$B$78</definedName>
    <definedName name="RlPb" localSheetId="6">'P-Ex(Szenario 3 EB.2 ohne F)'!$B$78</definedName>
    <definedName name="RlPb" localSheetId="13">'P-Ex(Szenario 6 EB.3 k CuZn)'!$B$78</definedName>
    <definedName name="RlPb" localSheetId="14">'P-Ex(Szenario 7 EB.3 nk CuZn)'!$B$78</definedName>
    <definedName name="RlPb" localSheetId="19">'SM-Ex(Sze.4 SEFoV HS)'!$D$53</definedName>
    <definedName name="RlPb" localSheetId="18">'SM-Ex(Sze.4 SEFoV)'!$B$52</definedName>
    <definedName name="RlPb" localSheetId="21">'SM-Ex(Sze.5 SEFmV HS)'!$D$50</definedName>
    <definedName name="RlPb" localSheetId="20">'SM-Ex(Sze.5 SEFmV)'!$B$49</definedName>
    <definedName name="RlPb" localSheetId="24">'SM-Ex(Szenario 11 EB.5 k CuZn)'!$B$78</definedName>
    <definedName name="RlPb" localSheetId="16">'SM-Ex(Szenario 8 EB.4)'!$B$78</definedName>
    <definedName name="RlPb" localSheetId="25">'SM-Ex(Szenario12 EB.5 nk CuZn)'!$B$75</definedName>
    <definedName name="RlPb">#REF!</definedName>
    <definedName name="RlS" localSheetId="1">'Modell PHOS4green-Verfahren'!#REF!</definedName>
    <definedName name="RlS" localSheetId="9">'P-Ex(Sze.1 SEFoV mit F HS)'!$D$54</definedName>
    <definedName name="RlS" localSheetId="8">'P-Ex(Sze.1 SEFoV mit F)'!$B$53</definedName>
    <definedName name="RlS" localSheetId="11">'P-Ex(Sze.2 SEFoV ohne F HS)'!$D$54</definedName>
    <definedName name="RlS" localSheetId="10">'P-Ex(Sze.2 SEFoV ohne F)'!$B$53</definedName>
    <definedName name="RlS" localSheetId="15">'P-Ex(Sze.3 SEFmV mit F HS)'!$D$54</definedName>
    <definedName name="RlS" localSheetId="12">'P-Ex(Sze.3 SEFmV mit F)'!$B$53</definedName>
    <definedName name="RlS" localSheetId="2">'P-Ex(Szenario 1 EB.1)'!$B$79</definedName>
    <definedName name="RlS" localSheetId="4">'P-Ex(Szenario 13 EB.2 Cd10%)'!$B$79</definedName>
    <definedName name="RlS" localSheetId="5">'P-Ex(Szenario 14 EB.2 Cd85%)'!$B$79</definedName>
    <definedName name="RlS" localSheetId="3">'P-Ex(Szenario 2 EB.2 mit F)'!$B$79</definedName>
    <definedName name="RlS" localSheetId="6">'P-Ex(Szenario 3 EB.2 ohne F)'!$B$79</definedName>
    <definedName name="RlS" localSheetId="13">'P-Ex(Szenario 6 EB.3 k CuZn)'!$B$79</definedName>
    <definedName name="RlS" localSheetId="14">'P-Ex(Szenario 7 EB.3 nk CuZn)'!$B$79</definedName>
    <definedName name="RlS" localSheetId="19">'SM-Ex(Sze.4 SEFoV HS)'!$D$54</definedName>
    <definedName name="RlS" localSheetId="18">'SM-Ex(Sze.4 SEFoV)'!$B$53</definedName>
    <definedName name="RlS" localSheetId="21">'SM-Ex(Sze.5 SEFmV HS)'!$D$51</definedName>
    <definedName name="RlS" localSheetId="20">'SM-Ex(Sze.5 SEFmV)'!$B$50</definedName>
    <definedName name="RlS" localSheetId="24">'SM-Ex(Szenario 11 EB.5 k CuZn)'!$B$79</definedName>
    <definedName name="RlS" localSheetId="16">'SM-Ex(Szenario 8 EB.4)'!$B$79</definedName>
    <definedName name="RlS" localSheetId="25">'SM-Ex(Szenario12 EB.5 nk CuZn)'!$B$76</definedName>
    <definedName name="RlS">#REF!</definedName>
    <definedName name="RlZn" localSheetId="1">'Modell PHOS4green-Verfahren'!#REF!</definedName>
    <definedName name="RlZn" localSheetId="9">'P-Ex(Sze.1 SEFoV mit F HS)'!$D$55</definedName>
    <definedName name="RlZn" localSheetId="8">'P-Ex(Sze.1 SEFoV mit F)'!$B$54</definedName>
    <definedName name="RlZn" localSheetId="11">'P-Ex(Sze.2 SEFoV ohne F HS)'!$D$55</definedName>
    <definedName name="RlZn" localSheetId="10">'P-Ex(Sze.2 SEFoV ohne F)'!$B$54</definedName>
    <definedName name="RlZn" localSheetId="15">'P-Ex(Sze.3 SEFmV mit F HS)'!$D$55</definedName>
    <definedName name="RlZn" localSheetId="12">'P-Ex(Sze.3 SEFmV mit F)'!$B$54</definedName>
    <definedName name="RlZn" localSheetId="2">'P-Ex(Szenario 1 EB.1)'!$B$80</definedName>
    <definedName name="RlZn" localSheetId="4">'P-Ex(Szenario 13 EB.2 Cd10%)'!$B$80</definedName>
    <definedName name="RlZn" localSheetId="5">'P-Ex(Szenario 14 EB.2 Cd85%)'!$B$80</definedName>
    <definedName name="RlZn" localSheetId="3">'P-Ex(Szenario 2 EB.2 mit F)'!$B$80</definedName>
    <definedName name="RlZn" localSheetId="6">'P-Ex(Szenario 3 EB.2 ohne F)'!$B$80</definedName>
    <definedName name="RlZn" localSheetId="13">'P-Ex(Szenario 6 EB.3 k CuZn)'!$B$80</definedName>
    <definedName name="RlZn" localSheetId="14">'P-Ex(Szenario 7 EB.3 nk CuZn)'!$B$80</definedName>
    <definedName name="RlZn" localSheetId="19">'SM-Ex(Sze.4 SEFoV HS)'!$D$55</definedName>
    <definedName name="RlZn" localSheetId="18">'SM-Ex(Sze.4 SEFoV)'!$B$54</definedName>
    <definedName name="RlZn" localSheetId="21">'SM-Ex(Sze.5 SEFmV HS)'!$D$52</definedName>
    <definedName name="RlZn" localSheetId="20">'SM-Ex(Sze.5 SEFmV)'!$B$51</definedName>
    <definedName name="RlZn" localSheetId="24">'SM-Ex(Szenario 11 EB.5 k CuZn)'!$B$80</definedName>
    <definedName name="RlZn" localSheetId="16">'SM-Ex(Szenario 8 EB.4)'!$B$80</definedName>
    <definedName name="RlZn" localSheetId="25">'SM-Ex(Szenario12 EB.5 nk CuZn)'!$B$77</definedName>
    <definedName name="RlZn">#REF!</definedName>
    <definedName name="SEF" localSheetId="1">'Modell PHOS4green-Verfahren'!$C$47</definedName>
    <definedName name="SEF" localSheetId="9">'P-Ex(Sze.1 SEFoV mit F HS)'!$C$10</definedName>
    <definedName name="SEF" localSheetId="8">'P-Ex(Sze.1 SEFoV mit F)'!$C$9</definedName>
    <definedName name="SEF" localSheetId="11">'P-Ex(Sze.2 SEFoV ohne F HS)'!$C$10</definedName>
    <definedName name="SEF" localSheetId="10">'P-Ex(Sze.2 SEFoV ohne F)'!$C$9</definedName>
    <definedName name="SEF" localSheetId="15">'P-Ex(Sze.3 SEFmV mit F HS)'!$C$10</definedName>
    <definedName name="SEF" localSheetId="12">'P-Ex(Sze.3 SEFmV mit F)'!$C$9</definedName>
    <definedName name="SEF" localSheetId="2">'P-Ex(Szenario 1 EB.1)'!$C$9</definedName>
    <definedName name="SEF" localSheetId="4">'P-Ex(Szenario 13 EB.2 Cd10%)'!$C$9</definedName>
    <definedName name="SEF" localSheetId="5">'P-Ex(Szenario 14 EB.2 Cd85%)'!$C$9</definedName>
    <definedName name="SEF" localSheetId="3">'P-Ex(Szenario 2 EB.2 mit F)'!$C$9</definedName>
    <definedName name="SEF" localSheetId="6">'P-Ex(Szenario 3 EB.2 ohne F)'!$C$9</definedName>
    <definedName name="SEF" localSheetId="13">'P-Ex(Szenario 6 EB.3 k CuZn)'!$C$9</definedName>
    <definedName name="SEF" localSheetId="14">'P-Ex(Szenario 7 EB.3 nk CuZn)'!$C$9</definedName>
    <definedName name="SEF" localSheetId="19">'SM-Ex(Sze.4 SEFoV HS)'!$C$10</definedName>
    <definedName name="SEF" localSheetId="18">'SM-Ex(Sze.4 SEFoV)'!$C$9</definedName>
    <definedName name="SEF" localSheetId="21">'SM-Ex(Sze.5 SEFmV HS)'!$C$10</definedName>
    <definedName name="SEF" localSheetId="20">'SM-Ex(Sze.5 SEFmV)'!$C$9</definedName>
    <definedName name="SEF" localSheetId="24">'SM-Ex(Szenario 11 EB.5 k CuZn)'!$C$9</definedName>
    <definedName name="SEF" localSheetId="16">'SM-Ex(Szenario 8 EB.4)'!$C$9</definedName>
    <definedName name="SEF" localSheetId="25">'SM-Ex(Szenario12 EB.5 nk CuZn)'!$C$9</definedName>
    <definedName name="SEF">#REF!</definedName>
    <definedName name="SSK" localSheetId="1">'Modell PHOS4green-Verfahren'!#REF!</definedName>
    <definedName name="SSK" localSheetId="9">'P-Ex(Sze.1 SEFoV mit F HS)'!$C$14</definedName>
    <definedName name="SSK" localSheetId="8">'P-Ex(Sze.1 SEFoV mit F)'!$C$13</definedName>
    <definedName name="SSK" localSheetId="11">'P-Ex(Sze.2 SEFoV ohne F HS)'!$C$14</definedName>
    <definedName name="SSK" localSheetId="10">'P-Ex(Sze.2 SEFoV ohne F)'!$C$13</definedName>
    <definedName name="SSK" localSheetId="15">'P-Ex(Sze.3 SEFmV mit F HS)'!$C$14</definedName>
    <definedName name="SSK" localSheetId="12">'P-Ex(Sze.3 SEFmV mit F)'!$C$13</definedName>
    <definedName name="SSK" localSheetId="2">'P-Ex(Szenario 1 EB.1)'!$C$13</definedName>
    <definedName name="SSK" localSheetId="4">'P-Ex(Szenario 13 EB.2 Cd10%)'!$C$13</definedName>
    <definedName name="SSK" localSheetId="5">'P-Ex(Szenario 14 EB.2 Cd85%)'!$C$13</definedName>
    <definedName name="SSK" localSheetId="3">'P-Ex(Szenario 2 EB.2 mit F)'!$C$13</definedName>
    <definedName name="SSK" localSheetId="6">'P-Ex(Szenario 3 EB.2 ohne F)'!$C$13</definedName>
    <definedName name="SSK" localSheetId="13">'P-Ex(Szenario 6 EB.3 k CuZn)'!$C$13</definedName>
    <definedName name="SSK" localSheetId="14">'P-Ex(Szenario 7 EB.3 nk CuZn)'!$C$13</definedName>
    <definedName name="SSK" localSheetId="19">'SM-Ex(Sze.4 SEFoV HS)'!$C$14</definedName>
    <definedName name="SSK" localSheetId="18">'SM-Ex(Sze.4 SEFoV)'!$C$13</definedName>
    <definedName name="SSK" localSheetId="21">'SM-Ex(Sze.5 SEFmV HS)'!$C$14</definedName>
    <definedName name="SSK" localSheetId="20">'SM-Ex(Sze.5 SEFmV)'!$C$13</definedName>
    <definedName name="SSK" localSheetId="24">'SM-Ex(Szenario 11 EB.5 k CuZn)'!$C$13</definedName>
    <definedName name="SSK" localSheetId="16">'SM-Ex(Szenario 8 EB.4)'!$C$13</definedName>
    <definedName name="SSK" localSheetId="25">'SM-Ex(Szenario12 EB.5 nk CuZn)'!$C$13</definedName>
    <definedName name="SSK">#REF!</definedName>
    <definedName name="TME" localSheetId="1">'Modell PHOS4green-Verfahren'!#REF!</definedName>
    <definedName name="TME" localSheetId="9">'P-Ex(Sze.1 SEFoV mit F HS)'!$C$462</definedName>
    <definedName name="TME" localSheetId="8">'P-Ex(Sze.1 SEFoV mit F)'!$C$388</definedName>
    <definedName name="TME" localSheetId="11">'P-Ex(Sze.2 SEFoV ohne F HS)'!$C$425</definedName>
    <definedName name="TME" localSheetId="10">'P-Ex(Sze.2 SEFoV ohne F)'!$C$384</definedName>
    <definedName name="TME" localSheetId="15">'P-Ex(Sze.3 SEFmV mit F HS)'!$C$405</definedName>
    <definedName name="TME" localSheetId="12">'P-Ex(Sze.3 SEFmV mit F)'!$C$390</definedName>
    <definedName name="TME" localSheetId="2">'P-Ex(Szenario 1 EB.1)'!$C$512</definedName>
    <definedName name="TME" localSheetId="4">'P-Ex(Szenario 13 EB.2 Cd10%)'!$C$512</definedName>
    <definedName name="TME" localSheetId="5">'P-Ex(Szenario 14 EB.2 Cd85%)'!$C$512</definedName>
    <definedName name="TME" localSheetId="3">'P-Ex(Szenario 2 EB.2 mit F)'!$C$512</definedName>
    <definedName name="TME" localSheetId="6">'P-Ex(Szenario 3 EB.2 ohne F)'!$C$512</definedName>
    <definedName name="TME" localSheetId="13">'P-Ex(Szenario 6 EB.3 k CuZn)'!$C$512</definedName>
    <definedName name="TME" localSheetId="14">'P-Ex(Szenario 7 EB.3 nk CuZn)'!$C$513</definedName>
    <definedName name="TME">#REF!</definedName>
    <definedName name="TMF" localSheetId="19">'SM-Ex(Sze.4 SEFoV HS)'!$C$493</definedName>
    <definedName name="TMF" localSheetId="18">'SM-Ex(Sze.4 SEFoV)'!$C$422</definedName>
    <definedName name="TMF" localSheetId="21">'SM-Ex(Sze.5 SEFmV HS)'!$C$534</definedName>
    <definedName name="TMF" localSheetId="20">'SM-Ex(Sze.5 SEFmV)'!$C$435</definedName>
    <definedName name="TMF" localSheetId="24">'SM-Ex(Szenario 11 EB.5 k CuZn)'!$C$526</definedName>
    <definedName name="TMF" localSheetId="16">'SM-Ex(Szenario 8 EB.4)'!$C$522</definedName>
    <definedName name="TMF" localSheetId="25">'SM-Ex(Szenario12 EB.5 nk CuZn)'!$C$522</definedName>
    <definedName name="TMKSA" localSheetId="1">'Modell PHOS4green-Verfahren'!$C$95</definedName>
    <definedName name="TMKSA" localSheetId="9">'P-Ex(Sze.1 SEFoV mit F HS)'!$C$463</definedName>
    <definedName name="TMKSA" localSheetId="8">'P-Ex(Sze.1 SEFoV mit F)'!$C$389</definedName>
    <definedName name="TMKSA" localSheetId="11">'P-Ex(Sze.2 SEFoV ohne F HS)'!$C$426</definedName>
    <definedName name="TMKSA" localSheetId="10">'P-Ex(Sze.2 SEFoV ohne F)'!$C$385</definedName>
    <definedName name="TMKSA" localSheetId="15">'P-Ex(Sze.3 SEFmV mit F HS)'!$C$406</definedName>
    <definedName name="TMKSA" localSheetId="12">'P-Ex(Sze.3 SEFmV mit F)'!$C$391</definedName>
    <definedName name="TMKSA" localSheetId="2">'P-Ex(Szenario 1 EB.1)'!$C$513</definedName>
    <definedName name="TMKSA" localSheetId="4">'P-Ex(Szenario 13 EB.2 Cd10%)'!$C$513</definedName>
    <definedName name="TMKSA" localSheetId="5">'P-Ex(Szenario 14 EB.2 Cd85%)'!$C$513</definedName>
    <definedName name="TMKSA" localSheetId="3">'P-Ex(Szenario 2 EB.2 mit F)'!$C$513</definedName>
    <definedName name="TMKSA" localSheetId="6">'P-Ex(Szenario 3 EB.2 ohne F)'!$C$513</definedName>
    <definedName name="TMKSA" localSheetId="13">'P-Ex(Szenario 6 EB.3 k CuZn)'!$C$513</definedName>
    <definedName name="TMKSA" localSheetId="14">'P-Ex(Szenario 7 EB.3 nk CuZn)'!$C$514</definedName>
    <definedName name="TMKSA" localSheetId="19">'SM-Ex(Sze.4 SEFoV HS)'!$C$494</definedName>
    <definedName name="TMKSA" localSheetId="18">'SM-Ex(Sze.4 SEFoV)'!$C$423</definedName>
    <definedName name="TMKSA" localSheetId="21">'SM-Ex(Sze.5 SEFmV HS)'!$C$535</definedName>
    <definedName name="TMKSA" localSheetId="20">'SM-Ex(Sze.5 SEFmV)'!$C$436</definedName>
    <definedName name="TMKSA" localSheetId="24">'SM-Ex(Szenario 11 EB.5 k CuZn)'!$C$527</definedName>
    <definedName name="TMKSA" localSheetId="16">'SM-Ex(Szenario 8 EB.4)'!$C$523</definedName>
    <definedName name="TMKSA" localSheetId="25">'SM-Ex(Szenario12 EB.5 nk CuZn)'!$C$523</definedName>
    <definedName name="TMKSA">#REF!</definedName>
    <definedName name="TMP" localSheetId="1">'Modell PHOS4green-Verfahren'!$C$96</definedName>
    <definedName name="TMP" localSheetId="9">'P-Ex(Sze.1 SEFoV mit F HS)'!$C$464</definedName>
    <definedName name="TMP" localSheetId="8">'P-Ex(Sze.1 SEFoV mit F)'!$C$390</definedName>
    <definedName name="TMP" localSheetId="11">'P-Ex(Sze.2 SEFoV ohne F HS)'!$C$427</definedName>
    <definedName name="TMP" localSheetId="10">'P-Ex(Sze.2 SEFoV ohne F)'!$C$386</definedName>
    <definedName name="TMP" localSheetId="15">'P-Ex(Sze.3 SEFmV mit F HS)'!$C$407</definedName>
    <definedName name="TMP" localSheetId="12">'P-Ex(Sze.3 SEFmV mit F)'!$C$392</definedName>
    <definedName name="TMP" localSheetId="2">'P-Ex(Szenario 1 EB.1)'!$C$514</definedName>
    <definedName name="TMP" localSheetId="4">'P-Ex(Szenario 13 EB.2 Cd10%)'!$C$514</definedName>
    <definedName name="TMP" localSheetId="5">'P-Ex(Szenario 14 EB.2 Cd85%)'!$C$514</definedName>
    <definedName name="TMP" localSheetId="3">'P-Ex(Szenario 2 EB.2 mit F)'!$C$514</definedName>
    <definedName name="TMP" localSheetId="6">'P-Ex(Szenario 3 EB.2 ohne F)'!$C$514</definedName>
    <definedName name="TMP" localSheetId="13">'P-Ex(Szenario 6 EB.3 k CuZn)'!$C$514</definedName>
    <definedName name="TMP" localSheetId="14">'P-Ex(Szenario 7 EB.3 nk CuZn)'!$C$515</definedName>
    <definedName name="TMP" localSheetId="19">'SM-Ex(Sze.4 SEFoV HS)'!$C$495</definedName>
    <definedName name="TMP" localSheetId="18">'SM-Ex(Sze.4 SEFoV)'!$C$424</definedName>
    <definedName name="TMP" localSheetId="21">'SM-Ex(Sze.5 SEFmV HS)'!$C$536</definedName>
    <definedName name="TMP" localSheetId="20">'SM-Ex(Sze.5 SEFmV)'!$C$437</definedName>
    <definedName name="TMP" localSheetId="24">'SM-Ex(Szenario 11 EB.5 k CuZn)'!$C$528</definedName>
    <definedName name="TMP" localSheetId="16">'SM-Ex(Szenario 8 EB.4)'!$C$524</definedName>
    <definedName name="TMP" localSheetId="25">'SM-Ex(Szenario12 EB.5 nk CuZn)'!$C$524</definedName>
    <definedName name="TMP">#REF!</definedName>
    <definedName name="TSFE" localSheetId="1">'Modell PHOS4green-Verfahren'!#REF!</definedName>
    <definedName name="TSFE" localSheetId="9">'P-Ex(Sze.1 SEFoV mit F HS)'!$C$278</definedName>
    <definedName name="TSFE" localSheetId="8">'P-Ex(Sze.1 SEFoV mit F)'!$C$235</definedName>
    <definedName name="TSFE" localSheetId="11">'P-Ex(Sze.2 SEFoV ohne F HS)'!$C$241</definedName>
    <definedName name="TSFE" localSheetId="10">'P-Ex(Sze.2 SEFoV ohne F)'!$C$231</definedName>
    <definedName name="TSFE" localSheetId="15">'P-Ex(Sze.3 SEFmV mit F HS)'!$C$222</definedName>
    <definedName name="TSFE" localSheetId="12">'P-Ex(Sze.3 SEFmV mit F)'!$C$216</definedName>
    <definedName name="TSFE" localSheetId="2">'P-Ex(Szenario 1 EB.1)'!$C$315</definedName>
    <definedName name="TSFE" localSheetId="4">'P-Ex(Szenario 13 EB.2 Cd10%)'!$C$315</definedName>
    <definedName name="TSFE" localSheetId="5">'P-Ex(Szenario 14 EB.2 Cd85%)'!$C$315</definedName>
    <definedName name="TSFE" localSheetId="3">'P-Ex(Szenario 2 EB.2 mit F)'!$C$315</definedName>
    <definedName name="TSFE" localSheetId="6">'P-Ex(Szenario 3 EB.2 ohne F)'!$C$315</definedName>
    <definedName name="TSFE" localSheetId="13">'P-Ex(Szenario 6 EB.3 k CuZn)'!$C$315</definedName>
    <definedName name="TSFE" localSheetId="14">'P-Ex(Szenario 7 EB.3 nk CuZn)'!$C$315</definedName>
    <definedName name="TSFE" localSheetId="19">'SM-Ex(Sze.4 SEFoV HS)'!$C$111</definedName>
    <definedName name="TSFE" localSheetId="18">'SM-Ex(Sze.4 SEFoV)'!$C$107</definedName>
    <definedName name="TSFE" localSheetId="21">'SM-Ex(Sze.5 SEFmV HS)'!$C$108</definedName>
    <definedName name="TSFE" localSheetId="20">'SM-Ex(Sze.5 SEFmV)'!$C$104</definedName>
    <definedName name="TSFE" localSheetId="24">'SM-Ex(Szenario 11 EB.5 k CuZn)'!$C$149</definedName>
    <definedName name="TSFE" localSheetId="16">'SM-Ex(Szenario 8 EB.4)'!$C$149</definedName>
    <definedName name="TSFE" localSheetId="25">'SM-Ex(Szenario12 EB.5 nk CuZn)'!$C$146</definedName>
    <definedName name="TSFE">#REF!</definedName>
    <definedName name="TSFePh" localSheetId="19">'SM-Ex(Sze.4 SEFoV HS)'!$C$327</definedName>
    <definedName name="TSFePh" localSheetId="18">'SM-Ex(Sze.4 SEFoV)'!$C$292</definedName>
    <definedName name="TSFePh" localSheetId="21">'SM-Ex(Sze.5 SEFmV HS)'!$C$369</definedName>
    <definedName name="TSFePh" localSheetId="20">'SM-Ex(Sze.5 SEFmV)'!$C$289</definedName>
    <definedName name="TSFePh" localSheetId="24">'SM-Ex(Szenario 11 EB.5 k CuZn)'!$C$379</definedName>
    <definedName name="TSFePh" localSheetId="16">'SM-Ex(Szenario 8 EB.4)'!$C$377</definedName>
    <definedName name="TSFePh" localSheetId="25">'SM-Ex(Szenario12 EB.5 nk CuZn)'!$C$376</definedName>
    <definedName name="TVM" localSheetId="1">'Modell PHOS4green-Verfahren'!$B$47</definedName>
    <definedName name="TVM" localSheetId="9">'P-Ex(Sze.1 SEFoV mit F HS)'!$B$10</definedName>
    <definedName name="TVM" localSheetId="8">'P-Ex(Sze.1 SEFoV mit F)'!$B$9</definedName>
    <definedName name="TVM" localSheetId="11">'P-Ex(Sze.2 SEFoV ohne F HS)'!$B$10</definedName>
    <definedName name="TVM" localSheetId="10">'P-Ex(Sze.2 SEFoV ohne F)'!$B$9</definedName>
    <definedName name="TVM" localSheetId="15">'P-Ex(Sze.3 SEFmV mit F HS)'!$B$10</definedName>
    <definedName name="TVM" localSheetId="12">'P-Ex(Sze.3 SEFmV mit F)'!$B$9</definedName>
    <definedName name="TVM" localSheetId="2">'P-Ex(Szenario 1 EB.1)'!$B$9</definedName>
    <definedName name="TVM" localSheetId="4">'P-Ex(Szenario 13 EB.2 Cd10%)'!$B$9</definedName>
    <definedName name="TVM" localSheetId="5">'P-Ex(Szenario 14 EB.2 Cd85%)'!$B$9</definedName>
    <definedName name="TVM" localSheetId="3">'P-Ex(Szenario 2 EB.2 mit F)'!$B$9</definedName>
    <definedName name="TVM" localSheetId="6">'P-Ex(Szenario 3 EB.2 ohne F)'!$B$9</definedName>
    <definedName name="TVM" localSheetId="13">'P-Ex(Szenario 6 EB.3 k CuZn)'!$B$9</definedName>
    <definedName name="TVM" localSheetId="14">'P-Ex(Szenario 7 EB.3 nk CuZn)'!$B$9</definedName>
    <definedName name="TVM" localSheetId="19">'SM-Ex(Sze.4 SEFoV HS)'!$B$10</definedName>
    <definedName name="TVM" localSheetId="18">'SM-Ex(Sze.4 SEFoV)'!$B$9</definedName>
    <definedName name="TVM" localSheetId="21">'SM-Ex(Sze.5 SEFmV HS)'!$B$10</definedName>
    <definedName name="TVM" localSheetId="20">'SM-Ex(Sze.5 SEFmV)'!$B$9</definedName>
    <definedName name="TVM" localSheetId="24">'SM-Ex(Szenario 11 EB.5 k CuZn)'!$B$9</definedName>
    <definedName name="TVM" localSheetId="16">'SM-Ex(Szenario 8 EB.4)'!$B$9</definedName>
    <definedName name="TVM" localSheetId="25">'SM-Ex(Szenario12 EB.5 nk CuZn)'!$B$9</definedName>
    <definedName name="TVM">#REF!</definedName>
    <definedName name="WK" localSheetId="1">'Modell PHOS4green-Verfahren'!#REF!</definedName>
    <definedName name="WK" localSheetId="9">'P-Ex(Sze.1 SEFoV mit F HS)'!$C$16</definedName>
    <definedName name="WK" localSheetId="8">'P-Ex(Sze.1 SEFoV mit F)'!$C$15</definedName>
    <definedName name="WK" localSheetId="11">'P-Ex(Sze.2 SEFoV ohne F HS)'!$C$16</definedName>
    <definedName name="WK" localSheetId="10">'P-Ex(Sze.2 SEFoV ohne F)'!$C$15</definedName>
    <definedName name="WK" localSheetId="15">'P-Ex(Sze.3 SEFmV mit F HS)'!$C$16</definedName>
    <definedName name="WK" localSheetId="12">'P-Ex(Sze.3 SEFmV mit F)'!$C$15</definedName>
    <definedName name="WK" localSheetId="2">'P-Ex(Szenario 1 EB.1)'!$C$15</definedName>
    <definedName name="WK" localSheetId="4">'P-Ex(Szenario 13 EB.2 Cd10%)'!$C$15</definedName>
    <definedName name="WK" localSheetId="5">'P-Ex(Szenario 14 EB.2 Cd85%)'!$C$15</definedName>
    <definedName name="WK" localSheetId="3">'P-Ex(Szenario 2 EB.2 mit F)'!$C$15</definedName>
    <definedName name="WK" localSheetId="6">'P-Ex(Szenario 3 EB.2 ohne F)'!$C$15</definedName>
    <definedName name="WK" localSheetId="13">'P-Ex(Szenario 6 EB.3 k CuZn)'!$C$15</definedName>
    <definedName name="WK" localSheetId="14">'P-Ex(Szenario 7 EB.3 nk CuZn)'!$C$15</definedName>
    <definedName name="WK" localSheetId="19">'SM-Ex(Sze.4 SEFoV HS)'!$C$16</definedName>
    <definedName name="WK" localSheetId="18">'SM-Ex(Sze.4 SEFoV)'!$C$15</definedName>
    <definedName name="WK" localSheetId="21">'SM-Ex(Sze.5 SEFmV HS)'!$C$16</definedName>
    <definedName name="WK" localSheetId="20">'SM-Ex(Sze.5 SEFmV)'!$C$15</definedName>
    <definedName name="WK" localSheetId="24">'SM-Ex(Szenario 11 EB.5 k CuZn)'!$C$15</definedName>
    <definedName name="WK" localSheetId="16">'SM-Ex(Szenario 8 EB.4)'!$C$15</definedName>
    <definedName name="WK" localSheetId="25">'SM-Ex(Szenario12 EB.5 nk CuZn)'!$C$15</definedName>
    <definedName name="WK">#REF!</definedName>
    <definedName name="WWK" localSheetId="1">'Modell PHOS4green-Verfahren'!#REF!</definedName>
    <definedName name="WWK" localSheetId="9">'P-Ex(Sze.1 SEFoV mit F HS)'!$C$290</definedName>
    <definedName name="WWK" localSheetId="8">'P-Ex(Sze.1 SEFoV mit F)'!$C$240</definedName>
    <definedName name="WWK" localSheetId="11">'P-Ex(Sze.2 SEFoV ohne F HS)'!$C$253</definedName>
    <definedName name="WWK" localSheetId="10">'P-Ex(Sze.2 SEFoV ohne F)'!$C$236</definedName>
    <definedName name="WWK" localSheetId="15">'P-Ex(Sze.3 SEFmV mit F HS)'!$C$234</definedName>
    <definedName name="WWK" localSheetId="12">'P-Ex(Sze.3 SEFmV mit F)'!$C$221</definedName>
    <definedName name="WWK" localSheetId="2">'P-Ex(Szenario 1 EB.1)'!$C$320</definedName>
    <definedName name="WWK" localSheetId="4">'P-Ex(Szenario 13 EB.2 Cd10%)'!$C$320</definedName>
    <definedName name="WWK" localSheetId="5">'P-Ex(Szenario 14 EB.2 Cd85%)'!$C$320</definedName>
    <definedName name="WWK" localSheetId="3">'P-Ex(Szenario 2 EB.2 mit F)'!$C$320</definedName>
    <definedName name="WWK" localSheetId="6">'P-Ex(Szenario 3 EB.2 ohne F)'!$C$320</definedName>
    <definedName name="WWK" localSheetId="13">'P-Ex(Szenario 6 EB.3 k CuZn)'!$C$320</definedName>
    <definedName name="WWK" localSheetId="14">'P-Ex(Szenario 7 EB.3 nk CuZn)'!$C$320</definedName>
    <definedName name="WW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1" i="65" l="1"/>
  <c r="D57" i="65"/>
  <c r="D48" i="65"/>
  <c r="D49" i="65"/>
  <c r="D50" i="65"/>
  <c r="D51" i="65"/>
  <c r="D44" i="65"/>
  <c r="D45" i="65"/>
  <c r="D46" i="65"/>
  <c r="A355" i="65"/>
  <c r="A356" i="65" s="1"/>
  <c r="A357" i="65" s="1"/>
  <c r="A358" i="65" s="1"/>
  <c r="A353" i="65"/>
  <c r="A352" i="65" s="1"/>
  <c r="A351" i="65" s="1"/>
  <c r="A350" i="65" s="1"/>
  <c r="A343" i="65"/>
  <c r="A344" i="65" s="1"/>
  <c r="A345" i="65" s="1"/>
  <c r="A346" i="65" s="1"/>
  <c r="A341" i="65"/>
  <c r="A340" i="65" s="1"/>
  <c r="A339" i="65" s="1"/>
  <c r="A338" i="65" s="1"/>
  <c r="A331" i="65"/>
  <c r="A332" i="65" s="1"/>
  <c r="A333" i="65" s="1"/>
  <c r="A334" i="65" s="1"/>
  <c r="A329" i="65"/>
  <c r="A328" i="65" s="1"/>
  <c r="A327" i="65" s="1"/>
  <c r="A326" i="65" s="1"/>
  <c r="I182" i="65"/>
  <c r="I181" i="65"/>
  <c r="I178" i="65"/>
  <c r="I177" i="65"/>
  <c r="D113" i="65"/>
  <c r="D112" i="65" s="1"/>
  <c r="D111" i="65" s="1"/>
  <c r="D110" i="65" s="1"/>
  <c r="D108" i="65" s="1"/>
  <c r="D107" i="65" s="1"/>
  <c r="A113" i="65"/>
  <c r="A112" i="65" s="1"/>
  <c r="A111" i="65" s="1"/>
  <c r="A109" i="65" s="1"/>
  <c r="A108" i="65" s="1"/>
  <c r="A107" i="65" s="1"/>
  <c r="D73" i="65"/>
  <c r="D72" i="65"/>
  <c r="D70" i="65"/>
  <c r="D69" i="65"/>
  <c r="A69" i="65"/>
  <c r="A70" i="65" s="1"/>
  <c r="A72" i="65" s="1"/>
  <c r="A73" i="65" s="1"/>
  <c r="D68" i="65"/>
  <c r="D67" i="65"/>
  <c r="A67" i="65"/>
  <c r="A66" i="65" s="1"/>
  <c r="D66" i="65"/>
  <c r="D62" i="65"/>
  <c r="A59" i="65"/>
  <c r="A60" i="65" s="1"/>
  <c r="A61" i="65" s="1"/>
  <c r="A62" i="65" s="1"/>
  <c r="D58" i="65"/>
  <c r="D56" i="65"/>
  <c r="A56" i="65"/>
  <c r="A55" i="65" s="1"/>
  <c r="D55" i="65"/>
  <c r="A48" i="65"/>
  <c r="A49" i="65" s="1"/>
  <c r="A50" i="65" s="1"/>
  <c r="A51" i="65" s="1"/>
  <c r="D47" i="65"/>
  <c r="A45" i="65"/>
  <c r="A44" i="65" s="1"/>
  <c r="A36" i="65"/>
  <c r="A37" i="65" s="1"/>
  <c r="A38" i="65" s="1"/>
  <c r="A39" i="65" s="1"/>
  <c r="A34" i="65"/>
  <c r="A33" i="65" s="1"/>
  <c r="A32" i="65" s="1"/>
  <c r="A31" i="65" s="1"/>
  <c r="A24" i="65"/>
  <c r="A25" i="65" s="1"/>
  <c r="A26" i="65" s="1"/>
  <c r="A27" i="65" s="1"/>
  <c r="A22" i="65"/>
  <c r="A21" i="65" s="1"/>
  <c r="A20" i="65" s="1"/>
  <c r="A19" i="65" s="1"/>
  <c r="A12" i="65"/>
  <c r="A13" i="65" s="1"/>
  <c r="A14" i="65" s="1"/>
  <c r="A15" i="65" s="1"/>
  <c r="A10" i="65"/>
  <c r="A9" i="65" s="1"/>
  <c r="A8" i="65" s="1"/>
  <c r="A7" i="65" s="1"/>
  <c r="E413" i="65"/>
  <c r="E412" i="65" s="1"/>
  <c r="E411" i="65" s="1"/>
  <c r="E410" i="65" s="1"/>
  <c r="E408" i="65" s="1"/>
  <c r="E407" i="65" s="1"/>
  <c r="A413" i="65"/>
  <c r="A412" i="65" s="1"/>
  <c r="A411" i="65" s="1"/>
  <c r="A409" i="65" s="1"/>
  <c r="A408" i="65" s="1"/>
  <c r="A407" i="65" s="1"/>
  <c r="D392" i="65"/>
  <c r="D381" i="65"/>
  <c r="D370" i="65"/>
  <c r="D391" i="65"/>
  <c r="D380" i="65"/>
  <c r="D369" i="65"/>
  <c r="D390" i="65"/>
  <c r="D379" i="65"/>
  <c r="D368" i="65"/>
  <c r="D389" i="65"/>
  <c r="D378" i="65"/>
  <c r="A378" i="65"/>
  <c r="A379" i="65" s="1"/>
  <c r="A380" i="65" s="1"/>
  <c r="A381" i="65" s="1"/>
  <c r="D367" i="65"/>
  <c r="A367" i="65"/>
  <c r="A368" i="65" s="1"/>
  <c r="A369" i="65" s="1"/>
  <c r="A370" i="65" s="1"/>
  <c r="D388" i="65"/>
  <c r="A388" i="65"/>
  <c r="A389" i="65" s="1"/>
  <c r="A391" i="65" s="1"/>
  <c r="A392" i="65" s="1"/>
  <c r="D377" i="65"/>
  <c r="D366" i="65"/>
  <c r="D387" i="65"/>
  <c r="D376" i="65"/>
  <c r="D365" i="65"/>
  <c r="D386" i="65"/>
  <c r="A386" i="65"/>
  <c r="A385" i="65" s="1"/>
  <c r="D375" i="65"/>
  <c r="A375" i="65"/>
  <c r="A374" i="65" s="1"/>
  <c r="D364" i="65"/>
  <c r="A364" i="65"/>
  <c r="A363" i="65" s="1"/>
  <c r="D385" i="65"/>
  <c r="D374" i="65"/>
  <c r="D363" i="65"/>
  <c r="A169" i="65"/>
  <c r="A170" i="65" s="1"/>
  <c r="A171" i="65" s="1"/>
  <c r="A172" i="65" s="1"/>
  <c r="A157" i="65"/>
  <c r="A158" i="65" s="1"/>
  <c r="A159" i="65" s="1"/>
  <c r="A160" i="65" s="1"/>
  <c r="A127" i="65"/>
  <c r="A128" i="65" s="1"/>
  <c r="A129" i="65" s="1"/>
  <c r="A130" i="65" s="1"/>
  <c r="A167" i="65"/>
  <c r="A166" i="65" s="1"/>
  <c r="A165" i="65" s="1"/>
  <c r="A164" i="65" s="1"/>
  <c r="A155" i="65"/>
  <c r="A154" i="65" s="1"/>
  <c r="A153" i="65" s="1"/>
  <c r="A152" i="65" s="1"/>
  <c r="A125" i="65"/>
  <c r="A124" i="65" s="1"/>
  <c r="A123" i="65" s="1"/>
  <c r="A122" i="65" s="1"/>
  <c r="C299" i="65"/>
  <c r="C298" i="65"/>
  <c r="C297" i="65"/>
  <c r="C296" i="65"/>
  <c r="C295" i="65"/>
  <c r="C294" i="65"/>
  <c r="C293" i="65"/>
  <c r="C292" i="65"/>
  <c r="C291" i="65"/>
  <c r="C290" i="65"/>
  <c r="C289" i="65"/>
  <c r="A289" i="65"/>
  <c r="A290" i="65" s="1"/>
  <c r="A292" i="65" s="1"/>
  <c r="A293" i="65" s="1"/>
  <c r="A294" i="65" s="1"/>
  <c r="C288" i="65"/>
  <c r="D263" i="65"/>
  <c r="D262" i="65" s="1"/>
  <c r="D261" i="65" s="1"/>
  <c r="D260" i="65" s="1"/>
  <c r="D258" i="65" s="1"/>
  <c r="D257" i="65" s="1"/>
  <c r="A263" i="65"/>
  <c r="A262" i="65" s="1"/>
  <c r="A261" i="65" s="1"/>
  <c r="A259" i="65" s="1"/>
  <c r="A258" i="65" s="1"/>
  <c r="A257" i="65" s="1"/>
  <c r="N184" i="65"/>
  <c r="I184" i="65"/>
  <c r="D184" i="65"/>
  <c r="N183" i="65"/>
  <c r="I183" i="65"/>
  <c r="D183" i="65"/>
  <c r="N182" i="65"/>
  <c r="D182" i="65"/>
  <c r="N181" i="65"/>
  <c r="F181" i="65"/>
  <c r="F182" i="65" s="1"/>
  <c r="F183" i="65" s="1"/>
  <c r="F184" i="65" s="1"/>
  <c r="D181" i="65"/>
  <c r="A181" i="65"/>
  <c r="A182" i="65" s="1"/>
  <c r="A183" i="65" s="1"/>
  <c r="A184" i="65" s="1"/>
  <c r="N180" i="65"/>
  <c r="K180" i="65"/>
  <c r="K181" i="65" s="1"/>
  <c r="K183" i="65" s="1"/>
  <c r="K184" i="65" s="1"/>
  <c r="I180" i="65"/>
  <c r="D180" i="65"/>
  <c r="N179" i="65"/>
  <c r="I179" i="65"/>
  <c r="D179" i="65"/>
  <c r="N178" i="65"/>
  <c r="K178" i="65"/>
  <c r="K177" i="65" s="1"/>
  <c r="F178" i="65"/>
  <c r="F177" i="65" s="1"/>
  <c r="D178" i="65"/>
  <c r="A178" i="65"/>
  <c r="A177" i="65" s="1"/>
  <c r="N177" i="65"/>
  <c r="D177" i="65"/>
  <c r="D59" i="65" l="1"/>
  <c r="D60" i="65"/>
  <c r="D61" i="65"/>
  <c r="I109" i="2"/>
  <c r="F95" i="2"/>
  <c r="G109" i="2"/>
  <c r="D95" i="2"/>
  <c r="C109" i="2"/>
  <c r="B109" i="2"/>
  <c r="C67" i="2"/>
  <c r="B67" i="2"/>
  <c r="I108" i="2"/>
  <c r="F94" i="2"/>
  <c r="H108" i="2"/>
  <c r="G108" i="2"/>
  <c r="E94" i="2"/>
  <c r="D94" i="2"/>
  <c r="B108" i="2"/>
  <c r="B66" i="2"/>
  <c r="H133" i="1"/>
  <c r="C117" i="1"/>
  <c r="C93" i="1"/>
  <c r="B93" i="1"/>
  <c r="J132" i="1"/>
  <c r="E116" i="1"/>
  <c r="I132" i="1"/>
  <c r="H132" i="1"/>
  <c r="D116" i="1"/>
  <c r="C116" i="1"/>
  <c r="B132" i="1"/>
  <c r="B92" i="1"/>
  <c r="J131" i="1"/>
  <c r="E115" i="1"/>
  <c r="I131" i="1"/>
  <c r="H131" i="1"/>
  <c r="D115" i="1"/>
  <c r="C115" i="1"/>
  <c r="B131" i="1"/>
  <c r="B91" i="1"/>
  <c r="C655" i="56"/>
  <c r="C541" i="30"/>
  <c r="C72" i="1" l="1"/>
  <c r="C285" i="50"/>
  <c r="C111" i="48" l="1"/>
  <c r="B471" i="56" l="1"/>
  <c r="B466" i="56"/>
  <c r="B464" i="56"/>
  <c r="B429" i="55"/>
  <c r="B424" i="55"/>
  <c r="B422" i="55"/>
  <c r="B113" i="50"/>
  <c r="B113" i="57"/>
  <c r="B113" i="54"/>
  <c r="B258" i="56"/>
  <c r="B233" i="55"/>
  <c r="C237" i="50"/>
  <c r="C238" i="50" s="1"/>
  <c r="C226" i="50"/>
  <c r="C227" i="50" s="1"/>
  <c r="C259" i="50"/>
  <c r="C260" i="50" s="1"/>
  <c r="C270" i="50"/>
  <c r="C271" i="50" s="1"/>
  <c r="C248" i="50"/>
  <c r="C249" i="50" s="1"/>
  <c r="C274" i="50" l="1"/>
  <c r="C376" i="56"/>
  <c r="C418" i="56" s="1"/>
  <c r="C115" i="56"/>
  <c r="C334" i="55"/>
  <c r="C376" i="55" s="1"/>
  <c r="C378" i="55" s="1"/>
  <c r="C229" i="54"/>
  <c r="C248" i="57"/>
  <c r="C104" i="56" l="1"/>
  <c r="C237" i="57"/>
  <c r="C262" i="57" s="1"/>
  <c r="C279" i="57" s="1"/>
  <c r="C107" i="55"/>
  <c r="C218" i="54"/>
  <c r="C420" i="56"/>
  <c r="C280" i="54"/>
  <c r="D557" i="57"/>
  <c r="C557" i="57"/>
  <c r="D556" i="57"/>
  <c r="C556" i="57"/>
  <c r="D555" i="57"/>
  <c r="C555" i="57"/>
  <c r="D554" i="57"/>
  <c r="C554" i="57"/>
  <c r="D553" i="57"/>
  <c r="C553" i="57"/>
  <c r="D552" i="57"/>
  <c r="C552" i="57"/>
  <c r="C533" i="57"/>
  <c r="C532" i="57"/>
  <c r="C531" i="57"/>
  <c r="C521" i="57"/>
  <c r="C432" i="57"/>
  <c r="C536" i="57" s="1"/>
  <c r="B427" i="57"/>
  <c r="C375" i="57"/>
  <c r="E394" i="57" s="1"/>
  <c r="B375" i="57"/>
  <c r="C446" i="57" s="1"/>
  <c r="C306" i="57"/>
  <c r="C296" i="57"/>
  <c r="C269" i="57"/>
  <c r="C271" i="57" s="1"/>
  <c r="C267" i="57"/>
  <c r="C265" i="57"/>
  <c r="C286" i="57"/>
  <c r="C288" i="57" s="1"/>
  <c r="C200" i="57"/>
  <c r="C193" i="57"/>
  <c r="C137" i="57"/>
  <c r="C130" i="57"/>
  <c r="C122" i="57"/>
  <c r="F55" i="57"/>
  <c r="B103" i="57" s="1"/>
  <c r="B55" i="57"/>
  <c r="D55" i="57" s="1"/>
  <c r="F54" i="57"/>
  <c r="D98" i="57" s="1"/>
  <c r="F53" i="57"/>
  <c r="B97" i="57" s="1"/>
  <c r="B53" i="57"/>
  <c r="D53" i="57" s="1"/>
  <c r="F52" i="57"/>
  <c r="B94" i="57" s="1"/>
  <c r="B52" i="57"/>
  <c r="D52" i="57" s="1"/>
  <c r="F51" i="57"/>
  <c r="B93" i="57" s="1"/>
  <c r="B51" i="57"/>
  <c r="D51" i="57" s="1"/>
  <c r="F50" i="57"/>
  <c r="B92" i="57" s="1"/>
  <c r="B50" i="57"/>
  <c r="D50" i="57" s="1"/>
  <c r="F49" i="57"/>
  <c r="B91" i="57" s="1"/>
  <c r="B49" i="57"/>
  <c r="D49" i="57" s="1"/>
  <c r="F48" i="57"/>
  <c r="B90" i="57" s="1"/>
  <c r="B48" i="57"/>
  <c r="D48" i="57" s="1"/>
  <c r="F47" i="57"/>
  <c r="B89" i="57" s="1"/>
  <c r="B47" i="57"/>
  <c r="D47" i="57" s="1"/>
  <c r="F46" i="57"/>
  <c r="B88" i="57" s="1"/>
  <c r="B217" i="57" s="1"/>
  <c r="B46" i="57"/>
  <c r="D46" i="57" s="1"/>
  <c r="F45" i="57"/>
  <c r="B87" i="57" s="1"/>
  <c r="B45" i="57"/>
  <c r="D45" i="57" s="1"/>
  <c r="F44" i="57"/>
  <c r="B86" i="57" s="1"/>
  <c r="B44" i="57"/>
  <c r="D44" i="57" s="1"/>
  <c r="F43" i="57"/>
  <c r="B85" i="57" s="1"/>
  <c r="B43" i="57"/>
  <c r="D43" i="57" s="1"/>
  <c r="F42" i="57"/>
  <c r="B42" i="57"/>
  <c r="D42" i="57" s="1"/>
  <c r="F41" i="57"/>
  <c r="B83" i="57" s="1"/>
  <c r="B41" i="57"/>
  <c r="D41" i="57" s="1"/>
  <c r="C32" i="57"/>
  <c r="C27" i="57"/>
  <c r="C24" i="57"/>
  <c r="C23" i="57"/>
  <c r="C267" i="56"/>
  <c r="C265" i="56"/>
  <c r="C185" i="56"/>
  <c r="C118" i="55"/>
  <c r="C160" i="55" s="1"/>
  <c r="C167" i="55" s="1"/>
  <c r="C323" i="50"/>
  <c r="C59" i="57" l="1"/>
  <c r="G43" i="57"/>
  <c r="C85" i="57" s="1"/>
  <c r="G47" i="57"/>
  <c r="C89" i="57" s="1"/>
  <c r="G51" i="57"/>
  <c r="C169" i="57" s="1"/>
  <c r="D169" i="57" s="1"/>
  <c r="E386" i="57"/>
  <c r="G42" i="57"/>
  <c r="C84" i="57" s="1"/>
  <c r="G50" i="57"/>
  <c r="C92" i="57" s="1"/>
  <c r="C25" i="57"/>
  <c r="C26" i="57"/>
  <c r="B99" i="57" s="1"/>
  <c r="E392" i="57"/>
  <c r="G55" i="57"/>
  <c r="C180" i="57" s="1"/>
  <c r="D180" i="57" s="1"/>
  <c r="C266" i="54"/>
  <c r="C268" i="54" s="1"/>
  <c r="D383" i="57"/>
  <c r="D387" i="57"/>
  <c r="D393" i="57"/>
  <c r="E384" i="57"/>
  <c r="D389" i="57"/>
  <c r="C476" i="57"/>
  <c r="H42" i="57"/>
  <c r="D84" i="57" s="1"/>
  <c r="G46" i="57"/>
  <c r="C165" i="57" s="1"/>
  <c r="D165" i="57" s="1"/>
  <c r="C300" i="57"/>
  <c r="C311" i="57" s="1"/>
  <c r="D381" i="57"/>
  <c r="D385" i="57"/>
  <c r="D391" i="57"/>
  <c r="D395" i="57"/>
  <c r="D382" i="57"/>
  <c r="C149" i="55"/>
  <c r="C433" i="57"/>
  <c r="C452" i="57" s="1"/>
  <c r="C448" i="57"/>
  <c r="G44" i="57"/>
  <c r="H44" i="57"/>
  <c r="D86" i="57" s="1"/>
  <c r="B220" i="57"/>
  <c r="H53" i="57"/>
  <c r="D97" i="57" s="1"/>
  <c r="G53" i="57"/>
  <c r="H41" i="57"/>
  <c r="D83" i="57" s="1"/>
  <c r="G41" i="57"/>
  <c r="B215" i="57"/>
  <c r="G48" i="57"/>
  <c r="H48" i="57"/>
  <c r="D90" i="57" s="1"/>
  <c r="B226" i="57"/>
  <c r="B212" i="57"/>
  <c r="H45" i="57"/>
  <c r="D87" i="57" s="1"/>
  <c r="G45" i="57"/>
  <c r="C87" i="57" s="1"/>
  <c r="B219" i="57"/>
  <c r="G52" i="57"/>
  <c r="H52" i="57"/>
  <c r="D94" i="57" s="1"/>
  <c r="B216" i="57"/>
  <c r="H49" i="57"/>
  <c r="D91" i="57" s="1"/>
  <c r="G49" i="57"/>
  <c r="B223" i="57"/>
  <c r="C174" i="56"/>
  <c r="C176" i="56" s="1"/>
  <c r="C293" i="57"/>
  <c r="C254" i="57"/>
  <c r="C255" i="57" s="1"/>
  <c r="C190" i="57"/>
  <c r="C127" i="57"/>
  <c r="C31" i="57"/>
  <c r="B214" i="57"/>
  <c r="B218" i="57"/>
  <c r="B222" i="57"/>
  <c r="B233" i="57"/>
  <c r="C67" i="57"/>
  <c r="B84" i="57"/>
  <c r="B98" i="57"/>
  <c r="H46" i="57"/>
  <c r="D88" i="57" s="1"/>
  <c r="H50" i="57"/>
  <c r="D92" i="57" s="1"/>
  <c r="H43" i="57"/>
  <c r="D85" i="57" s="1"/>
  <c r="H47" i="57"/>
  <c r="D89" i="57" s="1"/>
  <c r="H51" i="57"/>
  <c r="D93" i="57" s="1"/>
  <c r="H55" i="57"/>
  <c r="D103" i="57" s="1"/>
  <c r="C468" i="57"/>
  <c r="E393" i="57"/>
  <c r="E389" i="57"/>
  <c r="E385" i="57"/>
  <c r="E381" i="57"/>
  <c r="C460" i="57"/>
  <c r="C477" i="57"/>
  <c r="E395" i="57"/>
  <c r="E391" i="57"/>
  <c r="E387" i="57"/>
  <c r="E383" i="57"/>
  <c r="D375" i="57"/>
  <c r="C426" i="57" s="1"/>
  <c r="E382" i="57"/>
  <c r="E390" i="57"/>
  <c r="D427" i="57"/>
  <c r="E427" i="57" s="1"/>
  <c r="D504" i="57"/>
  <c r="C447" i="57"/>
  <c r="E388" i="57"/>
  <c r="D386" i="57"/>
  <c r="D390" i="57"/>
  <c r="D394" i="57"/>
  <c r="F394" i="57" s="1"/>
  <c r="C459" i="57"/>
  <c r="C467" i="57"/>
  <c r="C478" i="57"/>
  <c r="D384" i="57"/>
  <c r="D388" i="57"/>
  <c r="F388" i="57" s="1"/>
  <c r="D392" i="57"/>
  <c r="C337" i="50"/>
  <c r="C325" i="50"/>
  <c r="G132" i="1" l="1"/>
  <c r="C108" i="1"/>
  <c r="F392" i="57"/>
  <c r="C412" i="57" s="1"/>
  <c r="C414" i="57" s="1"/>
  <c r="B426" i="57" s="1"/>
  <c r="D426" i="57" s="1"/>
  <c r="E426" i="57" s="1"/>
  <c r="C163" i="57"/>
  <c r="D163" i="57" s="1"/>
  <c r="D213" i="57" s="1"/>
  <c r="B349" i="57" s="1"/>
  <c r="C527" i="57"/>
  <c r="C73" i="57"/>
  <c r="C74" i="57" s="1"/>
  <c r="F395" i="57"/>
  <c r="C417" i="57" s="1"/>
  <c r="C166" i="57"/>
  <c r="D166" i="57" s="1"/>
  <c r="D218" i="57" s="1"/>
  <c r="C93" i="57"/>
  <c r="F386" i="57"/>
  <c r="C498" i="57" s="1"/>
  <c r="F383" i="57"/>
  <c r="C495" i="57" s="1"/>
  <c r="F389" i="57"/>
  <c r="C501" i="57" s="1"/>
  <c r="C294" i="57"/>
  <c r="C68" i="57"/>
  <c r="D99" i="57"/>
  <c r="D100" i="57" s="1"/>
  <c r="D101" i="57" s="1"/>
  <c r="C61" i="57"/>
  <c r="C191" i="57"/>
  <c r="F382" i="57"/>
  <c r="C494" i="57" s="1"/>
  <c r="C305" i="57"/>
  <c r="C103" i="57"/>
  <c r="C136" i="57"/>
  <c r="F387" i="57"/>
  <c r="C407" i="57" s="1"/>
  <c r="C199" i="57"/>
  <c r="C128" i="57"/>
  <c r="C88" i="57"/>
  <c r="F385" i="57"/>
  <c r="C497" i="57" s="1"/>
  <c r="C60" i="57"/>
  <c r="F391" i="57"/>
  <c r="C503" i="57" s="1"/>
  <c r="F381" i="57"/>
  <c r="C493" i="57" s="1"/>
  <c r="C434" i="57"/>
  <c r="C469" i="57" s="1"/>
  <c r="F390" i="57"/>
  <c r="C482" i="57"/>
  <c r="D217" i="57"/>
  <c r="C535" i="57"/>
  <c r="C309" i="57"/>
  <c r="C277" i="57"/>
  <c r="C260" i="57"/>
  <c r="C168" i="57"/>
  <c r="D168" i="57" s="1"/>
  <c r="D220" i="57" s="1"/>
  <c r="C91" i="57"/>
  <c r="C94" i="57"/>
  <c r="C170" i="57"/>
  <c r="D216" i="57"/>
  <c r="C216" i="57" s="1"/>
  <c r="C90" i="57"/>
  <c r="C167" i="57"/>
  <c r="D167" i="57" s="1"/>
  <c r="D219" i="57" s="1"/>
  <c r="C219" i="57" s="1"/>
  <c r="C173" i="57"/>
  <c r="D173" i="57" s="1"/>
  <c r="D226" i="57" s="1"/>
  <c r="C226" i="57" s="1"/>
  <c r="C97" i="57"/>
  <c r="C500" i="57"/>
  <c r="C408" i="57"/>
  <c r="C504" i="57"/>
  <c r="D214" i="57"/>
  <c r="C214" i="57" s="1"/>
  <c r="B213" i="57"/>
  <c r="C529" i="57"/>
  <c r="C538" i="57" s="1"/>
  <c r="C295" i="57"/>
  <c r="C129" i="57"/>
  <c r="C192" i="57"/>
  <c r="C69" i="57"/>
  <c r="C62" i="57"/>
  <c r="C34" i="57"/>
  <c r="C29" i="57" s="1"/>
  <c r="C95" i="57"/>
  <c r="B95" i="57"/>
  <c r="B228" i="57"/>
  <c r="C175" i="57"/>
  <c r="D175" i="57" s="1"/>
  <c r="D228" i="57" s="1"/>
  <c r="C164" i="57"/>
  <c r="D164" i="57" s="1"/>
  <c r="D215" i="57" s="1"/>
  <c r="C86" i="57"/>
  <c r="D233" i="57"/>
  <c r="C233" i="57" s="1"/>
  <c r="F384" i="57"/>
  <c r="C416" i="57"/>
  <c r="C506" i="57"/>
  <c r="F393" i="57"/>
  <c r="D222" i="57"/>
  <c r="C222" i="57" s="1"/>
  <c r="D221" i="57"/>
  <c r="B227" i="57"/>
  <c r="C174" i="57"/>
  <c r="B100" i="57"/>
  <c r="D96" i="57"/>
  <c r="C162" i="57"/>
  <c r="D162" i="57" s="1"/>
  <c r="D212" i="57" s="1"/>
  <c r="C83" i="57"/>
  <c r="C409" i="57" l="1"/>
  <c r="C402" i="57"/>
  <c r="C403" i="57"/>
  <c r="C507" i="57"/>
  <c r="D102" i="57"/>
  <c r="C406" i="57"/>
  <c r="C401" i="57"/>
  <c r="C70" i="57"/>
  <c r="E102" i="57" s="1"/>
  <c r="C499" i="57"/>
  <c r="C63" i="57"/>
  <c r="C405" i="57"/>
  <c r="C411" i="57"/>
  <c r="C35" i="57"/>
  <c r="C537" i="57"/>
  <c r="C461" i="57"/>
  <c r="B331" i="57"/>
  <c r="B328" i="57"/>
  <c r="B348" i="57"/>
  <c r="C212" i="57"/>
  <c r="D174" i="57"/>
  <c r="D227" i="57" s="1"/>
  <c r="C176" i="57"/>
  <c r="B335" i="57"/>
  <c r="B369" i="57"/>
  <c r="B350" i="57"/>
  <c r="B352" i="57"/>
  <c r="B351" i="57"/>
  <c r="B224" i="57"/>
  <c r="C171" i="57"/>
  <c r="D171" i="57" s="1"/>
  <c r="D224" i="57" s="1"/>
  <c r="B96" i="57"/>
  <c r="B362" i="57"/>
  <c r="D170" i="57"/>
  <c r="D223" i="57" s="1"/>
  <c r="B354" i="57"/>
  <c r="C502" i="57"/>
  <c r="C410" i="57"/>
  <c r="B101" i="57"/>
  <c r="B102" i="57"/>
  <c r="B357" i="57"/>
  <c r="B358" i="57"/>
  <c r="C415" i="57"/>
  <c r="C505" i="57"/>
  <c r="C496" i="57"/>
  <c r="C404" i="57"/>
  <c r="B342" i="57"/>
  <c r="C215" i="57"/>
  <c r="B356" i="57"/>
  <c r="B364" i="57"/>
  <c r="C213" i="57"/>
  <c r="C96" i="57"/>
  <c r="B353" i="57"/>
  <c r="C217" i="57"/>
  <c r="B355" i="57"/>
  <c r="B323" i="57"/>
  <c r="B229" i="57"/>
  <c r="C220" i="57"/>
  <c r="B325" i="57"/>
  <c r="C228" i="57"/>
  <c r="C28" i="57"/>
  <c r="C30" i="57"/>
  <c r="C218" i="57"/>
  <c r="C643" i="56"/>
  <c r="C642" i="56"/>
  <c r="C641" i="56"/>
  <c r="C192" i="56"/>
  <c r="D39" i="56"/>
  <c r="D40" i="56"/>
  <c r="D42" i="56"/>
  <c r="D43" i="56"/>
  <c r="D44" i="56"/>
  <c r="D45" i="56"/>
  <c r="D46" i="56"/>
  <c r="D47" i="56"/>
  <c r="D48" i="56"/>
  <c r="D50" i="56"/>
  <c r="D52" i="56"/>
  <c r="D38" i="56"/>
  <c r="D666" i="56"/>
  <c r="C666" i="56"/>
  <c r="D665" i="56"/>
  <c r="C665" i="56"/>
  <c r="D664" i="56"/>
  <c r="C664" i="56"/>
  <c r="D663" i="56"/>
  <c r="C663" i="56"/>
  <c r="D662" i="56"/>
  <c r="C662" i="56"/>
  <c r="D661" i="56"/>
  <c r="C661" i="56"/>
  <c r="C631" i="56"/>
  <c r="C541" i="56"/>
  <c r="C645" i="56" s="1"/>
  <c r="B536" i="56"/>
  <c r="E614" i="56" s="1"/>
  <c r="C504" i="56"/>
  <c r="D526" i="56" s="1"/>
  <c r="D617" i="56" s="1"/>
  <c r="C503" i="56"/>
  <c r="D525" i="56" s="1"/>
  <c r="D616" i="56" s="1"/>
  <c r="C502" i="56"/>
  <c r="C501" i="56"/>
  <c r="D521" i="56" s="1"/>
  <c r="C500" i="56"/>
  <c r="D520" i="56" s="1"/>
  <c r="D613" i="56" s="1"/>
  <c r="C499" i="56"/>
  <c r="D519" i="56" s="1"/>
  <c r="D612" i="56" s="1"/>
  <c r="C498" i="56"/>
  <c r="D518" i="56" s="1"/>
  <c r="D611" i="56" s="1"/>
  <c r="C497" i="56"/>
  <c r="D517" i="56" s="1"/>
  <c r="D610" i="56" s="1"/>
  <c r="C496" i="56"/>
  <c r="D516" i="56" s="1"/>
  <c r="D609" i="56" s="1"/>
  <c r="C495" i="56"/>
  <c r="D515" i="56" s="1"/>
  <c r="D608" i="56" s="1"/>
  <c r="C494" i="56"/>
  <c r="D514" i="56" s="1"/>
  <c r="D607" i="56" s="1"/>
  <c r="C493" i="56"/>
  <c r="C492" i="56"/>
  <c r="D512" i="56" s="1"/>
  <c r="D605" i="56" s="1"/>
  <c r="C491" i="56"/>
  <c r="D511" i="56" s="1"/>
  <c r="D604" i="56" s="1"/>
  <c r="C490" i="56"/>
  <c r="D510" i="56" s="1"/>
  <c r="D603" i="56" s="1"/>
  <c r="B484" i="56"/>
  <c r="C569" i="56" s="1"/>
  <c r="C406" i="56"/>
  <c r="C408" i="56" s="1"/>
  <c r="C404" i="56"/>
  <c r="C402" i="56"/>
  <c r="C392" i="56"/>
  <c r="C336" i="56"/>
  <c r="B318" i="56"/>
  <c r="B316" i="56"/>
  <c r="B315" i="56"/>
  <c r="B314" i="56"/>
  <c r="B313" i="56"/>
  <c r="B312" i="56"/>
  <c r="B311" i="56"/>
  <c r="B310" i="56"/>
  <c r="B309" i="56"/>
  <c r="B308" i="56"/>
  <c r="B307" i="56"/>
  <c r="B306" i="56"/>
  <c r="B305" i="56"/>
  <c r="C280" i="56"/>
  <c r="C159" i="56"/>
  <c r="C161" i="56" s="1"/>
  <c r="C157" i="56"/>
  <c r="C155" i="56"/>
  <c r="H52" i="56"/>
  <c r="G52" i="56"/>
  <c r="H51" i="56"/>
  <c r="G51" i="56"/>
  <c r="H50" i="56"/>
  <c r="G50" i="56"/>
  <c r="H49" i="56"/>
  <c r="G49" i="56"/>
  <c r="H48" i="56"/>
  <c r="G48" i="56"/>
  <c r="H47" i="56"/>
  <c r="G47" i="56"/>
  <c r="H46" i="56"/>
  <c r="G46" i="56"/>
  <c r="H45" i="56"/>
  <c r="G45" i="56"/>
  <c r="H44" i="56"/>
  <c r="G44" i="56"/>
  <c r="H43" i="56"/>
  <c r="G43" i="56"/>
  <c r="H42" i="56"/>
  <c r="G42" i="56"/>
  <c r="H41" i="56"/>
  <c r="G41" i="56"/>
  <c r="H40" i="56"/>
  <c r="G40" i="56"/>
  <c r="H39" i="56"/>
  <c r="G39" i="56"/>
  <c r="H38" i="56"/>
  <c r="G38" i="56"/>
  <c r="C23" i="56"/>
  <c r="D42" i="55"/>
  <c r="D43" i="55"/>
  <c r="D45" i="55"/>
  <c r="D46" i="55"/>
  <c r="D47" i="55"/>
  <c r="D48" i="55"/>
  <c r="D49" i="55"/>
  <c r="D50" i="55"/>
  <c r="D51" i="55"/>
  <c r="D53" i="55"/>
  <c r="D55" i="55"/>
  <c r="D41" i="55"/>
  <c r="D629" i="55"/>
  <c r="C629" i="55"/>
  <c r="D628" i="55"/>
  <c r="C628" i="55"/>
  <c r="D627" i="55"/>
  <c r="C627" i="55"/>
  <c r="D626" i="55"/>
  <c r="C626" i="55"/>
  <c r="D625" i="55"/>
  <c r="C625" i="55"/>
  <c r="D624" i="55"/>
  <c r="C624" i="55"/>
  <c r="C606" i="55"/>
  <c r="C605" i="55"/>
  <c r="C604" i="55"/>
  <c r="C594" i="55"/>
  <c r="C500" i="55"/>
  <c r="C550" i="55" s="1"/>
  <c r="B495" i="55"/>
  <c r="E463" i="55"/>
  <c r="D463" i="55"/>
  <c r="E462" i="55"/>
  <c r="D462" i="55"/>
  <c r="E461" i="55"/>
  <c r="D461" i="55"/>
  <c r="E460" i="55"/>
  <c r="D460" i="55"/>
  <c r="E459" i="55"/>
  <c r="D459" i="55"/>
  <c r="E458" i="55"/>
  <c r="D458" i="55"/>
  <c r="E457" i="55"/>
  <c r="D457" i="55"/>
  <c r="E456" i="55"/>
  <c r="D456" i="55"/>
  <c r="E455" i="55"/>
  <c r="D455" i="55"/>
  <c r="E454" i="55"/>
  <c r="D454" i="55"/>
  <c r="E453" i="55"/>
  <c r="D453" i="55"/>
  <c r="E452" i="55"/>
  <c r="D452" i="55"/>
  <c r="E451" i="55"/>
  <c r="D451" i="55"/>
  <c r="E450" i="55"/>
  <c r="D450" i="55"/>
  <c r="E449" i="55"/>
  <c r="D449" i="55"/>
  <c r="C442" i="55"/>
  <c r="B442" i="55"/>
  <c r="C538" i="55" s="1"/>
  <c r="C364" i="55"/>
  <c r="C366" i="55" s="1"/>
  <c r="C362" i="55"/>
  <c r="C360" i="55"/>
  <c r="C350" i="55"/>
  <c r="C294" i="55"/>
  <c r="B276" i="55"/>
  <c r="B274" i="55"/>
  <c r="B273" i="55"/>
  <c r="B272" i="55"/>
  <c r="B271" i="55"/>
  <c r="B270" i="55"/>
  <c r="B269" i="55"/>
  <c r="B268" i="55"/>
  <c r="B267" i="55"/>
  <c r="B266" i="55"/>
  <c r="B265" i="55"/>
  <c r="B264" i="55"/>
  <c r="B263" i="55"/>
  <c r="C242" i="55"/>
  <c r="C240" i="55"/>
  <c r="C134" i="55"/>
  <c r="C136" i="55" s="1"/>
  <c r="C132" i="55"/>
  <c r="C130" i="55"/>
  <c r="F55" i="55"/>
  <c r="F54" i="55"/>
  <c r="D98" i="55" s="1"/>
  <c r="F53" i="55"/>
  <c r="F52" i="55"/>
  <c r="B94" i="55" s="1"/>
  <c r="F51" i="55"/>
  <c r="F50" i="55"/>
  <c r="F49" i="55"/>
  <c r="B91" i="55" s="1"/>
  <c r="F48" i="55"/>
  <c r="B90" i="55" s="1"/>
  <c r="F47" i="55"/>
  <c r="F46" i="55"/>
  <c r="F45" i="55"/>
  <c r="B87" i="55" s="1"/>
  <c r="F44" i="55"/>
  <c r="F43" i="55"/>
  <c r="B85" i="55" s="1"/>
  <c r="F42" i="55"/>
  <c r="B84" i="55" s="1"/>
  <c r="F41" i="55"/>
  <c r="B83" i="55" s="1"/>
  <c r="C31" i="55"/>
  <c r="C27" i="55"/>
  <c r="C24" i="55"/>
  <c r="C23" i="55"/>
  <c r="C506" i="54"/>
  <c r="C505" i="54"/>
  <c r="C504" i="54"/>
  <c r="C427" i="54"/>
  <c r="C412" i="54"/>
  <c r="C428" i="54" s="1"/>
  <c r="C291" i="54"/>
  <c r="C348" i="50"/>
  <c r="C242" i="54"/>
  <c r="C259" i="54" s="1"/>
  <c r="B55" i="54"/>
  <c r="D55" i="54" s="1"/>
  <c r="B53" i="54"/>
  <c r="D53" i="54" s="1"/>
  <c r="B52" i="54"/>
  <c r="D52" i="54" s="1"/>
  <c r="B51" i="54"/>
  <c r="D51" i="54" s="1"/>
  <c r="B50" i="54"/>
  <c r="D50" i="54" s="1"/>
  <c r="B49" i="54"/>
  <c r="D49" i="54" s="1"/>
  <c r="B48" i="54"/>
  <c r="D48" i="54" s="1"/>
  <c r="B47" i="54"/>
  <c r="D47" i="54" s="1"/>
  <c r="B46" i="54"/>
  <c r="D46" i="54" s="1"/>
  <c r="B45" i="54"/>
  <c r="D45" i="54" s="1"/>
  <c r="B44" i="54"/>
  <c r="D44" i="54" s="1"/>
  <c r="B43" i="54"/>
  <c r="D43" i="54" s="1"/>
  <c r="B42" i="54"/>
  <c r="D42" i="54" s="1"/>
  <c r="B41" i="54"/>
  <c r="D41" i="54" s="1"/>
  <c r="D530" i="54"/>
  <c r="C530" i="54"/>
  <c r="D529" i="54"/>
  <c r="C529" i="54"/>
  <c r="D528" i="54"/>
  <c r="C528" i="54"/>
  <c r="D527" i="54"/>
  <c r="C527" i="54"/>
  <c r="D526" i="54"/>
  <c r="C526" i="54"/>
  <c r="D525" i="54"/>
  <c r="C525" i="54"/>
  <c r="C494" i="54"/>
  <c r="B407" i="54"/>
  <c r="D407" i="54" s="1"/>
  <c r="E407" i="54" s="1"/>
  <c r="B355" i="54"/>
  <c r="C286" i="54"/>
  <c r="C276" i="54"/>
  <c r="C249" i="54"/>
  <c r="C251" i="54" s="1"/>
  <c r="C247" i="54"/>
  <c r="C245" i="54"/>
  <c r="C181" i="54"/>
  <c r="C174" i="54"/>
  <c r="B161" i="54"/>
  <c r="B154" i="54"/>
  <c r="B153" i="54"/>
  <c r="B152" i="54"/>
  <c r="B151" i="54"/>
  <c r="B150" i="54"/>
  <c r="B149" i="54"/>
  <c r="B148" i="54"/>
  <c r="B147" i="54"/>
  <c r="B146" i="54"/>
  <c r="B145" i="54"/>
  <c r="B144" i="54"/>
  <c r="B143" i="54"/>
  <c r="C122" i="54"/>
  <c r="C120" i="54"/>
  <c r="H55" i="54"/>
  <c r="G55" i="54"/>
  <c r="H54" i="54"/>
  <c r="G54" i="54"/>
  <c r="D98" i="54" s="1"/>
  <c r="H53" i="54"/>
  <c r="G53" i="54"/>
  <c r="H52" i="54"/>
  <c r="G52" i="54"/>
  <c r="H51" i="54"/>
  <c r="G51" i="54"/>
  <c r="H50" i="54"/>
  <c r="G50" i="54"/>
  <c r="H49" i="54"/>
  <c r="G49" i="54"/>
  <c r="H48" i="54"/>
  <c r="G48" i="54"/>
  <c r="H47" i="54"/>
  <c r="G47" i="54"/>
  <c r="H46" i="54"/>
  <c r="G46" i="54"/>
  <c r="H45" i="54"/>
  <c r="G45" i="54"/>
  <c r="H44" i="54"/>
  <c r="G44" i="54"/>
  <c r="H43" i="54"/>
  <c r="G43" i="54"/>
  <c r="H42" i="54"/>
  <c r="G42" i="54"/>
  <c r="H41" i="54"/>
  <c r="G41" i="54"/>
  <c r="C33" i="54"/>
  <c r="C27" i="54"/>
  <c r="C24" i="54"/>
  <c r="C23" i="54"/>
  <c r="B55" i="50"/>
  <c r="D55" i="50" s="1"/>
  <c r="B53" i="50"/>
  <c r="D53" i="50" s="1"/>
  <c r="B52" i="50"/>
  <c r="D52" i="50" s="1"/>
  <c r="B51" i="50"/>
  <c r="D51" i="50" s="1"/>
  <c r="B50" i="50"/>
  <c r="D50" i="50" s="1"/>
  <c r="B49" i="50"/>
  <c r="D49" i="50" s="1"/>
  <c r="B48" i="50"/>
  <c r="D48" i="50" s="1"/>
  <c r="B47" i="50"/>
  <c r="D47" i="50" s="1"/>
  <c r="B46" i="50"/>
  <c r="D46" i="50" s="1"/>
  <c r="B45" i="50"/>
  <c r="D45" i="50" s="1"/>
  <c r="B44" i="50"/>
  <c r="D44" i="50" s="1"/>
  <c r="B43" i="50"/>
  <c r="D43" i="50" s="1"/>
  <c r="B42" i="50"/>
  <c r="D42" i="50" s="1"/>
  <c r="B41" i="50"/>
  <c r="D41" i="50" s="1"/>
  <c r="D516" i="51"/>
  <c r="C516" i="51"/>
  <c r="D515" i="51"/>
  <c r="C515" i="51"/>
  <c r="D514" i="51"/>
  <c r="C514" i="51"/>
  <c r="D513" i="51"/>
  <c r="C513" i="51"/>
  <c r="D512" i="51"/>
  <c r="C512" i="51"/>
  <c r="D511" i="51"/>
  <c r="C511" i="51"/>
  <c r="C492" i="51"/>
  <c r="C491" i="51"/>
  <c r="C490" i="51"/>
  <c r="C480" i="51"/>
  <c r="C391" i="51"/>
  <c r="C495" i="51" s="1"/>
  <c r="B386" i="51"/>
  <c r="C334" i="51"/>
  <c r="B334" i="51"/>
  <c r="C405" i="51" s="1"/>
  <c r="C267" i="51"/>
  <c r="C259" i="51"/>
  <c r="C249" i="51"/>
  <c r="C251" i="51" s="1"/>
  <c r="C247" i="51"/>
  <c r="C245" i="51"/>
  <c r="C193" i="51"/>
  <c r="C186" i="51"/>
  <c r="C134" i="51"/>
  <c r="C132" i="51"/>
  <c r="D54" i="51"/>
  <c r="B117" i="51" s="1"/>
  <c r="B226" i="51" s="1"/>
  <c r="D53" i="51"/>
  <c r="D112" i="51" s="1"/>
  <c r="D52" i="51"/>
  <c r="B111" i="51" s="1"/>
  <c r="D51" i="51"/>
  <c r="B108" i="51" s="1"/>
  <c r="D50" i="51"/>
  <c r="B107" i="51" s="1"/>
  <c r="B215" i="51" s="1"/>
  <c r="D49" i="51"/>
  <c r="F49" i="51" s="1"/>
  <c r="D106" i="51" s="1"/>
  <c r="D48" i="51"/>
  <c r="B105" i="51" s="1"/>
  <c r="B213" i="51" s="1"/>
  <c r="D47" i="51"/>
  <c r="E47" i="51" s="1"/>
  <c r="C104" i="51" s="1"/>
  <c r="D46" i="51"/>
  <c r="B103" i="51" s="1"/>
  <c r="B211" i="51" s="1"/>
  <c r="D45" i="51"/>
  <c r="B102" i="51" s="1"/>
  <c r="D44" i="51"/>
  <c r="B101" i="51" s="1"/>
  <c r="D43" i="51"/>
  <c r="B100" i="51" s="1"/>
  <c r="D42" i="51"/>
  <c r="B99" i="51" s="1"/>
  <c r="D41" i="51"/>
  <c r="B98" i="51" s="1"/>
  <c r="D40" i="51"/>
  <c r="F40" i="51" s="1"/>
  <c r="D97" i="51" s="1"/>
  <c r="C31" i="51"/>
  <c r="C26" i="51"/>
  <c r="C23" i="51"/>
  <c r="C22" i="51"/>
  <c r="D593" i="50"/>
  <c r="C593" i="50"/>
  <c r="D592" i="50"/>
  <c r="C592" i="50"/>
  <c r="D591" i="50"/>
  <c r="C591" i="50"/>
  <c r="D590" i="50"/>
  <c r="C590" i="50"/>
  <c r="D589" i="50"/>
  <c r="C589" i="50"/>
  <c r="D588" i="50"/>
  <c r="C588" i="50"/>
  <c r="C569" i="50"/>
  <c r="C568" i="50"/>
  <c r="C567" i="50"/>
  <c r="C557" i="50"/>
  <c r="C469" i="50"/>
  <c r="C572" i="50" s="1"/>
  <c r="B464" i="50"/>
  <c r="D540" i="50" s="1"/>
  <c r="C412" i="50"/>
  <c r="C504" i="50" s="1"/>
  <c r="B412" i="50"/>
  <c r="C483" i="50" s="1"/>
  <c r="C343" i="50"/>
  <c r="C333" i="50"/>
  <c r="C306" i="50"/>
  <c r="C308" i="50" s="1"/>
  <c r="C304" i="50"/>
  <c r="C302" i="50"/>
  <c r="C181" i="50"/>
  <c r="C174" i="50"/>
  <c r="B161" i="50"/>
  <c r="B154" i="50"/>
  <c r="B153" i="50"/>
  <c r="B152" i="50"/>
  <c r="B151" i="50"/>
  <c r="B150" i="50"/>
  <c r="B149" i="50"/>
  <c r="B148" i="50"/>
  <c r="B147" i="50"/>
  <c r="B146" i="50"/>
  <c r="B145" i="50"/>
  <c r="B144" i="50"/>
  <c r="B143" i="50"/>
  <c r="C122" i="50"/>
  <c r="C120" i="50"/>
  <c r="F55" i="50"/>
  <c r="B103" i="50" s="1"/>
  <c r="F54" i="50"/>
  <c r="D98" i="50" s="1"/>
  <c r="F53" i="50"/>
  <c r="B97" i="50" s="1"/>
  <c r="F52" i="50"/>
  <c r="F51" i="50"/>
  <c r="F50" i="50"/>
  <c r="F49" i="50"/>
  <c r="B91" i="50" s="1"/>
  <c r="F48" i="50"/>
  <c r="F47" i="50"/>
  <c r="F46" i="50"/>
  <c r="F45" i="50"/>
  <c r="B87" i="50" s="1"/>
  <c r="F44" i="50"/>
  <c r="F43" i="50"/>
  <c r="F42" i="50"/>
  <c r="F41" i="50"/>
  <c r="B83" i="50" s="1"/>
  <c r="B193" i="50" s="1"/>
  <c r="C32" i="50"/>
  <c r="C27" i="50"/>
  <c r="C24" i="50"/>
  <c r="C23" i="50"/>
  <c r="C291" i="50" s="1"/>
  <c r="C292" i="50" s="1"/>
  <c r="C528" i="57" l="1"/>
  <c r="D132" i="1"/>
  <c r="D92" i="1"/>
  <c r="E94" i="57"/>
  <c r="G94" i="57" s="1"/>
  <c r="H94" i="57" s="1"/>
  <c r="E91" i="57"/>
  <c r="G91" i="57" s="1"/>
  <c r="H91" i="57" s="1"/>
  <c r="F94" i="57"/>
  <c r="K94" i="57" s="1"/>
  <c r="L94" i="57" s="1"/>
  <c r="B100" i="1"/>
  <c r="F92" i="1"/>
  <c r="C314" i="50"/>
  <c r="G131" i="1"/>
  <c r="C107" i="1"/>
  <c r="C530" i="57"/>
  <c r="E132" i="1"/>
  <c r="E92" i="1"/>
  <c r="E84" i="57"/>
  <c r="G84" i="57" s="1"/>
  <c r="H84" i="57" s="1"/>
  <c r="E89" i="57"/>
  <c r="G89" i="57" s="1"/>
  <c r="H89" i="57" s="1"/>
  <c r="E95" i="57"/>
  <c r="G95" i="57" s="1"/>
  <c r="H95" i="57" s="1"/>
  <c r="E85" i="57"/>
  <c r="G85" i="57" s="1"/>
  <c r="H85" i="57" s="1"/>
  <c r="E83" i="57"/>
  <c r="G83" i="57" s="1"/>
  <c r="H83" i="57" s="1"/>
  <c r="E98" i="57"/>
  <c r="G98" i="57" s="1"/>
  <c r="H98" i="57" s="1"/>
  <c r="E86" i="57"/>
  <c r="G86" i="57" s="1"/>
  <c r="H86" i="57" s="1"/>
  <c r="E103" i="57"/>
  <c r="G103" i="57" s="1"/>
  <c r="H103" i="57" s="1"/>
  <c r="E87" i="57"/>
  <c r="G87" i="57" s="1"/>
  <c r="H87" i="57" s="1"/>
  <c r="F85" i="57"/>
  <c r="I85" i="57" s="1"/>
  <c r="J85" i="57" s="1"/>
  <c r="F95" i="57"/>
  <c r="K95" i="57" s="1"/>
  <c r="L95" i="57" s="1"/>
  <c r="F97" i="57"/>
  <c r="K97" i="57" s="1"/>
  <c r="L97" i="57" s="1"/>
  <c r="F89" i="57"/>
  <c r="I89" i="57" s="1"/>
  <c r="J89" i="57" s="1"/>
  <c r="F90" i="57"/>
  <c r="K90" i="57" s="1"/>
  <c r="L90" i="57" s="1"/>
  <c r="F87" i="57"/>
  <c r="I87" i="57" s="1"/>
  <c r="J87" i="57" s="1"/>
  <c r="F88" i="57"/>
  <c r="I88" i="57" s="1"/>
  <c r="J88" i="57" s="1"/>
  <c r="F99" i="57"/>
  <c r="K99" i="57" s="1"/>
  <c r="L99" i="57" s="1"/>
  <c r="C117" i="57"/>
  <c r="C184" i="57" s="1"/>
  <c r="F100" i="57"/>
  <c r="I100" i="57" s="1"/>
  <c r="J100" i="57" s="1"/>
  <c r="F103" i="57"/>
  <c r="K103" i="57" s="1"/>
  <c r="L103" i="57" s="1"/>
  <c r="F98" i="57"/>
  <c r="K98" i="57" s="1"/>
  <c r="L98" i="57" s="1"/>
  <c r="E93" i="57"/>
  <c r="G93" i="57" s="1"/>
  <c r="H93" i="57" s="1"/>
  <c r="E97" i="57"/>
  <c r="G97" i="57" s="1"/>
  <c r="H97" i="57" s="1"/>
  <c r="E90" i="57"/>
  <c r="G90" i="57" s="1"/>
  <c r="H90" i="57" s="1"/>
  <c r="E88" i="57"/>
  <c r="G88" i="57" s="1"/>
  <c r="H88" i="57" s="1"/>
  <c r="E100" i="57"/>
  <c r="G100" i="57" s="1"/>
  <c r="H100" i="57" s="1"/>
  <c r="E96" i="57"/>
  <c r="G96" i="57" s="1"/>
  <c r="H96" i="57" s="1"/>
  <c r="E101" i="57"/>
  <c r="G101" i="57" s="1"/>
  <c r="H101" i="57" s="1"/>
  <c r="E99" i="57"/>
  <c r="G99" i="57" s="1"/>
  <c r="H99" i="57" s="1"/>
  <c r="E92" i="57"/>
  <c r="G92" i="57" s="1"/>
  <c r="H92" i="57" s="1"/>
  <c r="F83" i="57"/>
  <c r="K83" i="57" s="1"/>
  <c r="L83" i="57" s="1"/>
  <c r="F91" i="57"/>
  <c r="F101" i="57"/>
  <c r="I101" i="57" s="1"/>
  <c r="J101" i="57" s="1"/>
  <c r="C71" i="57"/>
  <c r="C72" i="57" s="1"/>
  <c r="F93" i="57"/>
  <c r="I93" i="57" s="1"/>
  <c r="J93" i="57" s="1"/>
  <c r="F92" i="57"/>
  <c r="K92" i="57" s="1"/>
  <c r="L92" i="57" s="1"/>
  <c r="F102" i="57"/>
  <c r="I102" i="57" s="1"/>
  <c r="J102" i="57" s="1"/>
  <c r="F84" i="57"/>
  <c r="K84" i="57" s="1"/>
  <c r="L84" i="57" s="1"/>
  <c r="F86" i="57"/>
  <c r="K86" i="57" s="1"/>
  <c r="L86" i="57" s="1"/>
  <c r="C75" i="57"/>
  <c r="C76" i="57" s="1"/>
  <c r="F96" i="57"/>
  <c r="K96" i="57" s="1"/>
  <c r="L96" i="57" s="1"/>
  <c r="F51" i="51"/>
  <c r="D108" i="51" s="1"/>
  <c r="C24" i="51"/>
  <c r="C192" i="51" s="1"/>
  <c r="F43" i="51"/>
  <c r="D100" i="51" s="1"/>
  <c r="C25" i="51"/>
  <c r="C72" i="51" s="1"/>
  <c r="F47" i="51"/>
  <c r="D104" i="51" s="1"/>
  <c r="B97" i="51"/>
  <c r="B205" i="51" s="1"/>
  <c r="D346" i="51"/>
  <c r="D342" i="51"/>
  <c r="D353" i="51"/>
  <c r="E40" i="51"/>
  <c r="C97" i="51" s="1"/>
  <c r="E54" i="51"/>
  <c r="C173" i="51" s="1"/>
  <c r="D173" i="51" s="1"/>
  <c r="D349" i="51"/>
  <c r="D354" i="51"/>
  <c r="C426" i="51"/>
  <c r="B106" i="51"/>
  <c r="B214" i="51" s="1"/>
  <c r="D341" i="51"/>
  <c r="D348" i="51"/>
  <c r="C418" i="51"/>
  <c r="E44" i="51"/>
  <c r="C101" i="51" s="1"/>
  <c r="E48" i="51"/>
  <c r="C105" i="51" s="1"/>
  <c r="E52" i="51"/>
  <c r="C111" i="51" s="1"/>
  <c r="B104" i="51"/>
  <c r="B212" i="51" s="1"/>
  <c r="D334" i="51"/>
  <c r="C385" i="51" s="1"/>
  <c r="D344" i="51"/>
  <c r="E43" i="51"/>
  <c r="F44" i="51"/>
  <c r="D101" i="51" s="1"/>
  <c r="D209" i="51" s="1"/>
  <c r="B311" i="51" s="1"/>
  <c r="F48" i="51"/>
  <c r="D105" i="51" s="1"/>
  <c r="E51" i="51"/>
  <c r="C108" i="51" s="1"/>
  <c r="F52" i="51"/>
  <c r="D111" i="51" s="1"/>
  <c r="F54" i="51"/>
  <c r="D117" i="51" s="1"/>
  <c r="D340" i="51"/>
  <c r="D345" i="51"/>
  <c r="D350" i="51"/>
  <c r="C435" i="51"/>
  <c r="D352" i="51"/>
  <c r="C451" i="54"/>
  <c r="C438" i="54"/>
  <c r="D477" i="54"/>
  <c r="C172" i="57"/>
  <c r="D172" i="57" s="1"/>
  <c r="D225" i="57" s="1"/>
  <c r="B361" i="57" s="1"/>
  <c r="C299" i="50"/>
  <c r="C316" i="50" s="1"/>
  <c r="C372" i="54"/>
  <c r="C392" i="54" s="1"/>
  <c r="C394" i="54" s="1"/>
  <c r="G102" i="57"/>
  <c r="H102" i="57" s="1"/>
  <c r="C152" i="56"/>
  <c r="C167" i="56"/>
  <c r="B405" i="57"/>
  <c r="B231" i="57"/>
  <c r="B230" i="57"/>
  <c r="B360" i="57"/>
  <c r="C177" i="57"/>
  <c r="D177" i="57" s="1"/>
  <c r="D230" i="57" s="1"/>
  <c r="D176" i="57"/>
  <c r="C178" i="57"/>
  <c r="D178" i="57" s="1"/>
  <c r="D231" i="57" s="1"/>
  <c r="B329" i="57"/>
  <c r="B403" i="57"/>
  <c r="B326" i="57"/>
  <c r="B417" i="57"/>
  <c r="C224" i="57"/>
  <c r="B363" i="57"/>
  <c r="B408" i="57"/>
  <c r="B327" i="57"/>
  <c r="B337" i="57"/>
  <c r="C227" i="57"/>
  <c r="B359" i="57"/>
  <c r="C223" i="57"/>
  <c r="B225" i="57"/>
  <c r="B411" i="57"/>
  <c r="B322" i="57"/>
  <c r="B324" i="57"/>
  <c r="B415" i="57"/>
  <c r="B321" i="57"/>
  <c r="K89" i="57"/>
  <c r="L89" i="57" s="1"/>
  <c r="G42" i="50"/>
  <c r="C144" i="50" s="1"/>
  <c r="D144" i="50" s="1"/>
  <c r="B220" i="56"/>
  <c r="B219" i="56"/>
  <c r="B217" i="56"/>
  <c r="B221" i="56"/>
  <c r="B218" i="56"/>
  <c r="I38" i="56"/>
  <c r="B80" i="56" s="1"/>
  <c r="I44" i="56"/>
  <c r="J44" i="56" s="1"/>
  <c r="C86" i="56" s="1"/>
  <c r="B208" i="56" s="1"/>
  <c r="I48" i="56"/>
  <c r="J48" i="56" s="1"/>
  <c r="C90" i="56" s="1"/>
  <c r="B212" i="56" s="1"/>
  <c r="I49" i="56"/>
  <c r="B91" i="56" s="1"/>
  <c r="I43" i="56"/>
  <c r="J43" i="56" s="1"/>
  <c r="C85" i="56" s="1"/>
  <c r="B207" i="56" s="1"/>
  <c r="I46" i="56"/>
  <c r="K46" i="56" s="1"/>
  <c r="D88" i="56" s="1"/>
  <c r="I45" i="56"/>
  <c r="K45" i="56" s="1"/>
  <c r="D87" i="56" s="1"/>
  <c r="B235" i="56" s="1"/>
  <c r="I40" i="56"/>
  <c r="J40" i="56" s="1"/>
  <c r="C82" i="56" s="1"/>
  <c r="B204" i="56" s="1"/>
  <c r="I47" i="56"/>
  <c r="B89" i="56" s="1"/>
  <c r="I50" i="56"/>
  <c r="K50" i="56" s="1"/>
  <c r="D94" i="56" s="1"/>
  <c r="B242" i="56" s="1"/>
  <c r="C577" i="56"/>
  <c r="C64" i="56"/>
  <c r="C25" i="56"/>
  <c r="I52" i="56"/>
  <c r="K52" i="56" s="1"/>
  <c r="D100" i="56" s="1"/>
  <c r="B248" i="56" s="1"/>
  <c r="C181" i="56"/>
  <c r="C56" i="56"/>
  <c r="I39" i="56"/>
  <c r="I42" i="56"/>
  <c r="I41" i="56"/>
  <c r="B83" i="56" s="1"/>
  <c r="D95" i="56"/>
  <c r="B243" i="56" s="1"/>
  <c r="I51" i="56"/>
  <c r="B95" i="56" s="1"/>
  <c r="C138" i="56"/>
  <c r="C123" i="56"/>
  <c r="C24" i="56"/>
  <c r="C190" i="56" s="1"/>
  <c r="C29" i="56"/>
  <c r="C639" i="56" s="1"/>
  <c r="C647" i="56" s="1"/>
  <c r="C587" i="56"/>
  <c r="C557" i="56"/>
  <c r="C542" i="56"/>
  <c r="C562" i="56" s="1"/>
  <c r="D523" i="56"/>
  <c r="D614" i="56" s="1"/>
  <c r="B535" i="56"/>
  <c r="D524" i="56"/>
  <c r="D615" i="56" s="1"/>
  <c r="C556" i="56"/>
  <c r="D513" i="56"/>
  <c r="D606" i="56" s="1"/>
  <c r="C535" i="56"/>
  <c r="D536" i="56"/>
  <c r="E536" i="56" s="1"/>
  <c r="C586" i="56"/>
  <c r="G51" i="55"/>
  <c r="C93" i="55" s="1"/>
  <c r="F456" i="55"/>
  <c r="D476" i="55" s="1"/>
  <c r="D573" i="55" s="1"/>
  <c r="H46" i="55"/>
  <c r="D88" i="55" s="1"/>
  <c r="F449" i="55"/>
  <c r="D469" i="55" s="1"/>
  <c r="D566" i="55" s="1"/>
  <c r="F451" i="55"/>
  <c r="D471" i="55" s="1"/>
  <c r="D568" i="55" s="1"/>
  <c r="F457" i="55"/>
  <c r="D477" i="55" s="1"/>
  <c r="D574" i="55" s="1"/>
  <c r="H48" i="55"/>
  <c r="D90" i="55" s="1"/>
  <c r="B98" i="55"/>
  <c r="F455" i="55"/>
  <c r="D475" i="55" s="1"/>
  <c r="D572" i="55" s="1"/>
  <c r="H49" i="55"/>
  <c r="D91" i="55" s="1"/>
  <c r="C26" i="55"/>
  <c r="C157" i="55" s="1"/>
  <c r="G48" i="55"/>
  <c r="C90" i="55" s="1"/>
  <c r="F454" i="55"/>
  <c r="D474" i="55" s="1"/>
  <c r="D571" i="55" s="1"/>
  <c r="D442" i="55"/>
  <c r="C494" i="55" s="1"/>
  <c r="F460" i="55"/>
  <c r="D480" i="55" s="1"/>
  <c r="D482" i="55" s="1"/>
  <c r="D577" i="55" s="1"/>
  <c r="G43" i="55"/>
  <c r="C85" i="55" s="1"/>
  <c r="G45" i="55"/>
  <c r="C87" i="55" s="1"/>
  <c r="C156" i="55"/>
  <c r="F459" i="55"/>
  <c r="D479" i="55" s="1"/>
  <c r="D576" i="55" s="1"/>
  <c r="C515" i="55"/>
  <c r="H43" i="55"/>
  <c r="D85" i="55" s="1"/>
  <c r="H45" i="55"/>
  <c r="D87" i="55" s="1"/>
  <c r="G49" i="55"/>
  <c r="C91" i="55" s="1"/>
  <c r="F452" i="55"/>
  <c r="D472" i="55" s="1"/>
  <c r="D569" i="55" s="1"/>
  <c r="C529" i="55"/>
  <c r="B86" i="55"/>
  <c r="F450" i="55"/>
  <c r="D470" i="55" s="1"/>
  <c r="D567" i="55" s="1"/>
  <c r="F453" i="55"/>
  <c r="D473" i="55" s="1"/>
  <c r="D570" i="55" s="1"/>
  <c r="F461" i="55"/>
  <c r="D483" i="55" s="1"/>
  <c r="D578" i="55" s="1"/>
  <c r="C548" i="55"/>
  <c r="B89" i="55"/>
  <c r="H47" i="55"/>
  <c r="D89" i="55" s="1"/>
  <c r="B92" i="55"/>
  <c r="G50" i="55"/>
  <c r="C92" i="55" s="1"/>
  <c r="B103" i="55"/>
  <c r="H55" i="55"/>
  <c r="D103" i="55" s="1"/>
  <c r="H50" i="55"/>
  <c r="D92" i="55" s="1"/>
  <c r="H53" i="55"/>
  <c r="D97" i="55" s="1"/>
  <c r="C509" i="54"/>
  <c r="C32" i="55"/>
  <c r="G41" i="55"/>
  <c r="H42" i="55"/>
  <c r="D84" i="55" s="1"/>
  <c r="B88" i="55"/>
  <c r="G46" i="55"/>
  <c r="C88" i="55" s="1"/>
  <c r="B93" i="55"/>
  <c r="H51" i="55"/>
  <c r="D93" i="55" s="1"/>
  <c r="G53" i="55"/>
  <c r="C97" i="55" s="1"/>
  <c r="C59" i="55"/>
  <c r="G42" i="55"/>
  <c r="C84" i="55" s="1"/>
  <c r="G47" i="55"/>
  <c r="C89" i="55" s="1"/>
  <c r="G55" i="55"/>
  <c r="C103" i="55" s="1"/>
  <c r="C25" i="55"/>
  <c r="H41" i="55"/>
  <c r="D83" i="55" s="1"/>
  <c r="C67" i="55"/>
  <c r="B97" i="55"/>
  <c r="C517" i="55"/>
  <c r="C608" i="55"/>
  <c r="C501" i="55"/>
  <c r="C539" i="55"/>
  <c r="C549" i="55"/>
  <c r="C516" i="55"/>
  <c r="F463" i="55"/>
  <c r="D485" i="55" s="1"/>
  <c r="D580" i="55" s="1"/>
  <c r="C530" i="55"/>
  <c r="E577" i="55"/>
  <c r="D495" i="55"/>
  <c r="E495" i="55" s="1"/>
  <c r="F462" i="55"/>
  <c r="D484" i="55" s="1"/>
  <c r="D579" i="55" s="1"/>
  <c r="F458" i="55"/>
  <c r="D478" i="55" s="1"/>
  <c r="D575" i="55" s="1"/>
  <c r="C452" i="54"/>
  <c r="I43" i="54"/>
  <c r="K43" i="54" s="1"/>
  <c r="D85" i="54" s="1"/>
  <c r="I49" i="54"/>
  <c r="B91" i="54" s="1"/>
  <c r="B201" i="54" s="1"/>
  <c r="C426" i="54"/>
  <c r="C413" i="54"/>
  <c r="I51" i="54"/>
  <c r="J51" i="54" s="1"/>
  <c r="I53" i="54"/>
  <c r="K53" i="54" s="1"/>
  <c r="D97" i="54" s="1"/>
  <c r="I55" i="54"/>
  <c r="J55" i="54" s="1"/>
  <c r="I42" i="54"/>
  <c r="B84" i="54" s="1"/>
  <c r="J43" i="54"/>
  <c r="C85" i="54" s="1"/>
  <c r="C31" i="54"/>
  <c r="I45" i="54"/>
  <c r="B87" i="54" s="1"/>
  <c r="B197" i="54" s="1"/>
  <c r="C273" i="54"/>
  <c r="C364" i="54"/>
  <c r="C25" i="54"/>
  <c r="C180" i="54" s="1"/>
  <c r="C368" i="54"/>
  <c r="C388" i="54" s="1"/>
  <c r="C444" i="54"/>
  <c r="C26" i="54"/>
  <c r="I46" i="54"/>
  <c r="K46" i="54" s="1"/>
  <c r="D88" i="54" s="1"/>
  <c r="I50" i="54"/>
  <c r="K50" i="54" s="1"/>
  <c r="D92" i="54" s="1"/>
  <c r="I54" i="54"/>
  <c r="B98" i="54" s="1"/>
  <c r="C155" i="54" s="1"/>
  <c r="C67" i="54"/>
  <c r="I47" i="54"/>
  <c r="J47" i="54" s="1"/>
  <c r="I41" i="54"/>
  <c r="B83" i="54" s="1"/>
  <c r="I44" i="54"/>
  <c r="I52" i="54"/>
  <c r="B94" i="54" s="1"/>
  <c r="B204" i="54" s="1"/>
  <c r="J53" i="54"/>
  <c r="C171" i="54"/>
  <c r="C235" i="54"/>
  <c r="C236" i="54" s="1"/>
  <c r="C59" i="54"/>
  <c r="I48" i="54"/>
  <c r="C375" i="54"/>
  <c r="C397" i="54" s="1"/>
  <c r="C371" i="54"/>
  <c r="C367" i="54"/>
  <c r="C387" i="54" s="1"/>
  <c r="C363" i="54"/>
  <c r="C383" i="54" s="1"/>
  <c r="C406" i="54"/>
  <c r="C374" i="54"/>
  <c r="C396" i="54" s="1"/>
  <c r="C370" i="54"/>
  <c r="C390" i="54" s="1"/>
  <c r="C366" i="54"/>
  <c r="C386" i="54" s="1"/>
  <c r="C362" i="54"/>
  <c r="C382" i="54" s="1"/>
  <c r="C373" i="54"/>
  <c r="C369" i="54"/>
  <c r="C365" i="54"/>
  <c r="C385" i="54" s="1"/>
  <c r="C361" i="54"/>
  <c r="C381" i="54" s="1"/>
  <c r="G44" i="50"/>
  <c r="C86" i="50" s="1"/>
  <c r="G52" i="50"/>
  <c r="C151" i="50" s="1"/>
  <c r="G50" i="50"/>
  <c r="C92" i="50" s="1"/>
  <c r="G46" i="50"/>
  <c r="C88" i="50" s="1"/>
  <c r="C392" i="51"/>
  <c r="C393" i="51" s="1"/>
  <c r="C407" i="51"/>
  <c r="C437" i="51"/>
  <c r="B208" i="51"/>
  <c r="B216" i="51"/>
  <c r="B206" i="51"/>
  <c r="D214" i="51"/>
  <c r="B210" i="51"/>
  <c r="D110" i="51"/>
  <c r="B207" i="51"/>
  <c r="B209" i="51"/>
  <c r="D463" i="51"/>
  <c r="D386" i="51"/>
  <c r="E386" i="51" s="1"/>
  <c r="E42" i="51"/>
  <c r="C99" i="51" s="1"/>
  <c r="E46" i="51"/>
  <c r="E50" i="51"/>
  <c r="C58" i="51"/>
  <c r="C237" i="51"/>
  <c r="C238" i="51" s="1"/>
  <c r="C183" i="51"/>
  <c r="C256" i="51"/>
  <c r="C30" i="51"/>
  <c r="E41" i="51"/>
  <c r="F42" i="51"/>
  <c r="D99" i="51" s="1"/>
  <c r="E45" i="51"/>
  <c r="F46" i="51"/>
  <c r="D103" i="51" s="1"/>
  <c r="E49" i="51"/>
  <c r="C106" i="51" s="1"/>
  <c r="F50" i="51"/>
  <c r="D107" i="51" s="1"/>
  <c r="B219" i="51"/>
  <c r="C59" i="51"/>
  <c r="C66" i="51"/>
  <c r="C81" i="51"/>
  <c r="C100" i="51"/>
  <c r="B112" i="51"/>
  <c r="C160" i="51"/>
  <c r="D160" i="51" s="1"/>
  <c r="D212" i="51" s="1"/>
  <c r="C155" i="51"/>
  <c r="D155" i="51" s="1"/>
  <c r="F41" i="51"/>
  <c r="D98" i="51" s="1"/>
  <c r="F45" i="51"/>
  <c r="D102" i="51" s="1"/>
  <c r="C166" i="51"/>
  <c r="D166" i="51" s="1"/>
  <c r="D219" i="51" s="1"/>
  <c r="C71" i="51"/>
  <c r="C117" i="51"/>
  <c r="C427" i="51"/>
  <c r="E352" i="51"/>
  <c r="E348" i="51"/>
  <c r="E344" i="51"/>
  <c r="E340" i="51"/>
  <c r="F340" i="51" s="1"/>
  <c r="C436" i="51"/>
  <c r="C419" i="51"/>
  <c r="C406" i="51"/>
  <c r="E351" i="51"/>
  <c r="E349" i="51"/>
  <c r="E342" i="51"/>
  <c r="E354" i="51"/>
  <c r="E347" i="51"/>
  <c r="E345" i="51"/>
  <c r="E343" i="51"/>
  <c r="E353" i="51"/>
  <c r="E350" i="51"/>
  <c r="E341" i="51"/>
  <c r="E346" i="51"/>
  <c r="F346" i="51" s="1"/>
  <c r="D343" i="51"/>
  <c r="D347" i="51"/>
  <c r="D351" i="51"/>
  <c r="G48" i="50"/>
  <c r="C148" i="50" s="1"/>
  <c r="D148" i="50" s="1"/>
  <c r="H42" i="50"/>
  <c r="D84" i="50" s="1"/>
  <c r="G45" i="50"/>
  <c r="C87" i="50" s="1"/>
  <c r="C25" i="50"/>
  <c r="C73" i="50" s="1"/>
  <c r="C74" i="50" s="1"/>
  <c r="D418" i="50"/>
  <c r="C26" i="50"/>
  <c r="C68" i="50" s="1"/>
  <c r="E432" i="50"/>
  <c r="G53" i="50"/>
  <c r="C154" i="50" s="1"/>
  <c r="D154" i="50" s="1"/>
  <c r="H50" i="50"/>
  <c r="D92" i="50" s="1"/>
  <c r="D202" i="50" s="1"/>
  <c r="B394" i="50" s="1"/>
  <c r="D423" i="50"/>
  <c r="E423" i="50"/>
  <c r="D412" i="50"/>
  <c r="C463" i="50" s="1"/>
  <c r="D430" i="50"/>
  <c r="C470" i="50"/>
  <c r="C489" i="50" s="1"/>
  <c r="C518" i="50" s="1"/>
  <c r="G41" i="50"/>
  <c r="C143" i="50" s="1"/>
  <c r="D143" i="50" s="1"/>
  <c r="H46" i="50"/>
  <c r="D88" i="50" s="1"/>
  <c r="G49" i="50"/>
  <c r="C91" i="50" s="1"/>
  <c r="B88" i="50"/>
  <c r="B198" i="50" s="1"/>
  <c r="D420" i="50"/>
  <c r="D426" i="50"/>
  <c r="C495" i="50"/>
  <c r="G55" i="50"/>
  <c r="C161" i="50" s="1"/>
  <c r="D161" i="50" s="1"/>
  <c r="B92" i="50"/>
  <c r="E420" i="50"/>
  <c r="E428" i="50"/>
  <c r="C513" i="50"/>
  <c r="H41" i="50"/>
  <c r="D83" i="50" s="1"/>
  <c r="H45" i="50"/>
  <c r="D87" i="50" s="1"/>
  <c r="D197" i="50" s="1"/>
  <c r="B389" i="50" s="1"/>
  <c r="H49" i="50"/>
  <c r="D91" i="50" s="1"/>
  <c r="H53" i="50"/>
  <c r="D97" i="50" s="1"/>
  <c r="H55" i="50"/>
  <c r="D103" i="50" s="1"/>
  <c r="B98" i="50"/>
  <c r="C155" i="50" s="1"/>
  <c r="D419" i="50"/>
  <c r="D424" i="50"/>
  <c r="D427" i="50"/>
  <c r="D431" i="50"/>
  <c r="C496" i="50"/>
  <c r="B84" i="50"/>
  <c r="B194" i="50" s="1"/>
  <c r="C171" i="50"/>
  <c r="E419" i="50"/>
  <c r="D422" i="50"/>
  <c r="E424" i="50"/>
  <c r="E427" i="50"/>
  <c r="E431" i="50"/>
  <c r="D464" i="50"/>
  <c r="E464" i="50" s="1"/>
  <c r="C485" i="50"/>
  <c r="C503" i="50"/>
  <c r="B86" i="50"/>
  <c r="H44" i="50"/>
  <c r="D86" i="50" s="1"/>
  <c r="B90" i="50"/>
  <c r="H48" i="50"/>
  <c r="D90" i="50" s="1"/>
  <c r="B94" i="50"/>
  <c r="H52" i="50"/>
  <c r="D94" i="50" s="1"/>
  <c r="B197" i="50"/>
  <c r="B214" i="50"/>
  <c r="B207" i="50"/>
  <c r="B201" i="50"/>
  <c r="C571" i="50"/>
  <c r="C346" i="50"/>
  <c r="C297" i="50"/>
  <c r="B85" i="50"/>
  <c r="H43" i="50"/>
  <c r="D85" i="50" s="1"/>
  <c r="G43" i="50"/>
  <c r="C85" i="50" s="1"/>
  <c r="B89" i="50"/>
  <c r="H47" i="50"/>
  <c r="D89" i="50" s="1"/>
  <c r="G47" i="50"/>
  <c r="B93" i="50"/>
  <c r="H51" i="50"/>
  <c r="D93" i="50" s="1"/>
  <c r="G51" i="50"/>
  <c r="C59" i="50"/>
  <c r="C330" i="50"/>
  <c r="C31" i="50"/>
  <c r="C67" i="50"/>
  <c r="E421" i="50"/>
  <c r="E425" i="50"/>
  <c r="D428" i="50"/>
  <c r="E429" i="50"/>
  <c r="D432" i="50"/>
  <c r="C484" i="50"/>
  <c r="C512" i="50"/>
  <c r="C514" i="50"/>
  <c r="E418" i="50"/>
  <c r="D421" i="50"/>
  <c r="E422" i="50"/>
  <c r="D425" i="50"/>
  <c r="E426" i="50"/>
  <c r="D429" i="50"/>
  <c r="E430" i="50"/>
  <c r="K87" i="57" l="1"/>
  <c r="L87" i="57" s="1"/>
  <c r="C119" i="57"/>
  <c r="C121" i="57" s="1"/>
  <c r="C123" i="57" s="1"/>
  <c r="C100" i="1" s="1"/>
  <c r="I98" i="57"/>
  <c r="J98" i="57" s="1"/>
  <c r="G133" i="1"/>
  <c r="C109" i="1"/>
  <c r="F132" i="1"/>
  <c r="I94" i="57"/>
  <c r="J94" i="57" s="1"/>
  <c r="B93" i="54"/>
  <c r="B203" i="54" s="1"/>
  <c r="J50" i="54"/>
  <c r="C92" i="54" s="1"/>
  <c r="I95" i="57"/>
  <c r="J95" i="57" s="1"/>
  <c r="I99" i="57"/>
  <c r="J99" i="57" s="1"/>
  <c r="I83" i="57"/>
  <c r="J83" i="57" s="1"/>
  <c r="I96" i="57"/>
  <c r="J96" i="57" s="1"/>
  <c r="I90" i="57"/>
  <c r="J90" i="57" s="1"/>
  <c r="K85" i="57"/>
  <c r="L85" i="57" s="1"/>
  <c r="K101" i="57"/>
  <c r="L101" i="57" s="1"/>
  <c r="K88" i="57"/>
  <c r="L88" i="57" s="1"/>
  <c r="I97" i="57"/>
  <c r="J97" i="57" s="1"/>
  <c r="K100" i="57"/>
  <c r="L100" i="57" s="1"/>
  <c r="I103" i="57"/>
  <c r="J103" i="57" s="1"/>
  <c r="K93" i="57"/>
  <c r="L93" i="57" s="1"/>
  <c r="I92" i="57"/>
  <c r="J92" i="57" s="1"/>
  <c r="I86" i="57"/>
  <c r="J86" i="57" s="1"/>
  <c r="I84" i="57"/>
  <c r="J84" i="57" s="1"/>
  <c r="K102" i="57"/>
  <c r="L102" i="57" s="1"/>
  <c r="K91" i="57"/>
  <c r="L91" i="57" s="1"/>
  <c r="I91" i="57"/>
  <c r="J91" i="57" s="1"/>
  <c r="F345" i="51"/>
  <c r="C60" i="51"/>
  <c r="C87" i="51"/>
  <c r="C88" i="51" s="1"/>
  <c r="F344" i="51"/>
  <c r="C456" i="51" s="1"/>
  <c r="C486" i="51"/>
  <c r="F342" i="51"/>
  <c r="C362" i="51" s="1"/>
  <c r="D113" i="51"/>
  <c r="D114" i="51" s="1"/>
  <c r="D115" i="51" s="1"/>
  <c r="F347" i="51"/>
  <c r="C459" i="51" s="1"/>
  <c r="F341" i="51"/>
  <c r="C361" i="51" s="1"/>
  <c r="F349" i="51"/>
  <c r="C82" i="51"/>
  <c r="B113" i="51"/>
  <c r="C168" i="51" s="1"/>
  <c r="D168" i="51" s="1"/>
  <c r="D221" i="51" s="1"/>
  <c r="C184" i="51"/>
  <c r="C163" i="51"/>
  <c r="D163" i="51" s="1"/>
  <c r="D216" i="51" s="1"/>
  <c r="C266" i="51"/>
  <c r="C214" i="51"/>
  <c r="B289" i="51" s="1"/>
  <c r="C67" i="51"/>
  <c r="C68" i="51" s="1"/>
  <c r="C257" i="51"/>
  <c r="C161" i="51"/>
  <c r="D161" i="51" s="1"/>
  <c r="D213" i="51" s="1"/>
  <c r="B315" i="51" s="1"/>
  <c r="F350" i="51"/>
  <c r="C370" i="51" s="1"/>
  <c r="F351" i="51"/>
  <c r="C463" i="51" s="1"/>
  <c r="C157" i="51"/>
  <c r="D157" i="51" s="1"/>
  <c r="D208" i="51" s="1"/>
  <c r="D226" i="51"/>
  <c r="C226" i="51" s="1"/>
  <c r="B301" i="51" s="1"/>
  <c r="C411" i="51"/>
  <c r="C441" i="51" s="1"/>
  <c r="F353" i="51"/>
  <c r="C465" i="51" s="1"/>
  <c r="F354" i="51"/>
  <c r="C376" i="51" s="1"/>
  <c r="F348" i="51"/>
  <c r="C460" i="51" s="1"/>
  <c r="C554" i="55"/>
  <c r="C522" i="55"/>
  <c r="K49" i="54"/>
  <c r="D91" i="54" s="1"/>
  <c r="C84" i="50"/>
  <c r="C470" i="54"/>
  <c r="C471" i="54"/>
  <c r="C480" i="54"/>
  <c r="C384" i="54"/>
  <c r="C475" i="54"/>
  <c r="C479" i="54"/>
  <c r="C472" i="54"/>
  <c r="B406" i="54"/>
  <c r="D406" i="54" s="1"/>
  <c r="E406" i="54" s="1"/>
  <c r="C473" i="54"/>
  <c r="C389" i="54"/>
  <c r="C468" i="54"/>
  <c r="C466" i="54"/>
  <c r="C467" i="54"/>
  <c r="C391" i="54"/>
  <c r="C477" i="54"/>
  <c r="C145" i="50"/>
  <c r="D145" i="50" s="1"/>
  <c r="D196" i="50" s="1"/>
  <c r="B388" i="50" s="1"/>
  <c r="C508" i="54"/>
  <c r="C257" i="54"/>
  <c r="B401" i="57"/>
  <c r="B404" i="57"/>
  <c r="B402" i="57"/>
  <c r="B336" i="57"/>
  <c r="B507" i="57"/>
  <c r="E507" i="57" s="1"/>
  <c r="D417" i="57"/>
  <c r="B406" i="57"/>
  <c r="B367" i="57"/>
  <c r="C231" i="57"/>
  <c r="D411" i="57"/>
  <c r="B503" i="57"/>
  <c r="E503" i="57" s="1"/>
  <c r="C225" i="57"/>
  <c r="B333" i="57"/>
  <c r="B409" i="57"/>
  <c r="D229" i="57"/>
  <c r="D405" i="57"/>
  <c r="B497" i="57"/>
  <c r="E497" i="57" s="1"/>
  <c r="B366" i="57"/>
  <c r="C194" i="57"/>
  <c r="C195" i="57" s="1"/>
  <c r="C196" i="57" s="1"/>
  <c r="B505" i="57"/>
  <c r="E505" i="57" s="1"/>
  <c r="D415" i="57"/>
  <c r="B332" i="57"/>
  <c r="B407" i="57"/>
  <c r="D408" i="57"/>
  <c r="B500" i="57"/>
  <c r="E500" i="57" s="1"/>
  <c r="D403" i="57"/>
  <c r="B495" i="57"/>
  <c r="E495" i="57" s="1"/>
  <c r="C230" i="57"/>
  <c r="J38" i="56"/>
  <c r="C80" i="56" s="1"/>
  <c r="B202" i="56" s="1"/>
  <c r="C182" i="56"/>
  <c r="C637" i="56"/>
  <c r="C94" i="50"/>
  <c r="C90" i="50"/>
  <c r="K38" i="56"/>
  <c r="D80" i="56" s="1"/>
  <c r="B228" i="56" s="1"/>
  <c r="C510" i="56" s="1"/>
  <c r="B88" i="56"/>
  <c r="B231" i="56"/>
  <c r="B205" i="56"/>
  <c r="B236" i="56"/>
  <c r="C518" i="56" s="1"/>
  <c r="C611" i="56" s="1"/>
  <c r="K48" i="56"/>
  <c r="D90" i="56" s="1"/>
  <c r="B238" i="56" s="1"/>
  <c r="B239" i="56"/>
  <c r="C521" i="56" s="1"/>
  <c r="B213" i="56"/>
  <c r="B359" i="56" s="1"/>
  <c r="K44" i="56"/>
  <c r="D86" i="56" s="1"/>
  <c r="B234" i="56" s="1"/>
  <c r="B86" i="56"/>
  <c r="B90" i="56"/>
  <c r="J46" i="56"/>
  <c r="C88" i="56" s="1"/>
  <c r="B210" i="56" s="1"/>
  <c r="J52" i="56"/>
  <c r="C100" i="56" s="1"/>
  <c r="B222" i="56" s="1"/>
  <c r="J47" i="56"/>
  <c r="C89" i="56" s="1"/>
  <c r="B211" i="56" s="1"/>
  <c r="B94" i="56"/>
  <c r="B87" i="56"/>
  <c r="C139" i="56"/>
  <c r="C129" i="56"/>
  <c r="J45" i="56"/>
  <c r="C87" i="56" s="1"/>
  <c r="B209" i="56" s="1"/>
  <c r="B85" i="56"/>
  <c r="K43" i="56"/>
  <c r="D85" i="56" s="1"/>
  <c r="B233" i="56" s="1"/>
  <c r="K47" i="56"/>
  <c r="D89" i="56" s="1"/>
  <c r="J50" i="56"/>
  <c r="C94" i="56" s="1"/>
  <c r="B82" i="56"/>
  <c r="C58" i="56"/>
  <c r="B96" i="56"/>
  <c r="B97" i="56" s="1"/>
  <c r="K40" i="56"/>
  <c r="D82" i="56" s="1"/>
  <c r="B230" i="56" s="1"/>
  <c r="C65" i="56"/>
  <c r="B100" i="56"/>
  <c r="J39" i="56"/>
  <c r="C81" i="56" s="1"/>
  <c r="B81" i="56"/>
  <c r="K39" i="56"/>
  <c r="D81" i="56" s="1"/>
  <c r="B229" i="56" s="1"/>
  <c r="C511" i="56" s="1"/>
  <c r="C604" i="56" s="1"/>
  <c r="B354" i="56"/>
  <c r="C309" i="56"/>
  <c r="D309" i="56" s="1"/>
  <c r="D354" i="56" s="1"/>
  <c r="B468" i="56" s="1"/>
  <c r="D535" i="56"/>
  <c r="E535" i="56" s="1"/>
  <c r="C517" i="56"/>
  <c r="C610" i="56" s="1"/>
  <c r="B353" i="56"/>
  <c r="C308" i="56"/>
  <c r="D308" i="56" s="1"/>
  <c r="D353" i="56" s="1"/>
  <c r="B467" i="56" s="1"/>
  <c r="K42" i="56"/>
  <c r="D84" i="56" s="1"/>
  <c r="B232" i="56" s="1"/>
  <c r="J42" i="56"/>
  <c r="B84" i="56"/>
  <c r="C312" i="56"/>
  <c r="D312" i="56" s="1"/>
  <c r="D358" i="56" s="1"/>
  <c r="B472" i="56" s="1"/>
  <c r="B358" i="56"/>
  <c r="C591" i="56"/>
  <c r="C70" i="56"/>
  <c r="C71" i="56" s="1"/>
  <c r="C144" i="56"/>
  <c r="C145" i="56" s="1"/>
  <c r="C128" i="56"/>
  <c r="C57" i="56"/>
  <c r="C543" i="56"/>
  <c r="C646" i="56" s="1"/>
  <c r="B92" i="56"/>
  <c r="C66" i="56"/>
  <c r="C59" i="56"/>
  <c r="C140" i="56"/>
  <c r="C130" i="56"/>
  <c r="C183" i="56"/>
  <c r="C31" i="56"/>
  <c r="C27" i="56" s="1"/>
  <c r="C524" i="56"/>
  <c r="C615" i="56" s="1"/>
  <c r="B350" i="56"/>
  <c r="B494" i="55"/>
  <c r="D494" i="55" s="1"/>
  <c r="E494" i="55" s="1"/>
  <c r="C600" i="55"/>
  <c r="C68" i="55"/>
  <c r="C61" i="55"/>
  <c r="B99" i="55"/>
  <c r="B100" i="55" s="1"/>
  <c r="B101" i="55" s="1"/>
  <c r="C500" i="54"/>
  <c r="C73" i="55"/>
  <c r="C74" i="55" s="1"/>
  <c r="C165" i="55"/>
  <c r="C60" i="55"/>
  <c r="C83" i="55"/>
  <c r="C502" i="55"/>
  <c r="C173" i="54"/>
  <c r="C502" i="54"/>
  <c r="C511" i="54" s="1"/>
  <c r="C602" i="55"/>
  <c r="C610" i="55" s="1"/>
  <c r="C158" i="55"/>
  <c r="B95" i="55"/>
  <c r="C69" i="55"/>
  <c r="C62" i="55"/>
  <c r="C34" i="55"/>
  <c r="C29" i="55" s="1"/>
  <c r="J49" i="54"/>
  <c r="C91" i="54" s="1"/>
  <c r="B85" i="54"/>
  <c r="B195" i="54" s="1"/>
  <c r="C414" i="54"/>
  <c r="C457" i="54"/>
  <c r="C62" i="54"/>
  <c r="K51" i="54"/>
  <c r="D93" i="54" s="1"/>
  <c r="B97" i="54"/>
  <c r="B207" i="54" s="1"/>
  <c r="B103" i="54"/>
  <c r="B214" i="54" s="1"/>
  <c r="K42" i="54"/>
  <c r="D84" i="54" s="1"/>
  <c r="K55" i="54"/>
  <c r="D103" i="54" s="1"/>
  <c r="J42" i="54"/>
  <c r="C84" i="54" s="1"/>
  <c r="B95" i="54"/>
  <c r="B205" i="54" s="1"/>
  <c r="B208" i="54"/>
  <c r="C69" i="54"/>
  <c r="C73" i="54"/>
  <c r="C74" i="54" s="1"/>
  <c r="C68" i="54"/>
  <c r="C285" i="54"/>
  <c r="C95" i="54"/>
  <c r="C275" i="54"/>
  <c r="C274" i="54"/>
  <c r="J41" i="54"/>
  <c r="C143" i="54" s="1"/>
  <c r="D143" i="54" s="1"/>
  <c r="J45" i="54"/>
  <c r="C87" i="54" s="1"/>
  <c r="K45" i="54"/>
  <c r="D87" i="54" s="1"/>
  <c r="D197" i="54" s="1"/>
  <c r="B332" i="54" s="1"/>
  <c r="D99" i="54"/>
  <c r="D100" i="54" s="1"/>
  <c r="D102" i="54" s="1"/>
  <c r="K47" i="54"/>
  <c r="D89" i="54" s="1"/>
  <c r="B92" i="54"/>
  <c r="B89" i="54"/>
  <c r="B199" i="54" s="1"/>
  <c r="B88" i="54"/>
  <c r="B198" i="54" s="1"/>
  <c r="K41" i="54"/>
  <c r="D83" i="54" s="1"/>
  <c r="J46" i="54"/>
  <c r="C146" i="54" s="1"/>
  <c r="D146" i="54" s="1"/>
  <c r="D198" i="54" s="1"/>
  <c r="B333" i="54" s="1"/>
  <c r="B99" i="54"/>
  <c r="C172" i="54"/>
  <c r="C61" i="54"/>
  <c r="C60" i="54"/>
  <c r="C34" i="54"/>
  <c r="B86" i="54"/>
  <c r="B196" i="54" s="1"/>
  <c r="J44" i="54"/>
  <c r="K44" i="54"/>
  <c r="D86" i="54" s="1"/>
  <c r="K52" i="54"/>
  <c r="D94" i="54" s="1"/>
  <c r="D96" i="54" s="1"/>
  <c r="J52" i="54"/>
  <c r="C151" i="54" s="1"/>
  <c r="C154" i="54"/>
  <c r="D154" i="54" s="1"/>
  <c r="C97" i="54"/>
  <c r="C150" i="54"/>
  <c r="D150" i="54" s="1"/>
  <c r="C93" i="54"/>
  <c r="C395" i="54"/>
  <c r="B90" i="54"/>
  <c r="K48" i="54"/>
  <c r="D90" i="54" s="1"/>
  <c r="J48" i="54"/>
  <c r="B194" i="54"/>
  <c r="D195" i="54"/>
  <c r="B330" i="54" s="1"/>
  <c r="D155" i="54"/>
  <c r="D208" i="54" s="1"/>
  <c r="C161" i="54"/>
  <c r="D161" i="54" s="1"/>
  <c r="C103" i="54"/>
  <c r="D202" i="54"/>
  <c r="B337" i="54" s="1"/>
  <c r="C241" i="54"/>
  <c r="C289" i="54"/>
  <c r="D207" i="54"/>
  <c r="B342" i="54" s="1"/>
  <c r="C147" i="54"/>
  <c r="D147" i="54" s="1"/>
  <c r="C89" i="54"/>
  <c r="B193" i="54"/>
  <c r="C146" i="50"/>
  <c r="D146" i="50" s="1"/>
  <c r="D198" i="50" s="1"/>
  <c r="C331" i="50"/>
  <c r="C61" i="50"/>
  <c r="B314" i="51"/>
  <c r="C156" i="51"/>
  <c r="D156" i="51" s="1"/>
  <c r="D206" i="51" s="1"/>
  <c r="C206" i="51" s="1"/>
  <c r="C98" i="51"/>
  <c r="C159" i="51"/>
  <c r="D159" i="51" s="1"/>
  <c r="D211" i="51" s="1"/>
  <c r="C103" i="51"/>
  <c r="C212" i="51"/>
  <c r="C462" i="51"/>
  <c r="B321" i="51"/>
  <c r="B220" i="51"/>
  <c r="C167" i="51"/>
  <c r="B114" i="51"/>
  <c r="C488" i="51"/>
  <c r="C497" i="51" s="1"/>
  <c r="C258" i="51"/>
  <c r="C109" i="51"/>
  <c r="C110" i="51" s="1"/>
  <c r="C33" i="51"/>
  <c r="C28" i="51" s="1"/>
  <c r="B109" i="51"/>
  <c r="C73" i="51"/>
  <c r="C185" i="51"/>
  <c r="C83" i="51"/>
  <c r="C61" i="51"/>
  <c r="C209" i="51"/>
  <c r="B316" i="51"/>
  <c r="C208" i="51"/>
  <c r="C458" i="51"/>
  <c r="C366" i="51"/>
  <c r="C219" i="51"/>
  <c r="C158" i="51"/>
  <c r="D158" i="51" s="1"/>
  <c r="C102" i="51"/>
  <c r="C494" i="51"/>
  <c r="C270" i="51"/>
  <c r="C243" i="51"/>
  <c r="F352" i="51"/>
  <c r="B310" i="51"/>
  <c r="D205" i="51"/>
  <c r="C74" i="51"/>
  <c r="C457" i="51"/>
  <c r="C365" i="51"/>
  <c r="C461" i="51"/>
  <c r="C369" i="51"/>
  <c r="F343" i="51"/>
  <c r="C496" i="51"/>
  <c r="C420" i="51"/>
  <c r="C428" i="51"/>
  <c r="C452" i="51"/>
  <c r="C360" i="51"/>
  <c r="D207" i="51"/>
  <c r="C207" i="51" s="1"/>
  <c r="C162" i="51"/>
  <c r="D162" i="51" s="1"/>
  <c r="D215" i="51" s="1"/>
  <c r="C107" i="51"/>
  <c r="B221" i="51"/>
  <c r="F432" i="50"/>
  <c r="C543" i="50" s="1"/>
  <c r="C149" i="50"/>
  <c r="D149" i="50" s="1"/>
  <c r="D201" i="50" s="1"/>
  <c r="B393" i="50" s="1"/>
  <c r="C172" i="50"/>
  <c r="F426" i="50"/>
  <c r="C446" i="50" s="1"/>
  <c r="C563" i="50"/>
  <c r="B208" i="50"/>
  <c r="B99" i="50"/>
  <c r="B209" i="50" s="1"/>
  <c r="F423" i="50"/>
  <c r="C534" i="50" s="1"/>
  <c r="F428" i="50"/>
  <c r="C539" i="50" s="1"/>
  <c r="F418" i="50"/>
  <c r="C438" i="50" s="1"/>
  <c r="C83" i="50"/>
  <c r="F427" i="50"/>
  <c r="C538" i="50" s="1"/>
  <c r="D214" i="50"/>
  <c r="D99" i="50"/>
  <c r="D100" i="50" s="1"/>
  <c r="D101" i="50" s="1"/>
  <c r="D194" i="50"/>
  <c r="B386" i="50" s="1"/>
  <c r="C342" i="50"/>
  <c r="F422" i="50"/>
  <c r="C442" i="50" s="1"/>
  <c r="C60" i="50"/>
  <c r="C97" i="50"/>
  <c r="D207" i="50"/>
  <c r="B399" i="50" s="1"/>
  <c r="C180" i="50"/>
  <c r="D193" i="50"/>
  <c r="F424" i="50"/>
  <c r="C444" i="50" s="1"/>
  <c r="F420" i="50"/>
  <c r="C471" i="50"/>
  <c r="C573" i="50" s="1"/>
  <c r="C103" i="50"/>
  <c r="F425" i="50"/>
  <c r="C445" i="50" s="1"/>
  <c r="F419" i="50"/>
  <c r="C530" i="50" s="1"/>
  <c r="F431" i="50"/>
  <c r="C197" i="50"/>
  <c r="B362" i="50" s="1"/>
  <c r="C147" i="50"/>
  <c r="D147" i="50" s="1"/>
  <c r="D199" i="50" s="1"/>
  <c r="B391" i="50" s="1"/>
  <c r="C89" i="50"/>
  <c r="D195" i="50"/>
  <c r="B387" i="50" s="1"/>
  <c r="D96" i="50"/>
  <c r="D200" i="50"/>
  <c r="B392" i="50" s="1"/>
  <c r="F429" i="50"/>
  <c r="F421" i="50"/>
  <c r="B203" i="50"/>
  <c r="B195" i="50"/>
  <c r="B204" i="50"/>
  <c r="B200" i="50"/>
  <c r="B196" i="50"/>
  <c r="C565" i="50"/>
  <c r="C574" i="50" s="1"/>
  <c r="C173" i="50"/>
  <c r="C332" i="50"/>
  <c r="C95" i="50"/>
  <c r="C62" i="50"/>
  <c r="B95" i="50"/>
  <c r="B96" i="50" s="1"/>
  <c r="C34" i="50"/>
  <c r="C29" i="50" s="1"/>
  <c r="C69" i="50"/>
  <c r="C70" i="50" s="1"/>
  <c r="C150" i="50"/>
  <c r="D150" i="50" s="1"/>
  <c r="D203" i="50" s="1"/>
  <c r="B395" i="50" s="1"/>
  <c r="C93" i="50"/>
  <c r="D155" i="50"/>
  <c r="D208" i="50" s="1"/>
  <c r="B400" i="50" s="1"/>
  <c r="F430" i="50"/>
  <c r="D151" i="50"/>
  <c r="D204" i="50" s="1"/>
  <c r="B396" i="50" s="1"/>
  <c r="B199" i="50"/>
  <c r="C62" i="51" l="1"/>
  <c r="B221" i="57"/>
  <c r="C221" i="57" s="1"/>
  <c r="B330" i="57" s="1"/>
  <c r="B410" i="57" s="1"/>
  <c r="J133" i="1"/>
  <c r="E117" i="1"/>
  <c r="C134" i="57"/>
  <c r="C131" i="57"/>
  <c r="C132" i="57" s="1"/>
  <c r="C133" i="57" s="1"/>
  <c r="C138" i="57"/>
  <c r="C139" i="57" s="1"/>
  <c r="C140" i="57" s="1"/>
  <c r="C297" i="57"/>
  <c r="C298" i="57" s="1"/>
  <c r="C141" i="57"/>
  <c r="C185" i="57"/>
  <c r="C201" i="57"/>
  <c r="C202" i="57" s="1"/>
  <c r="C203" i="57" s="1"/>
  <c r="C534" i="57"/>
  <c r="C179" i="57"/>
  <c r="B232" i="57" s="1"/>
  <c r="C307" i="57"/>
  <c r="C308" i="57" s="1"/>
  <c r="C367" i="51"/>
  <c r="C364" i="51"/>
  <c r="B328" i="51"/>
  <c r="C213" i="51"/>
  <c r="D116" i="51"/>
  <c r="C453" i="51"/>
  <c r="C84" i="51"/>
  <c r="E109" i="51" s="1"/>
  <c r="G109" i="51" s="1"/>
  <c r="H109" i="51" s="1"/>
  <c r="C454" i="51"/>
  <c r="C466" i="51"/>
  <c r="C371" i="51"/>
  <c r="C373" i="51" s="1"/>
  <c r="B385" i="51" s="1"/>
  <c r="D385" i="51" s="1"/>
  <c r="E385" i="51" s="1"/>
  <c r="C375" i="51"/>
  <c r="C368" i="51"/>
  <c r="C75" i="51"/>
  <c r="C469" i="54"/>
  <c r="C478" i="54"/>
  <c r="C476" i="54"/>
  <c r="C474" i="54"/>
  <c r="C149" i="54"/>
  <c r="D149" i="54" s="1"/>
  <c r="D201" i="54" s="1"/>
  <c r="B336" i="54" s="1"/>
  <c r="E231" i="57"/>
  <c r="G231" i="57" s="1"/>
  <c r="H231" i="57" s="1"/>
  <c r="E227" i="57"/>
  <c r="G227" i="57" s="1"/>
  <c r="H227" i="57" s="1"/>
  <c r="E223" i="57"/>
  <c r="G223" i="57" s="1"/>
  <c r="H223" i="57" s="1"/>
  <c r="E219" i="57"/>
  <c r="G219" i="57" s="1"/>
  <c r="H219" i="57" s="1"/>
  <c r="E232" i="57"/>
  <c r="E228" i="57"/>
  <c r="G228" i="57" s="1"/>
  <c r="H228" i="57" s="1"/>
  <c r="E233" i="57"/>
  <c r="G233" i="57" s="1"/>
  <c r="H233" i="57" s="1"/>
  <c r="E225" i="57"/>
  <c r="G225" i="57" s="1"/>
  <c r="H225" i="57" s="1"/>
  <c r="E224" i="57"/>
  <c r="G224" i="57" s="1"/>
  <c r="H224" i="57" s="1"/>
  <c r="E218" i="57"/>
  <c r="G218" i="57" s="1"/>
  <c r="H218" i="57" s="1"/>
  <c r="E214" i="57"/>
  <c r="G214" i="57" s="1"/>
  <c r="H214" i="57" s="1"/>
  <c r="E230" i="57"/>
  <c r="G230" i="57" s="1"/>
  <c r="H230" i="57" s="1"/>
  <c r="E222" i="57"/>
  <c r="G222" i="57" s="1"/>
  <c r="H222" i="57" s="1"/>
  <c r="E221" i="57"/>
  <c r="G221" i="57" s="1"/>
  <c r="H221" i="57" s="1"/>
  <c r="E220" i="57"/>
  <c r="G220" i="57" s="1"/>
  <c r="H220" i="57" s="1"/>
  <c r="E215" i="57"/>
  <c r="G215" i="57" s="1"/>
  <c r="H215" i="57" s="1"/>
  <c r="E229" i="57"/>
  <c r="G229" i="57" s="1"/>
  <c r="H229" i="57" s="1"/>
  <c r="E216" i="57"/>
  <c r="G216" i="57" s="1"/>
  <c r="H216" i="57" s="1"/>
  <c r="E212" i="57"/>
  <c r="G212" i="57" s="1"/>
  <c r="H212" i="57" s="1"/>
  <c r="E226" i="57"/>
  <c r="G226" i="57" s="1"/>
  <c r="H226" i="57" s="1"/>
  <c r="E217" i="57"/>
  <c r="G217" i="57" s="1"/>
  <c r="H217" i="57" s="1"/>
  <c r="E213" i="57"/>
  <c r="G213" i="57" s="1"/>
  <c r="H213" i="57" s="1"/>
  <c r="B365" i="57"/>
  <c r="C229" i="57"/>
  <c r="B339" i="57"/>
  <c r="B412" i="57"/>
  <c r="D412" i="57" s="1"/>
  <c r="B413" i="57"/>
  <c r="D413" i="57" s="1"/>
  <c r="D401" i="57"/>
  <c r="B493" i="57"/>
  <c r="E493" i="57" s="1"/>
  <c r="B334" i="57"/>
  <c r="D410" i="57"/>
  <c r="B502" i="57"/>
  <c r="E502" i="57" s="1"/>
  <c r="D404" i="57"/>
  <c r="B496" i="57"/>
  <c r="E496" i="57" s="1"/>
  <c r="D407" i="57"/>
  <c r="B499" i="57"/>
  <c r="E499" i="57" s="1"/>
  <c r="D409" i="57"/>
  <c r="B501" i="57"/>
  <c r="E501" i="57" s="1"/>
  <c r="B340" i="57"/>
  <c r="D406" i="57"/>
  <c r="B498" i="57"/>
  <c r="E498" i="57" s="1"/>
  <c r="B416" i="57"/>
  <c r="D402" i="57"/>
  <c r="B494" i="57"/>
  <c r="E494" i="57" s="1"/>
  <c r="C96" i="50"/>
  <c r="C141" i="56"/>
  <c r="C313" i="56"/>
  <c r="D313" i="56" s="1"/>
  <c r="D359" i="56" s="1"/>
  <c r="B473" i="56" s="1"/>
  <c r="C67" i="56"/>
  <c r="E95" i="56" s="1"/>
  <c r="G95" i="56" s="1"/>
  <c r="H95" i="56" s="1"/>
  <c r="B237" i="56"/>
  <c r="C519" i="56" s="1"/>
  <c r="C612" i="56" s="1"/>
  <c r="B240" i="56"/>
  <c r="B214" i="56"/>
  <c r="B203" i="56"/>
  <c r="C306" i="56" s="1"/>
  <c r="D306" i="56" s="1"/>
  <c r="D349" i="56" s="1"/>
  <c r="B463" i="56" s="1"/>
  <c r="B216" i="56"/>
  <c r="B362" i="56" s="1"/>
  <c r="D96" i="56"/>
  <c r="B244" i="56" s="1"/>
  <c r="C32" i="56"/>
  <c r="C60" i="56"/>
  <c r="C520" i="56"/>
  <c r="C613" i="56" s="1"/>
  <c r="B364" i="56"/>
  <c r="C318" i="56"/>
  <c r="D318" i="56" s="1"/>
  <c r="D364" i="56" s="1"/>
  <c r="B478" i="56" s="1"/>
  <c r="B98" i="56"/>
  <c r="B99" i="56"/>
  <c r="C359" i="56"/>
  <c r="B451" i="56" s="1"/>
  <c r="B356" i="56"/>
  <c r="C311" i="56"/>
  <c r="D311" i="56" s="1"/>
  <c r="D356" i="56" s="1"/>
  <c r="B470" i="56" s="1"/>
  <c r="C526" i="56"/>
  <c r="C617" i="56" s="1"/>
  <c r="C358" i="56"/>
  <c r="B450" i="56" s="1"/>
  <c r="C84" i="56"/>
  <c r="B206" i="56" s="1"/>
  <c r="C124" i="56"/>
  <c r="C125" i="56" s="1"/>
  <c r="C131" i="56"/>
  <c r="C132" i="56" s="1"/>
  <c r="C516" i="56"/>
  <c r="C609" i="56" s="1"/>
  <c r="C353" i="56"/>
  <c r="B445" i="56" s="1"/>
  <c r="C92" i="56"/>
  <c r="B93" i="56"/>
  <c r="C578" i="56"/>
  <c r="C570" i="56"/>
  <c r="C26" i="56"/>
  <c r="C28" i="56"/>
  <c r="C512" i="56"/>
  <c r="C605" i="56" s="1"/>
  <c r="C515" i="56"/>
  <c r="C608" i="56" s="1"/>
  <c r="B351" i="56"/>
  <c r="C307" i="56"/>
  <c r="D307" i="56" s="1"/>
  <c r="D351" i="56" s="1"/>
  <c r="B465" i="56" s="1"/>
  <c r="B355" i="56"/>
  <c r="C310" i="56"/>
  <c r="D310" i="56" s="1"/>
  <c r="D355" i="56" s="1"/>
  <c r="B469" i="56" s="1"/>
  <c r="C350" i="56"/>
  <c r="B442" i="56" s="1"/>
  <c r="C603" i="56"/>
  <c r="C513" i="56"/>
  <c r="C606" i="56" s="1"/>
  <c r="C354" i="56"/>
  <c r="B446" i="56" s="1"/>
  <c r="B348" i="56"/>
  <c r="C305" i="56"/>
  <c r="D305" i="56" s="1"/>
  <c r="D348" i="56" s="1"/>
  <c r="B462" i="56" s="1"/>
  <c r="C70" i="55"/>
  <c r="E87" i="55" s="1"/>
  <c r="G87" i="55" s="1"/>
  <c r="H87" i="55" s="1"/>
  <c r="D99" i="55"/>
  <c r="C63" i="55"/>
  <c r="B102" i="55"/>
  <c r="C35" i="55"/>
  <c r="C30" i="55"/>
  <c r="C28" i="55"/>
  <c r="C439" i="54"/>
  <c r="C510" i="54"/>
  <c r="C609" i="55"/>
  <c r="C531" i="55"/>
  <c r="C540" i="55"/>
  <c r="C95" i="55"/>
  <c r="B96" i="55"/>
  <c r="C445" i="54"/>
  <c r="B96" i="54"/>
  <c r="B206" i="54" s="1"/>
  <c r="D101" i="54"/>
  <c r="D203" i="54"/>
  <c r="B338" i="54" s="1"/>
  <c r="D199" i="54"/>
  <c r="B334" i="54" s="1"/>
  <c r="C144" i="54"/>
  <c r="D144" i="54" s="1"/>
  <c r="D194" i="54" s="1"/>
  <c r="B329" i="54" s="1"/>
  <c r="C83" i="54"/>
  <c r="D214" i="54"/>
  <c r="B349" i="54" s="1"/>
  <c r="C70" i="54"/>
  <c r="E95" i="54" s="1"/>
  <c r="G95" i="54" s="1"/>
  <c r="H95" i="54" s="1"/>
  <c r="C208" i="54"/>
  <c r="B316" i="54" s="1"/>
  <c r="B343" i="54"/>
  <c r="C152" i="54"/>
  <c r="D152" i="54" s="1"/>
  <c r="D205" i="54" s="1"/>
  <c r="B340" i="54" s="1"/>
  <c r="C88" i="54"/>
  <c r="C63" i="54"/>
  <c r="C94" i="54"/>
  <c r="C96" i="54" s="1"/>
  <c r="C35" i="54"/>
  <c r="C29" i="54"/>
  <c r="B209" i="54"/>
  <c r="C156" i="54"/>
  <c r="B100" i="54"/>
  <c r="C86" i="54"/>
  <c r="C145" i="54"/>
  <c r="D145" i="54" s="1"/>
  <c r="D196" i="54" s="1"/>
  <c r="B331" i="54" s="1"/>
  <c r="D151" i="54"/>
  <c r="D204" i="54" s="1"/>
  <c r="B339" i="54" s="1"/>
  <c r="B200" i="54"/>
  <c r="C195" i="54"/>
  <c r="B303" i="54" s="1"/>
  <c r="C90" i="54"/>
  <c r="C148" i="54"/>
  <c r="D148" i="54" s="1"/>
  <c r="D200" i="54" s="1"/>
  <c r="B335" i="54" s="1"/>
  <c r="C198" i="54"/>
  <c r="B306" i="54" s="1"/>
  <c r="C197" i="54"/>
  <c r="B305" i="54" s="1"/>
  <c r="C207" i="54"/>
  <c r="B315" i="54" s="1"/>
  <c r="D193" i="54"/>
  <c r="B328" i="54" s="1"/>
  <c r="C34" i="51"/>
  <c r="C489" i="51" s="1"/>
  <c r="B390" i="50"/>
  <c r="C198" i="50"/>
  <c r="B363" i="50" s="1"/>
  <c r="B443" i="50" s="1"/>
  <c r="C454" i="50"/>
  <c r="B317" i="51"/>
  <c r="C215" i="51"/>
  <c r="B281" i="51"/>
  <c r="F117" i="51"/>
  <c r="F110" i="51"/>
  <c r="K110" i="51" s="1"/>
  <c r="L110" i="51" s="1"/>
  <c r="F107" i="51"/>
  <c r="K107" i="51" s="1"/>
  <c r="L107" i="51" s="1"/>
  <c r="F103" i="51"/>
  <c r="K103" i="51" s="1"/>
  <c r="L103" i="51" s="1"/>
  <c r="C129" i="51"/>
  <c r="F115" i="51"/>
  <c r="I115" i="51" s="1"/>
  <c r="J115" i="51" s="1"/>
  <c r="F113" i="51"/>
  <c r="F111" i="51"/>
  <c r="F116" i="51"/>
  <c r="I116" i="51" s="1"/>
  <c r="J116" i="51" s="1"/>
  <c r="F112" i="51"/>
  <c r="F109" i="51"/>
  <c r="K109" i="51" s="1"/>
  <c r="L109" i="51" s="1"/>
  <c r="F106" i="51"/>
  <c r="F105" i="51"/>
  <c r="F104" i="51"/>
  <c r="F98" i="51"/>
  <c r="K98" i="51" s="1"/>
  <c r="L98" i="51" s="1"/>
  <c r="F102" i="51"/>
  <c r="K102" i="51" s="1"/>
  <c r="L102" i="51" s="1"/>
  <c r="F101" i="51"/>
  <c r="F99" i="51"/>
  <c r="C89" i="51"/>
  <c r="C90" i="51" s="1"/>
  <c r="C85" i="51"/>
  <c r="F114" i="51"/>
  <c r="F100" i="51"/>
  <c r="C69" i="51"/>
  <c r="C70" i="51" s="1"/>
  <c r="F108" i="51"/>
  <c r="F97" i="51"/>
  <c r="C76" i="51"/>
  <c r="B313" i="51"/>
  <c r="C211" i="51"/>
  <c r="E116" i="51"/>
  <c r="E112" i="51"/>
  <c r="G112" i="51" s="1"/>
  <c r="H112" i="51" s="1"/>
  <c r="E106" i="51"/>
  <c r="G106" i="51" s="1"/>
  <c r="H106" i="51" s="1"/>
  <c r="E102" i="51"/>
  <c r="G102" i="51" s="1"/>
  <c r="H102" i="51" s="1"/>
  <c r="E117" i="51"/>
  <c r="G117" i="51" s="1"/>
  <c r="H117" i="51" s="1"/>
  <c r="E108" i="51"/>
  <c r="G108" i="51" s="1"/>
  <c r="H108" i="51" s="1"/>
  <c r="E107" i="51"/>
  <c r="G107" i="51" s="1"/>
  <c r="H107" i="51" s="1"/>
  <c r="E97" i="51"/>
  <c r="G97" i="51" s="1"/>
  <c r="H97" i="51" s="1"/>
  <c r="E115" i="51"/>
  <c r="E111" i="51"/>
  <c r="G111" i="51" s="1"/>
  <c r="H111" i="51" s="1"/>
  <c r="E105" i="51"/>
  <c r="G105" i="51" s="1"/>
  <c r="H105" i="51" s="1"/>
  <c r="E103" i="51"/>
  <c r="G103" i="51" s="1"/>
  <c r="H103" i="51" s="1"/>
  <c r="E98" i="51"/>
  <c r="G98" i="51" s="1"/>
  <c r="H98" i="51" s="1"/>
  <c r="E101" i="51"/>
  <c r="G101" i="51" s="1"/>
  <c r="H101" i="51" s="1"/>
  <c r="E99" i="51"/>
  <c r="G99" i="51" s="1"/>
  <c r="H99" i="51" s="1"/>
  <c r="E113" i="51"/>
  <c r="G113" i="51" s="1"/>
  <c r="H113" i="51" s="1"/>
  <c r="E100" i="51"/>
  <c r="G100" i="51" s="1"/>
  <c r="H100" i="51" s="1"/>
  <c r="C156" i="50"/>
  <c r="D156" i="50" s="1"/>
  <c r="D209" i="50" s="1"/>
  <c r="B401" i="50" s="1"/>
  <c r="B282" i="51"/>
  <c r="B369" i="51"/>
  <c r="B323" i="51"/>
  <c r="C374" i="51"/>
  <c r="C464" i="51"/>
  <c r="B283" i="51"/>
  <c r="C29" i="51"/>
  <c r="C487" i="51" s="1"/>
  <c r="C27" i="51"/>
  <c r="D167" i="51"/>
  <c r="D220" i="51" s="1"/>
  <c r="C169" i="51"/>
  <c r="B288" i="51"/>
  <c r="C221" i="51"/>
  <c r="C455" i="51"/>
  <c r="C363" i="51"/>
  <c r="B318" i="51"/>
  <c r="D210" i="51"/>
  <c r="B222" i="51"/>
  <c r="C216" i="51"/>
  <c r="B308" i="51"/>
  <c r="B294" i="51"/>
  <c r="B287" i="51"/>
  <c r="B307" i="51"/>
  <c r="C205" i="51"/>
  <c r="B309" i="51"/>
  <c r="B376" i="51"/>
  <c r="B284" i="51"/>
  <c r="B217" i="51"/>
  <c r="C164" i="51"/>
  <c r="B110" i="51"/>
  <c r="B115" i="51"/>
  <c r="B116" i="51"/>
  <c r="C214" i="50"/>
  <c r="B379" i="50" s="1"/>
  <c r="B406" i="50"/>
  <c r="C193" i="50"/>
  <c r="B358" i="50" s="1"/>
  <c r="B385" i="50"/>
  <c r="C443" i="50"/>
  <c r="C448" i="50"/>
  <c r="C537" i="50"/>
  <c r="C208" i="50"/>
  <c r="B373" i="50" s="1"/>
  <c r="B100" i="50"/>
  <c r="B101" i="50" s="1"/>
  <c r="D102" i="50"/>
  <c r="C194" i="50"/>
  <c r="C529" i="50"/>
  <c r="C447" i="50"/>
  <c r="C63" i="50"/>
  <c r="C536" i="50"/>
  <c r="C533" i="50"/>
  <c r="C207" i="50"/>
  <c r="B372" i="50" s="1"/>
  <c r="C535" i="50"/>
  <c r="C505" i="50"/>
  <c r="C497" i="50"/>
  <c r="C201" i="50"/>
  <c r="B366" i="50" s="1"/>
  <c r="C440" i="50"/>
  <c r="C531" i="50"/>
  <c r="C439" i="50"/>
  <c r="C542" i="50"/>
  <c r="C453" i="50"/>
  <c r="E100" i="50"/>
  <c r="E98" i="50"/>
  <c r="G98" i="50" s="1"/>
  <c r="H98" i="50" s="1"/>
  <c r="E95" i="50"/>
  <c r="G95" i="50" s="1"/>
  <c r="H95" i="50" s="1"/>
  <c r="E92" i="50"/>
  <c r="G92" i="50" s="1"/>
  <c r="H92" i="50" s="1"/>
  <c r="E88" i="50"/>
  <c r="G88" i="50" s="1"/>
  <c r="H88" i="50" s="1"/>
  <c r="E84" i="50"/>
  <c r="G84" i="50" s="1"/>
  <c r="H84" i="50" s="1"/>
  <c r="E96" i="50"/>
  <c r="G96" i="50" s="1"/>
  <c r="H96" i="50" s="1"/>
  <c r="E93" i="50"/>
  <c r="G93" i="50" s="1"/>
  <c r="H93" i="50" s="1"/>
  <c r="E89" i="50"/>
  <c r="G89" i="50" s="1"/>
  <c r="H89" i="50" s="1"/>
  <c r="E85" i="50"/>
  <c r="G85" i="50" s="1"/>
  <c r="H85" i="50" s="1"/>
  <c r="E87" i="50"/>
  <c r="G87" i="50" s="1"/>
  <c r="H87" i="50" s="1"/>
  <c r="E83" i="50"/>
  <c r="G83" i="50" s="1"/>
  <c r="H83" i="50" s="1"/>
  <c r="E99" i="50"/>
  <c r="G99" i="50" s="1"/>
  <c r="H99" i="50" s="1"/>
  <c r="E103" i="50"/>
  <c r="G103" i="50" s="1"/>
  <c r="H103" i="50" s="1"/>
  <c r="E102" i="50"/>
  <c r="E101" i="50"/>
  <c r="E97" i="50"/>
  <c r="G97" i="50" s="1"/>
  <c r="H97" i="50" s="1"/>
  <c r="E94" i="50"/>
  <c r="G94" i="50" s="1"/>
  <c r="H94" i="50" s="1"/>
  <c r="E86" i="50"/>
  <c r="G86" i="50" s="1"/>
  <c r="H86" i="50" s="1"/>
  <c r="E91" i="50"/>
  <c r="G91" i="50" s="1"/>
  <c r="H91" i="50" s="1"/>
  <c r="E90" i="50"/>
  <c r="G90" i="50" s="1"/>
  <c r="H90" i="50" s="1"/>
  <c r="C452" i="50"/>
  <c r="C541" i="50"/>
  <c r="C35" i="50"/>
  <c r="C204" i="50"/>
  <c r="B369" i="50" s="1"/>
  <c r="C199" i="50"/>
  <c r="B364" i="50" s="1"/>
  <c r="C200" i="50"/>
  <c r="B365" i="50" s="1"/>
  <c r="C196" i="50"/>
  <c r="B361" i="50" s="1"/>
  <c r="B206" i="50"/>
  <c r="C28" i="50"/>
  <c r="C30" i="50"/>
  <c r="C540" i="50"/>
  <c r="C449" i="50"/>
  <c r="C451" i="50" s="1"/>
  <c r="B463" i="50" s="1"/>
  <c r="D463" i="50" s="1"/>
  <c r="E463" i="50" s="1"/>
  <c r="B210" i="50"/>
  <c r="C152" i="50"/>
  <c r="B205" i="50"/>
  <c r="C195" i="50"/>
  <c r="B360" i="50" s="1"/>
  <c r="C203" i="50"/>
  <c r="B368" i="50" s="1"/>
  <c r="C532" i="50"/>
  <c r="C441" i="50"/>
  <c r="I107" i="51" l="1"/>
  <c r="J107" i="51" s="1"/>
  <c r="C603" i="55"/>
  <c r="E108" i="2"/>
  <c r="E66" i="2"/>
  <c r="C566" i="50"/>
  <c r="E91" i="1"/>
  <c r="E131" i="1"/>
  <c r="F93" i="50"/>
  <c r="K93" i="50" s="1"/>
  <c r="L93" i="50" s="1"/>
  <c r="B99" i="1"/>
  <c r="F91" i="1"/>
  <c r="F99" i="54"/>
  <c r="B101" i="1"/>
  <c r="F93" i="1"/>
  <c r="C638" i="56"/>
  <c r="D109" i="2"/>
  <c r="D67" i="2"/>
  <c r="C564" i="50"/>
  <c r="D131" i="1"/>
  <c r="D91" i="1"/>
  <c r="B73" i="2"/>
  <c r="F66" i="2"/>
  <c r="C166" i="56"/>
  <c r="C168" i="56" s="1"/>
  <c r="B74" i="2"/>
  <c r="F67" i="2"/>
  <c r="C503" i="54"/>
  <c r="E93" i="1"/>
  <c r="E133" i="1"/>
  <c r="C601" i="55"/>
  <c r="D66" i="2"/>
  <c r="D108" i="2"/>
  <c r="C640" i="56"/>
  <c r="E109" i="2"/>
  <c r="E67" i="2"/>
  <c r="C135" i="57"/>
  <c r="D179" i="57"/>
  <c r="C186" i="57"/>
  <c r="C142" i="57"/>
  <c r="E114" i="51"/>
  <c r="G114" i="51" s="1"/>
  <c r="H114" i="51" s="1"/>
  <c r="E104" i="51"/>
  <c r="G104" i="51" s="1"/>
  <c r="H104" i="51" s="1"/>
  <c r="C86" i="51"/>
  <c r="E110" i="51"/>
  <c r="G110" i="51" s="1"/>
  <c r="H110" i="51" s="1"/>
  <c r="I110" i="51"/>
  <c r="J110" i="51" s="1"/>
  <c r="C77" i="51"/>
  <c r="K115" i="51"/>
  <c r="L115" i="51" s="1"/>
  <c r="C117" i="50"/>
  <c r="C165" i="50" s="1"/>
  <c r="C201" i="54"/>
  <c r="B309" i="54" s="1"/>
  <c r="G116" i="51"/>
  <c r="H116" i="51" s="1"/>
  <c r="G232" i="57"/>
  <c r="H232" i="57" s="1"/>
  <c r="F83" i="56"/>
  <c r="B506" i="57"/>
  <c r="E506" i="57" s="1"/>
  <c r="D416" i="57"/>
  <c r="C546" i="57"/>
  <c r="E88" i="56"/>
  <c r="G88" i="56" s="1"/>
  <c r="H88" i="56" s="1"/>
  <c r="B414" i="57"/>
  <c r="D232" i="57"/>
  <c r="B338" i="57"/>
  <c r="E82" i="56"/>
  <c r="G82" i="56" s="1"/>
  <c r="H82" i="56" s="1"/>
  <c r="E97" i="56"/>
  <c r="G97" i="56" s="1"/>
  <c r="H97" i="56" s="1"/>
  <c r="F102" i="55"/>
  <c r="I102" i="55" s="1"/>
  <c r="J102" i="55" s="1"/>
  <c r="C141" i="55"/>
  <c r="E94" i="56"/>
  <c r="G94" i="56" s="1"/>
  <c r="H94" i="56" s="1"/>
  <c r="E99" i="56"/>
  <c r="G99" i="56" s="1"/>
  <c r="H99" i="56" s="1"/>
  <c r="E98" i="56"/>
  <c r="G98" i="56" s="1"/>
  <c r="H98" i="56" s="1"/>
  <c r="E85" i="56"/>
  <c r="G85" i="56" s="1"/>
  <c r="H85" i="56" s="1"/>
  <c r="E92" i="56"/>
  <c r="G92" i="56" s="1"/>
  <c r="H92" i="56" s="1"/>
  <c r="E100" i="56"/>
  <c r="G100" i="56" s="1"/>
  <c r="H100" i="56" s="1"/>
  <c r="E89" i="56"/>
  <c r="G89" i="56" s="1"/>
  <c r="H89" i="56" s="1"/>
  <c r="E84" i="56"/>
  <c r="G84" i="56" s="1"/>
  <c r="H84" i="56" s="1"/>
  <c r="B349" i="56"/>
  <c r="C349" i="56" s="1"/>
  <c r="B441" i="56" s="1"/>
  <c r="E86" i="56"/>
  <c r="G86" i="56" s="1"/>
  <c r="H86" i="56" s="1"/>
  <c r="E90" i="56"/>
  <c r="G90" i="56" s="1"/>
  <c r="H90" i="56" s="1"/>
  <c r="E80" i="56"/>
  <c r="G80" i="56" s="1"/>
  <c r="H80" i="56" s="1"/>
  <c r="E93" i="56"/>
  <c r="G93" i="56" s="1"/>
  <c r="H93" i="56" s="1"/>
  <c r="E91" i="56"/>
  <c r="G91" i="56" s="1"/>
  <c r="H91" i="56" s="1"/>
  <c r="E87" i="56"/>
  <c r="G87" i="56" s="1"/>
  <c r="H87" i="56" s="1"/>
  <c r="E83" i="56"/>
  <c r="G83" i="56" s="1"/>
  <c r="H83" i="56" s="1"/>
  <c r="E81" i="56"/>
  <c r="G81" i="56" s="1"/>
  <c r="H81" i="56" s="1"/>
  <c r="E96" i="56"/>
  <c r="G96" i="56" s="1"/>
  <c r="H96" i="56" s="1"/>
  <c r="C316" i="56"/>
  <c r="D316" i="56" s="1"/>
  <c r="D362" i="56" s="1"/>
  <c r="B476" i="56" s="1"/>
  <c r="D97" i="56"/>
  <c r="B245" i="56" s="1"/>
  <c r="F92" i="56"/>
  <c r="K92" i="56" s="1"/>
  <c r="L92" i="56" s="1"/>
  <c r="F94" i="56"/>
  <c r="K94" i="56" s="1"/>
  <c r="L94" i="56" s="1"/>
  <c r="F91" i="56"/>
  <c r="C133" i="56"/>
  <c r="C134" i="56" s="1"/>
  <c r="F93" i="56"/>
  <c r="C68" i="56"/>
  <c r="C69" i="56" s="1"/>
  <c r="F95" i="56"/>
  <c r="K95" i="56" s="1"/>
  <c r="L95" i="56" s="1"/>
  <c r="F97" i="56"/>
  <c r="I97" i="56" s="1"/>
  <c r="J97" i="56" s="1"/>
  <c r="F80" i="56"/>
  <c r="K80" i="56" s="1"/>
  <c r="L80" i="56" s="1"/>
  <c r="F100" i="56"/>
  <c r="K100" i="56" s="1"/>
  <c r="L100" i="56" s="1"/>
  <c r="F81" i="56"/>
  <c r="K81" i="56" s="1"/>
  <c r="L81" i="56" s="1"/>
  <c r="F84" i="56"/>
  <c r="K84" i="56" s="1"/>
  <c r="L84" i="56" s="1"/>
  <c r="F96" i="56"/>
  <c r="F88" i="56"/>
  <c r="I88" i="56" s="1"/>
  <c r="J88" i="56" s="1"/>
  <c r="F99" i="56"/>
  <c r="I99" i="56" s="1"/>
  <c r="J99" i="56" s="1"/>
  <c r="F98" i="56"/>
  <c r="I98" i="56" s="1"/>
  <c r="J98" i="56" s="1"/>
  <c r="F86" i="56"/>
  <c r="I86" i="56" s="1"/>
  <c r="J86" i="56" s="1"/>
  <c r="C142" i="56"/>
  <c r="C143" i="56" s="1"/>
  <c r="C151" i="56"/>
  <c r="C153" i="56" s="1"/>
  <c r="C186" i="56" s="1"/>
  <c r="F87" i="56"/>
  <c r="I87" i="56" s="1"/>
  <c r="J87" i="56" s="1"/>
  <c r="C119" i="56"/>
  <c r="F85" i="56"/>
  <c r="I85" i="56" s="1"/>
  <c r="J85" i="56" s="1"/>
  <c r="F82" i="56"/>
  <c r="I82" i="56" s="1"/>
  <c r="J82" i="56" s="1"/>
  <c r="F89" i="56"/>
  <c r="K89" i="56" s="1"/>
  <c r="L89" i="56" s="1"/>
  <c r="C72" i="56"/>
  <c r="C73" i="56" s="1"/>
  <c r="C126" i="56"/>
  <c r="C127" i="56" s="1"/>
  <c r="F90" i="56"/>
  <c r="I90" i="56" s="1"/>
  <c r="J90" i="56" s="1"/>
  <c r="C146" i="56"/>
  <c r="C147" i="56" s="1"/>
  <c r="C348" i="56"/>
  <c r="B440" i="56" s="1"/>
  <c r="B510" i="56" s="1"/>
  <c r="C209" i="50"/>
  <c r="B374" i="50" s="1"/>
  <c r="I109" i="51"/>
  <c r="J109" i="51" s="1"/>
  <c r="E85" i="55"/>
  <c r="G85" i="55" s="1"/>
  <c r="H85" i="55" s="1"/>
  <c r="B360" i="56"/>
  <c r="C314" i="56"/>
  <c r="B215" i="56"/>
  <c r="C356" i="56"/>
  <c r="B448" i="56" s="1"/>
  <c r="C522" i="56"/>
  <c r="C523" i="56" s="1"/>
  <c r="C614" i="56" s="1"/>
  <c r="B241" i="56"/>
  <c r="C364" i="56"/>
  <c r="B456" i="56" s="1"/>
  <c r="I98" i="51"/>
  <c r="J98" i="51" s="1"/>
  <c r="E88" i="55"/>
  <c r="G88" i="55" s="1"/>
  <c r="H88" i="55" s="1"/>
  <c r="C355" i="56"/>
  <c r="B447" i="56" s="1"/>
  <c r="C351" i="56"/>
  <c r="B443" i="56" s="1"/>
  <c r="C514" i="56"/>
  <c r="C607" i="56" s="1"/>
  <c r="E93" i="55"/>
  <c r="G93" i="55" s="1"/>
  <c r="H93" i="55" s="1"/>
  <c r="E92" i="55"/>
  <c r="G92" i="55" s="1"/>
  <c r="H92" i="55" s="1"/>
  <c r="E101" i="55"/>
  <c r="G101" i="55" s="1"/>
  <c r="H101" i="55" s="1"/>
  <c r="E97" i="55"/>
  <c r="G97" i="55" s="1"/>
  <c r="H97" i="55" s="1"/>
  <c r="E100" i="55"/>
  <c r="G100" i="55" s="1"/>
  <c r="H100" i="55" s="1"/>
  <c r="E95" i="55"/>
  <c r="G95" i="55" s="1"/>
  <c r="H95" i="55" s="1"/>
  <c r="E96" i="55"/>
  <c r="G96" i="55" s="1"/>
  <c r="H96" i="55" s="1"/>
  <c r="E102" i="55"/>
  <c r="G102" i="55" s="1"/>
  <c r="H102" i="55" s="1"/>
  <c r="E86" i="55"/>
  <c r="G86" i="55" s="1"/>
  <c r="H86" i="55" s="1"/>
  <c r="E84" i="55"/>
  <c r="G84" i="55" s="1"/>
  <c r="H84" i="55" s="1"/>
  <c r="E90" i="55"/>
  <c r="G90" i="55" s="1"/>
  <c r="H90" i="55" s="1"/>
  <c r="E103" i="55"/>
  <c r="G103" i="55" s="1"/>
  <c r="H103" i="55" s="1"/>
  <c r="E98" i="55"/>
  <c r="G98" i="55" s="1"/>
  <c r="H98" i="55" s="1"/>
  <c r="E91" i="55"/>
  <c r="G91" i="55" s="1"/>
  <c r="H91" i="55" s="1"/>
  <c r="E83" i="55"/>
  <c r="G83" i="55" s="1"/>
  <c r="H83" i="55" s="1"/>
  <c r="E99" i="55"/>
  <c r="G99" i="55" s="1"/>
  <c r="H99" i="55" s="1"/>
  <c r="E89" i="55"/>
  <c r="G89" i="55" s="1"/>
  <c r="H89" i="55" s="1"/>
  <c r="E94" i="55"/>
  <c r="G94" i="55" s="1"/>
  <c r="H94" i="55" s="1"/>
  <c r="F97" i="55"/>
  <c r="K97" i="55" s="1"/>
  <c r="L97" i="55" s="1"/>
  <c r="F93" i="55"/>
  <c r="I93" i="55" s="1"/>
  <c r="J93" i="55" s="1"/>
  <c r="C75" i="55"/>
  <c r="C76" i="55" s="1"/>
  <c r="F91" i="55"/>
  <c r="K91" i="55" s="1"/>
  <c r="L91" i="55" s="1"/>
  <c r="C122" i="55"/>
  <c r="F86" i="55"/>
  <c r="C126" i="55"/>
  <c r="F96" i="55"/>
  <c r="F90" i="55"/>
  <c r="K90" i="55" s="1"/>
  <c r="L90" i="55" s="1"/>
  <c r="F84" i="55"/>
  <c r="I84" i="55" s="1"/>
  <c r="J84" i="55" s="1"/>
  <c r="F87" i="55"/>
  <c r="K87" i="55" s="1"/>
  <c r="L87" i="55" s="1"/>
  <c r="F83" i="55"/>
  <c r="K83" i="55" s="1"/>
  <c r="L83" i="55" s="1"/>
  <c r="F103" i="55"/>
  <c r="I103" i="55" s="1"/>
  <c r="J103" i="55" s="1"/>
  <c r="F92" i="55"/>
  <c r="K92" i="55" s="1"/>
  <c r="L92" i="55" s="1"/>
  <c r="D100" i="55"/>
  <c r="C71" i="55"/>
  <c r="C72" i="55" s="1"/>
  <c r="F101" i="55"/>
  <c r="I101" i="55" s="1"/>
  <c r="J101" i="55" s="1"/>
  <c r="F88" i="55"/>
  <c r="K88" i="55" s="1"/>
  <c r="L88" i="55" s="1"/>
  <c r="F95" i="55"/>
  <c r="K95" i="55" s="1"/>
  <c r="L95" i="55" s="1"/>
  <c r="F85" i="55"/>
  <c r="K85" i="55" s="1"/>
  <c r="L85" i="55" s="1"/>
  <c r="F99" i="55"/>
  <c r="I99" i="55" s="1"/>
  <c r="J99" i="55" s="1"/>
  <c r="F89" i="55"/>
  <c r="I89" i="55" s="1"/>
  <c r="J89" i="55" s="1"/>
  <c r="F98" i="55"/>
  <c r="I98" i="55" s="1"/>
  <c r="J98" i="55" s="1"/>
  <c r="F94" i="55"/>
  <c r="F100" i="55"/>
  <c r="I100" i="55" s="1"/>
  <c r="J100" i="55" s="1"/>
  <c r="C153" i="54"/>
  <c r="D153" i="54" s="1"/>
  <c r="D206" i="54" s="1"/>
  <c r="B341" i="54" s="1"/>
  <c r="C199" i="54"/>
  <c r="B307" i="54" s="1"/>
  <c r="C203" i="54"/>
  <c r="B311" i="54" s="1"/>
  <c r="F84" i="54"/>
  <c r="K84" i="54" s="1"/>
  <c r="L84" i="54" s="1"/>
  <c r="C205" i="54"/>
  <c r="B313" i="54" s="1"/>
  <c r="C214" i="54"/>
  <c r="B322" i="54" s="1"/>
  <c r="C194" i="54"/>
  <c r="B302" i="54" s="1"/>
  <c r="E98" i="54"/>
  <c r="G98" i="54" s="1"/>
  <c r="H98" i="54" s="1"/>
  <c r="E99" i="54"/>
  <c r="G99" i="54" s="1"/>
  <c r="H99" i="54" s="1"/>
  <c r="E101" i="54"/>
  <c r="E102" i="54"/>
  <c r="E90" i="54"/>
  <c r="G90" i="54" s="1"/>
  <c r="H90" i="54" s="1"/>
  <c r="E86" i="54"/>
  <c r="G86" i="54" s="1"/>
  <c r="H86" i="54" s="1"/>
  <c r="E100" i="54"/>
  <c r="G100" i="54" s="1"/>
  <c r="H100" i="54" s="1"/>
  <c r="E88" i="54"/>
  <c r="G88" i="54" s="1"/>
  <c r="H88" i="54" s="1"/>
  <c r="E93" i="54"/>
  <c r="G93" i="54" s="1"/>
  <c r="H93" i="54" s="1"/>
  <c r="E87" i="54"/>
  <c r="G87" i="54" s="1"/>
  <c r="H87" i="54" s="1"/>
  <c r="E83" i="54"/>
  <c r="G83" i="54" s="1"/>
  <c r="H83" i="54" s="1"/>
  <c r="E96" i="54"/>
  <c r="G96" i="54" s="1"/>
  <c r="H96" i="54" s="1"/>
  <c r="E85" i="54"/>
  <c r="G85" i="54" s="1"/>
  <c r="H85" i="54" s="1"/>
  <c r="E97" i="54"/>
  <c r="G97" i="54" s="1"/>
  <c r="H97" i="54" s="1"/>
  <c r="E84" i="54"/>
  <c r="G84" i="54" s="1"/>
  <c r="H84" i="54" s="1"/>
  <c r="F97" i="54"/>
  <c r="E94" i="54"/>
  <c r="G94" i="54" s="1"/>
  <c r="H94" i="54" s="1"/>
  <c r="E92" i="54"/>
  <c r="G92" i="54" s="1"/>
  <c r="H92" i="54" s="1"/>
  <c r="E91" i="54"/>
  <c r="G91" i="54" s="1"/>
  <c r="H91" i="54" s="1"/>
  <c r="E89" i="54"/>
  <c r="G89" i="54" s="1"/>
  <c r="H89" i="54" s="1"/>
  <c r="F91" i="54"/>
  <c r="K91" i="54" s="1"/>
  <c r="L91" i="54" s="1"/>
  <c r="F98" i="54"/>
  <c r="I98" i="54" s="1"/>
  <c r="J98" i="54" s="1"/>
  <c r="E103" i="54"/>
  <c r="G103" i="54" s="1"/>
  <c r="H103" i="54" s="1"/>
  <c r="F95" i="54"/>
  <c r="I95" i="54" s="1"/>
  <c r="J95" i="54" s="1"/>
  <c r="F94" i="54"/>
  <c r="K94" i="54" s="1"/>
  <c r="L94" i="54" s="1"/>
  <c r="F103" i="54"/>
  <c r="C75" i="54"/>
  <c r="C76" i="54" s="1"/>
  <c r="C71" i="54"/>
  <c r="C72" i="54" s="1"/>
  <c r="F102" i="54"/>
  <c r="F88" i="54"/>
  <c r="C117" i="54"/>
  <c r="F93" i="54"/>
  <c r="F96" i="54"/>
  <c r="K96" i="54" s="1"/>
  <c r="L96" i="54" s="1"/>
  <c r="F90" i="54"/>
  <c r="K90" i="54" s="1"/>
  <c r="L90" i="54" s="1"/>
  <c r="F83" i="54"/>
  <c r="K83" i="54" s="1"/>
  <c r="L83" i="54" s="1"/>
  <c r="F89" i="54"/>
  <c r="K89" i="54" s="1"/>
  <c r="L89" i="54" s="1"/>
  <c r="F87" i="54"/>
  <c r="K87" i="54" s="1"/>
  <c r="L87" i="54" s="1"/>
  <c r="F101" i="54"/>
  <c r="F92" i="54"/>
  <c r="F85" i="54"/>
  <c r="F86" i="54"/>
  <c r="K86" i="54" s="1"/>
  <c r="L86" i="54" s="1"/>
  <c r="F100" i="54"/>
  <c r="B210" i="54"/>
  <c r="D156" i="54"/>
  <c r="D209" i="54" s="1"/>
  <c r="B344" i="54" s="1"/>
  <c r="C157" i="54"/>
  <c r="C30" i="54"/>
  <c r="C28" i="54"/>
  <c r="B101" i="54"/>
  <c r="B102" i="54"/>
  <c r="I99" i="54"/>
  <c r="J99" i="54" s="1"/>
  <c r="K99" i="54"/>
  <c r="L99" i="54" s="1"/>
  <c r="C196" i="54"/>
  <c r="B396" i="54"/>
  <c r="C204" i="54"/>
  <c r="B312" i="54" s="1"/>
  <c r="C200" i="54"/>
  <c r="B308" i="54" s="1"/>
  <c r="C193" i="54"/>
  <c r="B301" i="54" s="1"/>
  <c r="G115" i="51"/>
  <c r="H115" i="51" s="1"/>
  <c r="K116" i="51"/>
  <c r="L116" i="51" s="1"/>
  <c r="I102" i="51"/>
  <c r="J102" i="51" s="1"/>
  <c r="I103" i="51"/>
  <c r="J103" i="51" s="1"/>
  <c r="C157" i="50"/>
  <c r="C159" i="50" s="1"/>
  <c r="D159" i="50" s="1"/>
  <c r="D212" i="50" s="1"/>
  <c r="B404" i="50" s="1"/>
  <c r="B368" i="51"/>
  <c r="B322" i="51"/>
  <c r="K106" i="51"/>
  <c r="L106" i="51" s="1"/>
  <c r="I106" i="51"/>
  <c r="J106" i="51" s="1"/>
  <c r="K111" i="51"/>
  <c r="L111" i="51" s="1"/>
  <c r="I111" i="51"/>
  <c r="J111" i="51" s="1"/>
  <c r="B218" i="51"/>
  <c r="B364" i="51"/>
  <c r="B466" i="51"/>
  <c r="E466" i="51" s="1"/>
  <c r="D376" i="51"/>
  <c r="B291" i="51"/>
  <c r="B224" i="51"/>
  <c r="B223" i="51"/>
  <c r="B296" i="51"/>
  <c r="K100" i="51"/>
  <c r="L100" i="51" s="1"/>
  <c r="I100" i="51"/>
  <c r="J100" i="51" s="1"/>
  <c r="I99" i="51"/>
  <c r="J99" i="51" s="1"/>
  <c r="K99" i="51"/>
  <c r="L99" i="51" s="1"/>
  <c r="I113" i="51"/>
  <c r="J113" i="51" s="1"/>
  <c r="K113" i="51"/>
  <c r="L113" i="51" s="1"/>
  <c r="G100" i="50"/>
  <c r="H100" i="50" s="1"/>
  <c r="B280" i="51"/>
  <c r="B367" i="51"/>
  <c r="B374" i="51"/>
  <c r="B286" i="51"/>
  <c r="K97" i="51"/>
  <c r="L97" i="51" s="1"/>
  <c r="I97" i="51"/>
  <c r="J97" i="51" s="1"/>
  <c r="I114" i="51"/>
  <c r="J114" i="51" s="1"/>
  <c r="K114" i="51"/>
  <c r="L114" i="51" s="1"/>
  <c r="I101" i="51"/>
  <c r="J101" i="51" s="1"/>
  <c r="K101" i="51"/>
  <c r="L101" i="51" s="1"/>
  <c r="K104" i="51"/>
  <c r="L104" i="51" s="1"/>
  <c r="I104" i="51"/>
  <c r="J104" i="51" s="1"/>
  <c r="I112" i="51"/>
  <c r="J112" i="51" s="1"/>
  <c r="K112" i="51"/>
  <c r="L112" i="51" s="1"/>
  <c r="B361" i="51"/>
  <c r="D164" i="51"/>
  <c r="C165" i="51"/>
  <c r="D165" i="51" s="1"/>
  <c r="D218" i="51" s="1"/>
  <c r="C220" i="51"/>
  <c r="B312" i="51"/>
  <c r="C210" i="51"/>
  <c r="C170" i="51"/>
  <c r="D170" i="51" s="1"/>
  <c r="D223" i="51" s="1"/>
  <c r="D169" i="51"/>
  <c r="D222" i="51" s="1"/>
  <c r="C222" i="51" s="1"/>
  <c r="C171" i="51"/>
  <c r="D171" i="51" s="1"/>
  <c r="D224" i="51" s="1"/>
  <c r="B363" i="51"/>
  <c r="D369" i="51"/>
  <c r="B461" i="51"/>
  <c r="E461" i="51" s="1"/>
  <c r="B362" i="51"/>
  <c r="K108" i="51"/>
  <c r="L108" i="51" s="1"/>
  <c r="I108" i="51"/>
  <c r="J108" i="51" s="1"/>
  <c r="I105" i="51"/>
  <c r="J105" i="51" s="1"/>
  <c r="K105" i="51"/>
  <c r="L105" i="51" s="1"/>
  <c r="C131" i="51"/>
  <c r="C133" i="51" s="1"/>
  <c r="C177" i="51"/>
  <c r="K117" i="51"/>
  <c r="L117" i="51" s="1"/>
  <c r="I117" i="51"/>
  <c r="J117" i="51" s="1"/>
  <c r="B290" i="51"/>
  <c r="B359" i="50"/>
  <c r="B439" i="50" s="1"/>
  <c r="D439" i="50" s="1"/>
  <c r="B102" i="50"/>
  <c r="G102" i="50" s="1"/>
  <c r="H102" i="50" s="1"/>
  <c r="F88" i="50"/>
  <c r="K88" i="50" s="1"/>
  <c r="L88" i="50" s="1"/>
  <c r="F95" i="50"/>
  <c r="K95" i="50" s="1"/>
  <c r="L95" i="50" s="1"/>
  <c r="F98" i="50"/>
  <c r="I98" i="50" s="1"/>
  <c r="J98" i="50" s="1"/>
  <c r="F87" i="50"/>
  <c r="K87" i="50" s="1"/>
  <c r="L87" i="50" s="1"/>
  <c r="F102" i="50"/>
  <c r="I102" i="50" s="1"/>
  <c r="J102" i="50" s="1"/>
  <c r="F91" i="50"/>
  <c r="K91" i="50" s="1"/>
  <c r="L91" i="50" s="1"/>
  <c r="F90" i="50"/>
  <c r="K90" i="50" s="1"/>
  <c r="L90" i="50" s="1"/>
  <c r="C75" i="50"/>
  <c r="C76" i="50" s="1"/>
  <c r="F100" i="50"/>
  <c r="I100" i="50" s="1"/>
  <c r="J100" i="50" s="1"/>
  <c r="F94" i="50"/>
  <c r="K94" i="50" s="1"/>
  <c r="L94" i="50" s="1"/>
  <c r="F85" i="50"/>
  <c r="I85" i="50" s="1"/>
  <c r="J85" i="50" s="1"/>
  <c r="F101" i="50"/>
  <c r="K101" i="50" s="1"/>
  <c r="L101" i="50" s="1"/>
  <c r="F96" i="50"/>
  <c r="I96" i="50" s="1"/>
  <c r="J96" i="50" s="1"/>
  <c r="F84" i="50"/>
  <c r="K84" i="50" s="1"/>
  <c r="L84" i="50" s="1"/>
  <c r="F97" i="50"/>
  <c r="K97" i="50" s="1"/>
  <c r="L97" i="50" s="1"/>
  <c r="F103" i="50"/>
  <c r="K103" i="50" s="1"/>
  <c r="L103" i="50" s="1"/>
  <c r="F89" i="50"/>
  <c r="K89" i="50" s="1"/>
  <c r="L89" i="50" s="1"/>
  <c r="F83" i="50"/>
  <c r="K83" i="50" s="1"/>
  <c r="L83" i="50" s="1"/>
  <c r="F92" i="50"/>
  <c r="I92" i="50" s="1"/>
  <c r="J92" i="50" s="1"/>
  <c r="F86" i="50"/>
  <c r="I86" i="50" s="1"/>
  <c r="J86" i="50" s="1"/>
  <c r="F99" i="50"/>
  <c r="I99" i="50" s="1"/>
  <c r="J99" i="50" s="1"/>
  <c r="C71" i="50"/>
  <c r="C72" i="50" s="1"/>
  <c r="G101" i="50"/>
  <c r="H101" i="50" s="1"/>
  <c r="D152" i="50"/>
  <c r="C153" i="50"/>
  <c r="D153" i="50" s="1"/>
  <c r="D206" i="50" s="1"/>
  <c r="B211" i="50"/>
  <c r="B212" i="50"/>
  <c r="B454" i="50"/>
  <c r="B446" i="50"/>
  <c r="B442" i="50"/>
  <c r="B453" i="50"/>
  <c r="D443" i="50"/>
  <c r="B534" i="50"/>
  <c r="E534" i="50" s="1"/>
  <c r="B438" i="50"/>
  <c r="B452" i="50"/>
  <c r="I93" i="50" l="1"/>
  <c r="J93" i="50" s="1"/>
  <c r="C501" i="54"/>
  <c r="D93" i="1"/>
  <c r="D133" i="1"/>
  <c r="F232" i="57"/>
  <c r="K232" i="57" s="1"/>
  <c r="L232" i="57" s="1"/>
  <c r="B108" i="1"/>
  <c r="D100" i="1"/>
  <c r="C169" i="56"/>
  <c r="E74" i="2"/>
  <c r="B116" i="2"/>
  <c r="C206" i="54"/>
  <c r="B314" i="54" s="1"/>
  <c r="I84" i="54"/>
  <c r="J84" i="54" s="1"/>
  <c r="F218" i="57"/>
  <c r="I218" i="57" s="1"/>
  <c r="J218" i="57" s="1"/>
  <c r="F223" i="57"/>
  <c r="K223" i="57" s="1"/>
  <c r="L223" i="57" s="1"/>
  <c r="C197" i="57"/>
  <c r="C198" i="57" s="1"/>
  <c r="F226" i="57"/>
  <c r="I226" i="57" s="1"/>
  <c r="J226" i="57" s="1"/>
  <c r="F215" i="57"/>
  <c r="I215" i="57" s="1"/>
  <c r="J215" i="57" s="1"/>
  <c r="C204" i="57"/>
  <c r="C205" i="57" s="1"/>
  <c r="F216" i="57"/>
  <c r="K216" i="57" s="1"/>
  <c r="L216" i="57" s="1"/>
  <c r="F233" i="57"/>
  <c r="K233" i="57" s="1"/>
  <c r="L233" i="57" s="1"/>
  <c r="F212" i="57"/>
  <c r="I212" i="57" s="1"/>
  <c r="J212" i="57" s="1"/>
  <c r="F221" i="57"/>
  <c r="I221" i="57" s="1"/>
  <c r="J221" i="57" s="1"/>
  <c r="F220" i="57"/>
  <c r="K220" i="57" s="1"/>
  <c r="L220" i="57" s="1"/>
  <c r="F214" i="57"/>
  <c r="I214" i="57" s="1"/>
  <c r="J214" i="57" s="1"/>
  <c r="F213" i="57"/>
  <c r="I213" i="57" s="1"/>
  <c r="J213" i="57" s="1"/>
  <c r="F227" i="57"/>
  <c r="K227" i="57" s="1"/>
  <c r="L227" i="57" s="1"/>
  <c r="F225" i="57"/>
  <c r="I225" i="57" s="1"/>
  <c r="J225" i="57" s="1"/>
  <c r="F231" i="57"/>
  <c r="I231" i="57" s="1"/>
  <c r="J231" i="57" s="1"/>
  <c r="F217" i="57"/>
  <c r="K217" i="57" s="1"/>
  <c r="L217" i="57" s="1"/>
  <c r="F219" i="57"/>
  <c r="I219" i="57" s="1"/>
  <c r="J219" i="57" s="1"/>
  <c r="F222" i="57"/>
  <c r="K222" i="57" s="1"/>
  <c r="L222" i="57" s="1"/>
  <c r="F229" i="57"/>
  <c r="K229" i="57" s="1"/>
  <c r="L229" i="57" s="1"/>
  <c r="F224" i="57"/>
  <c r="K224" i="57" s="1"/>
  <c r="L224" i="57" s="1"/>
  <c r="F228" i="57"/>
  <c r="I228" i="57" s="1"/>
  <c r="J228" i="57" s="1"/>
  <c r="F230" i="57"/>
  <c r="K230" i="57" s="1"/>
  <c r="L230" i="57" s="1"/>
  <c r="C252" i="57"/>
  <c r="K96" i="50"/>
  <c r="L96" i="50" s="1"/>
  <c r="C119" i="50"/>
  <c r="C121" i="50" s="1"/>
  <c r="C123" i="50" s="1"/>
  <c r="B368" i="57"/>
  <c r="B504" i="57"/>
  <c r="E504" i="57" s="1"/>
  <c r="D414" i="57"/>
  <c r="B425" i="57"/>
  <c r="C232" i="57"/>
  <c r="I223" i="57"/>
  <c r="J223" i="57" s="1"/>
  <c r="K87" i="56"/>
  <c r="L87" i="56" s="1"/>
  <c r="C151" i="55"/>
  <c r="D99" i="56"/>
  <c r="B247" i="56" s="1"/>
  <c r="I92" i="56"/>
  <c r="J92" i="56" s="1"/>
  <c r="C154" i="56"/>
  <c r="C158" i="56" s="1"/>
  <c r="C193" i="56"/>
  <c r="K82" i="56"/>
  <c r="L82" i="56" s="1"/>
  <c r="I80" i="56"/>
  <c r="J80" i="56" s="1"/>
  <c r="D98" i="56"/>
  <c r="B246" i="56" s="1"/>
  <c r="C362" i="56"/>
  <c r="B454" i="56" s="1"/>
  <c r="I94" i="56"/>
  <c r="J94" i="56" s="1"/>
  <c r="K88" i="56"/>
  <c r="L88" i="56" s="1"/>
  <c r="I100" i="56"/>
  <c r="J100" i="56" s="1"/>
  <c r="I89" i="56"/>
  <c r="J89" i="56" s="1"/>
  <c r="K97" i="56"/>
  <c r="L97" i="56" s="1"/>
  <c r="I95" i="56"/>
  <c r="J95" i="56" s="1"/>
  <c r="K86" i="56"/>
  <c r="L86" i="56" s="1"/>
  <c r="K90" i="56"/>
  <c r="L90" i="56" s="1"/>
  <c r="K85" i="56"/>
  <c r="L85" i="56" s="1"/>
  <c r="I84" i="56"/>
  <c r="J84" i="56" s="1"/>
  <c r="I81" i="56"/>
  <c r="J81" i="56" s="1"/>
  <c r="I96" i="56"/>
  <c r="J96" i="56" s="1"/>
  <c r="K96" i="56"/>
  <c r="L96" i="56" s="1"/>
  <c r="B511" i="56"/>
  <c r="D314" i="56"/>
  <c r="D360" i="56" s="1"/>
  <c r="B474" i="56" s="1"/>
  <c r="C315" i="56"/>
  <c r="D315" i="56" s="1"/>
  <c r="D361" i="56" s="1"/>
  <c r="B475" i="56" s="1"/>
  <c r="B516" i="56"/>
  <c r="B515" i="56"/>
  <c r="B521" i="56"/>
  <c r="B352" i="56"/>
  <c r="B520" i="56"/>
  <c r="B361" i="56"/>
  <c r="B512" i="56"/>
  <c r="C525" i="56"/>
  <c r="C616" i="56" s="1"/>
  <c r="I92" i="55"/>
  <c r="J92" i="55" s="1"/>
  <c r="I97" i="55"/>
  <c r="J97" i="55" s="1"/>
  <c r="I88" i="55"/>
  <c r="J88" i="55" s="1"/>
  <c r="I87" i="55"/>
  <c r="J87" i="55" s="1"/>
  <c r="K93" i="55"/>
  <c r="L93" i="55" s="1"/>
  <c r="K89" i="55"/>
  <c r="L89" i="55" s="1"/>
  <c r="D102" i="55"/>
  <c r="D101" i="55"/>
  <c r="K84" i="55"/>
  <c r="L84" i="55" s="1"/>
  <c r="K98" i="55"/>
  <c r="L98" i="55" s="1"/>
  <c r="I91" i="55"/>
  <c r="J91" i="55" s="1"/>
  <c r="I83" i="55"/>
  <c r="J83" i="55" s="1"/>
  <c r="I85" i="55"/>
  <c r="J85" i="55" s="1"/>
  <c r="K103" i="55"/>
  <c r="L103" i="55" s="1"/>
  <c r="I90" i="55"/>
  <c r="J90" i="55" s="1"/>
  <c r="I95" i="55"/>
  <c r="J95" i="55" s="1"/>
  <c r="K99" i="55"/>
  <c r="L99" i="55" s="1"/>
  <c r="K100" i="55"/>
  <c r="L100" i="55" s="1"/>
  <c r="G102" i="54"/>
  <c r="H102" i="54" s="1"/>
  <c r="I89" i="54"/>
  <c r="J89" i="54" s="1"/>
  <c r="G101" i="54"/>
  <c r="H101" i="54" s="1"/>
  <c r="K98" i="54"/>
  <c r="L98" i="54" s="1"/>
  <c r="B304" i="54"/>
  <c r="B384" i="54" s="1"/>
  <c r="K97" i="54"/>
  <c r="L97" i="54" s="1"/>
  <c r="I97" i="54"/>
  <c r="J97" i="54" s="1"/>
  <c r="I91" i="54"/>
  <c r="J91" i="54" s="1"/>
  <c r="I83" i="54"/>
  <c r="J83" i="54" s="1"/>
  <c r="I90" i="54"/>
  <c r="J90" i="54" s="1"/>
  <c r="I86" i="54"/>
  <c r="J86" i="54" s="1"/>
  <c r="K93" i="54"/>
  <c r="L93" i="54" s="1"/>
  <c r="I93" i="54"/>
  <c r="J93" i="54" s="1"/>
  <c r="K95" i="54"/>
  <c r="L95" i="54" s="1"/>
  <c r="I100" i="54"/>
  <c r="J100" i="54" s="1"/>
  <c r="K100" i="54"/>
  <c r="L100" i="54" s="1"/>
  <c r="I101" i="54"/>
  <c r="J101" i="54" s="1"/>
  <c r="K101" i="54"/>
  <c r="L101" i="54" s="1"/>
  <c r="K88" i="54"/>
  <c r="L88" i="54" s="1"/>
  <c r="I88" i="54"/>
  <c r="J88" i="54" s="1"/>
  <c r="K103" i="54"/>
  <c r="L103" i="54" s="1"/>
  <c r="I103" i="54"/>
  <c r="J103" i="54" s="1"/>
  <c r="I102" i="54"/>
  <c r="J102" i="54" s="1"/>
  <c r="K102" i="54"/>
  <c r="L102" i="54" s="1"/>
  <c r="I87" i="54"/>
  <c r="J87" i="54" s="1"/>
  <c r="I85" i="54"/>
  <c r="J85" i="54" s="1"/>
  <c r="K85" i="54"/>
  <c r="L85" i="54" s="1"/>
  <c r="I94" i="54"/>
  <c r="J94" i="54" s="1"/>
  <c r="K92" i="54"/>
  <c r="L92" i="54" s="1"/>
  <c r="I92" i="54"/>
  <c r="J92" i="54" s="1"/>
  <c r="C165" i="54"/>
  <c r="C119" i="54"/>
  <c r="C121" i="54" s="1"/>
  <c r="C123" i="54" s="1"/>
  <c r="I96" i="54"/>
  <c r="J96" i="54" s="1"/>
  <c r="C209" i="54"/>
  <c r="B317" i="54" s="1"/>
  <c r="B212" i="54"/>
  <c r="B211" i="54"/>
  <c r="C159" i="54"/>
  <c r="D159" i="54" s="1"/>
  <c r="D212" i="54" s="1"/>
  <c r="B347" i="54" s="1"/>
  <c r="D157" i="54"/>
  <c r="D210" i="54" s="1"/>
  <c r="B345" i="54" s="1"/>
  <c r="C158" i="54"/>
  <c r="D158" i="54" s="1"/>
  <c r="D211" i="54" s="1"/>
  <c r="B346" i="54" s="1"/>
  <c r="B393" i="54"/>
  <c r="D393" i="54" s="1"/>
  <c r="B395" i="54"/>
  <c r="B387" i="54"/>
  <c r="B389" i="54"/>
  <c r="B383" i="54"/>
  <c r="B382" i="54"/>
  <c r="B386" i="54"/>
  <c r="B397" i="54"/>
  <c r="B385" i="54"/>
  <c r="D396" i="54"/>
  <c r="B479" i="54"/>
  <c r="E479" i="54" s="1"/>
  <c r="B391" i="54"/>
  <c r="C158" i="50"/>
  <c r="D158" i="50" s="1"/>
  <c r="D211" i="50" s="1"/>
  <c r="B403" i="50" s="1"/>
  <c r="B530" i="50"/>
  <c r="E530" i="50" s="1"/>
  <c r="D157" i="50"/>
  <c r="D210" i="50" s="1"/>
  <c r="C210" i="50" s="1"/>
  <c r="B375" i="50" s="1"/>
  <c r="I94" i="50"/>
  <c r="J94" i="50" s="1"/>
  <c r="B297" i="51"/>
  <c r="B370" i="51"/>
  <c r="C493" i="51"/>
  <c r="C194" i="51"/>
  <c r="C195" i="51" s="1"/>
  <c r="C196" i="51" s="1"/>
  <c r="C268" i="51"/>
  <c r="C269" i="51" s="1"/>
  <c r="C260" i="51"/>
  <c r="C261" i="51" s="1"/>
  <c r="C172" i="51"/>
  <c r="C187" i="51"/>
  <c r="C188" i="51" s="1"/>
  <c r="C189" i="51" s="1"/>
  <c r="C178" i="51"/>
  <c r="D363" i="51"/>
  <c r="B455" i="51"/>
  <c r="E455" i="51" s="1"/>
  <c r="B285" i="51"/>
  <c r="D367" i="51"/>
  <c r="B459" i="51"/>
  <c r="E459" i="51" s="1"/>
  <c r="D364" i="51"/>
  <c r="B456" i="51"/>
  <c r="E456" i="51" s="1"/>
  <c r="B326" i="51"/>
  <c r="D374" i="51"/>
  <c r="B464" i="51"/>
  <c r="E464" i="51" s="1"/>
  <c r="B360" i="51"/>
  <c r="B324" i="51"/>
  <c r="B320" i="51"/>
  <c r="D361" i="51"/>
  <c r="B453" i="51"/>
  <c r="E453" i="51" s="1"/>
  <c r="B366" i="51"/>
  <c r="C223" i="51"/>
  <c r="B371" i="51"/>
  <c r="D371" i="51" s="1"/>
  <c r="C218" i="51"/>
  <c r="C179" i="51"/>
  <c r="D362" i="51"/>
  <c r="B454" i="51"/>
  <c r="E454" i="51" s="1"/>
  <c r="B325" i="51"/>
  <c r="B295" i="51"/>
  <c r="D217" i="51"/>
  <c r="C224" i="51"/>
  <c r="B460" i="51"/>
  <c r="E460" i="51" s="1"/>
  <c r="D368" i="51"/>
  <c r="C206" i="50"/>
  <c r="B371" i="50" s="1"/>
  <c r="B398" i="50"/>
  <c r="K92" i="50"/>
  <c r="L92" i="50" s="1"/>
  <c r="I88" i="50"/>
  <c r="J88" i="50" s="1"/>
  <c r="I91" i="50"/>
  <c r="J91" i="50" s="1"/>
  <c r="K99" i="50"/>
  <c r="L99" i="50" s="1"/>
  <c r="I89" i="50"/>
  <c r="J89" i="50" s="1"/>
  <c r="K98" i="50"/>
  <c r="L98" i="50" s="1"/>
  <c r="K85" i="50"/>
  <c r="L85" i="50" s="1"/>
  <c r="I95" i="50"/>
  <c r="J95" i="50" s="1"/>
  <c r="I84" i="50"/>
  <c r="J84" i="50" s="1"/>
  <c r="K102" i="50"/>
  <c r="L102" i="50" s="1"/>
  <c r="K100" i="50"/>
  <c r="L100" i="50" s="1"/>
  <c r="I87" i="50"/>
  <c r="J87" i="50" s="1"/>
  <c r="I83" i="50"/>
  <c r="J83" i="50" s="1"/>
  <c r="I101" i="50"/>
  <c r="J101" i="50" s="1"/>
  <c r="I90" i="50"/>
  <c r="J90" i="50" s="1"/>
  <c r="I103" i="50"/>
  <c r="J103" i="50" s="1"/>
  <c r="K86" i="50"/>
  <c r="L86" i="50" s="1"/>
  <c r="I97" i="50"/>
  <c r="J97" i="50" s="1"/>
  <c r="D452" i="50"/>
  <c r="B541" i="50"/>
  <c r="E541" i="50" s="1"/>
  <c r="B542" i="50"/>
  <c r="E542" i="50" s="1"/>
  <c r="D453" i="50"/>
  <c r="B441" i="50"/>
  <c r="B440" i="50"/>
  <c r="D205" i="50"/>
  <c r="B397" i="50" s="1"/>
  <c r="D454" i="50"/>
  <c r="B543" i="50"/>
  <c r="E543" i="50" s="1"/>
  <c r="B533" i="50"/>
  <c r="E533" i="50" s="1"/>
  <c r="D442" i="50"/>
  <c r="B449" i="50"/>
  <c r="D449" i="50" s="1"/>
  <c r="C212" i="50"/>
  <c r="B377" i="50" s="1"/>
  <c r="B448" i="50"/>
  <c r="B529" i="50"/>
  <c r="E529" i="50" s="1"/>
  <c r="D438" i="50"/>
  <c r="B537" i="50"/>
  <c r="E537" i="50" s="1"/>
  <c r="D446" i="50"/>
  <c r="C160" i="50"/>
  <c r="B444" i="50"/>
  <c r="B445" i="50"/>
  <c r="K218" i="57" l="1"/>
  <c r="L218" i="57" s="1"/>
  <c r="K219" i="57"/>
  <c r="L219" i="57" s="1"/>
  <c r="I230" i="57"/>
  <c r="J230" i="57" s="1"/>
  <c r="I222" i="57"/>
  <c r="J222" i="57" s="1"/>
  <c r="B202" i="54"/>
  <c r="C202" i="54" s="1"/>
  <c r="B310" i="54" s="1"/>
  <c r="B390" i="54" s="1"/>
  <c r="B475" i="54" s="1"/>
  <c r="E475" i="54" s="1"/>
  <c r="F133" i="1"/>
  <c r="C101" i="1"/>
  <c r="B202" i="50"/>
  <c r="C202" i="50" s="1"/>
  <c r="B367" i="50" s="1"/>
  <c r="B447" i="50" s="1"/>
  <c r="D447" i="50" s="1"/>
  <c r="F131" i="1"/>
  <c r="C99" i="1"/>
  <c r="K226" i="57"/>
  <c r="L226" i="57" s="1"/>
  <c r="K228" i="57"/>
  <c r="L228" i="57" s="1"/>
  <c r="K215" i="57"/>
  <c r="L215" i="57" s="1"/>
  <c r="K231" i="57"/>
  <c r="L231" i="57" s="1"/>
  <c r="I233" i="57"/>
  <c r="J233" i="57" s="1"/>
  <c r="I227" i="57"/>
  <c r="J227" i="57" s="1"/>
  <c r="K221" i="57"/>
  <c r="L221" i="57" s="1"/>
  <c r="I216" i="57"/>
  <c r="J216" i="57" s="1"/>
  <c r="K212" i="57"/>
  <c r="L212" i="57" s="1"/>
  <c r="I217" i="57"/>
  <c r="J217" i="57" s="1"/>
  <c r="I220" i="57"/>
  <c r="J220" i="57" s="1"/>
  <c r="K213" i="57"/>
  <c r="L213" i="57" s="1"/>
  <c r="C276" i="57"/>
  <c r="C278" i="57" s="1"/>
  <c r="C280" i="57" s="1"/>
  <c r="C259" i="57"/>
  <c r="C261" i="57" s="1"/>
  <c r="C263" i="57" s="1"/>
  <c r="K214" i="57"/>
  <c r="L214" i="57" s="1"/>
  <c r="K225" i="57"/>
  <c r="L225" i="57" s="1"/>
  <c r="I224" i="57"/>
  <c r="J224" i="57" s="1"/>
  <c r="I229" i="57"/>
  <c r="J229" i="57" s="1"/>
  <c r="C166" i="50"/>
  <c r="C167" i="50" s="1"/>
  <c r="C182" i="50"/>
  <c r="C183" i="50" s="1"/>
  <c r="C184" i="50" s="1"/>
  <c r="C334" i="50"/>
  <c r="C335" i="50" s="1"/>
  <c r="C570" i="50"/>
  <c r="C344" i="50"/>
  <c r="C345" i="50" s="1"/>
  <c r="C175" i="50"/>
  <c r="C176" i="50" s="1"/>
  <c r="C177" i="50" s="1"/>
  <c r="E214" i="50" s="1"/>
  <c r="G214" i="50" s="1"/>
  <c r="H214" i="50" s="1"/>
  <c r="C507" i="54"/>
  <c r="C277" i="54"/>
  <c r="C278" i="54" s="1"/>
  <c r="B428" i="57"/>
  <c r="B341" i="57"/>
  <c r="I232" i="57"/>
  <c r="J232" i="57" s="1"/>
  <c r="C156" i="56"/>
  <c r="K99" i="56"/>
  <c r="L99" i="56" s="1"/>
  <c r="C360" i="56"/>
  <c r="B452" i="56" s="1"/>
  <c r="B524" i="56"/>
  <c r="B615" i="56" s="1"/>
  <c r="F615" i="56" s="1"/>
  <c r="C162" i="56"/>
  <c r="C160" i="56"/>
  <c r="C555" i="56" s="1"/>
  <c r="K98" i="56"/>
  <c r="L98" i="56" s="1"/>
  <c r="B513" i="56"/>
  <c r="E516" i="56"/>
  <c r="B609" i="56"/>
  <c r="F609" i="56" s="1"/>
  <c r="B526" i="56"/>
  <c r="C352" i="56"/>
  <c r="B444" i="56" s="1"/>
  <c r="B517" i="56"/>
  <c r="E521" i="56"/>
  <c r="E512" i="56"/>
  <c r="B605" i="56"/>
  <c r="F605" i="56" s="1"/>
  <c r="E520" i="56"/>
  <c r="B613" i="56"/>
  <c r="F613" i="56" s="1"/>
  <c r="B518" i="56"/>
  <c r="C361" i="56"/>
  <c r="B453" i="56" s="1"/>
  <c r="B608" i="56"/>
  <c r="F608" i="56" s="1"/>
  <c r="E515" i="56"/>
  <c r="B604" i="56"/>
  <c r="F604" i="56" s="1"/>
  <c r="E511" i="56"/>
  <c r="K101" i="55"/>
  <c r="L101" i="55" s="1"/>
  <c r="K102" i="55"/>
  <c r="L102" i="55" s="1"/>
  <c r="B469" i="54"/>
  <c r="E469" i="54" s="1"/>
  <c r="C519" i="54" s="1"/>
  <c r="D384" i="54"/>
  <c r="C175" i="54"/>
  <c r="C176" i="54" s="1"/>
  <c r="C177" i="54" s="1"/>
  <c r="C160" i="54"/>
  <c r="C182" i="54"/>
  <c r="C183" i="54" s="1"/>
  <c r="C184" i="54" s="1"/>
  <c r="C166" i="54"/>
  <c r="C287" i="54"/>
  <c r="C288" i="54" s="1"/>
  <c r="C211" i="54"/>
  <c r="B319" i="54" s="1"/>
  <c r="C212" i="54"/>
  <c r="B320" i="54" s="1"/>
  <c r="C210" i="54"/>
  <c r="B318" i="54" s="1"/>
  <c r="B467" i="54"/>
  <c r="E467" i="54" s="1"/>
  <c r="D382" i="54"/>
  <c r="B474" i="54"/>
  <c r="E474" i="54" s="1"/>
  <c r="D389" i="54"/>
  <c r="B471" i="54"/>
  <c r="E471" i="54" s="1"/>
  <c r="D386" i="54"/>
  <c r="B392" i="54"/>
  <c r="D392" i="54" s="1"/>
  <c r="B472" i="54"/>
  <c r="E472" i="54" s="1"/>
  <c r="D387" i="54"/>
  <c r="B394" i="54"/>
  <c r="B478" i="54"/>
  <c r="E478" i="54" s="1"/>
  <c r="D395" i="54"/>
  <c r="B476" i="54"/>
  <c r="E476" i="54" s="1"/>
  <c r="D391" i="54"/>
  <c r="B470" i="54"/>
  <c r="E470" i="54" s="1"/>
  <c r="D385" i="54"/>
  <c r="B388" i="54"/>
  <c r="B468" i="54"/>
  <c r="E468" i="54" s="1"/>
  <c r="D383" i="54"/>
  <c r="B480" i="54"/>
  <c r="E480" i="54" s="1"/>
  <c r="D397" i="54"/>
  <c r="B381" i="54"/>
  <c r="B402" i="50"/>
  <c r="C211" i="50"/>
  <c r="B376" i="50" s="1"/>
  <c r="B319" i="51"/>
  <c r="C217" i="51"/>
  <c r="B293" i="51"/>
  <c r="B452" i="51"/>
  <c r="E452" i="51" s="1"/>
  <c r="D360" i="51"/>
  <c r="B225" i="51"/>
  <c r="D172" i="51"/>
  <c r="B375" i="51"/>
  <c r="B298" i="51"/>
  <c r="B365" i="51"/>
  <c r="C505" i="51"/>
  <c r="B299" i="51"/>
  <c r="F225" i="51"/>
  <c r="F221" i="51"/>
  <c r="F217" i="51"/>
  <c r="K217" i="51" s="1"/>
  <c r="L217" i="51" s="1"/>
  <c r="F213" i="51"/>
  <c r="F209" i="51"/>
  <c r="F226" i="51"/>
  <c r="F222" i="51"/>
  <c r="F218" i="51"/>
  <c r="K218" i="51" s="1"/>
  <c r="L218" i="51" s="1"/>
  <c r="F214" i="51"/>
  <c r="F210" i="51"/>
  <c r="F206" i="51"/>
  <c r="C190" i="51"/>
  <c r="C191" i="51" s="1"/>
  <c r="C235" i="51"/>
  <c r="F223" i="51"/>
  <c r="K223" i="51" s="1"/>
  <c r="L223" i="51" s="1"/>
  <c r="F215" i="51"/>
  <c r="F207" i="51"/>
  <c r="F220" i="51"/>
  <c r="F212" i="51"/>
  <c r="F205" i="51"/>
  <c r="C197" i="51"/>
  <c r="C198" i="51" s="1"/>
  <c r="F219" i="51"/>
  <c r="F211" i="51"/>
  <c r="F208" i="51"/>
  <c r="F216" i="51"/>
  <c r="F224" i="51"/>
  <c r="K224" i="51" s="1"/>
  <c r="L224" i="51" s="1"/>
  <c r="B458" i="51"/>
  <c r="E458" i="51" s="1"/>
  <c r="D366" i="51"/>
  <c r="E224" i="51"/>
  <c r="G224" i="51" s="1"/>
  <c r="H224" i="51" s="1"/>
  <c r="E220" i="51"/>
  <c r="G220" i="51" s="1"/>
  <c r="H220" i="51" s="1"/>
  <c r="E216" i="51"/>
  <c r="G216" i="51" s="1"/>
  <c r="H216" i="51" s="1"/>
  <c r="E212" i="51"/>
  <c r="G212" i="51" s="1"/>
  <c r="H212" i="51" s="1"/>
  <c r="E208" i="51"/>
  <c r="G208" i="51" s="1"/>
  <c r="H208" i="51" s="1"/>
  <c r="E225" i="51"/>
  <c r="E221" i="51"/>
  <c r="G221" i="51" s="1"/>
  <c r="H221" i="51" s="1"/>
  <c r="E217" i="51"/>
  <c r="G217" i="51" s="1"/>
  <c r="H217" i="51" s="1"/>
  <c r="E213" i="51"/>
  <c r="G213" i="51" s="1"/>
  <c r="H213" i="51" s="1"/>
  <c r="E209" i="51"/>
  <c r="G209" i="51" s="1"/>
  <c r="H209" i="51" s="1"/>
  <c r="E205" i="51"/>
  <c r="G205" i="51" s="1"/>
  <c r="H205" i="51" s="1"/>
  <c r="E226" i="51"/>
  <c r="G226" i="51" s="1"/>
  <c r="H226" i="51" s="1"/>
  <c r="E218" i="51"/>
  <c r="G218" i="51" s="1"/>
  <c r="H218" i="51" s="1"/>
  <c r="E210" i="51"/>
  <c r="G210" i="51" s="1"/>
  <c r="H210" i="51" s="1"/>
  <c r="E223" i="51"/>
  <c r="G223" i="51" s="1"/>
  <c r="H223" i="51" s="1"/>
  <c r="E215" i="51"/>
  <c r="G215" i="51" s="1"/>
  <c r="H215" i="51" s="1"/>
  <c r="E207" i="51"/>
  <c r="G207" i="51" s="1"/>
  <c r="H207" i="51" s="1"/>
  <c r="E222" i="51"/>
  <c r="G222" i="51" s="1"/>
  <c r="H222" i="51" s="1"/>
  <c r="E214" i="51"/>
  <c r="G214" i="51" s="1"/>
  <c r="H214" i="51" s="1"/>
  <c r="E206" i="51"/>
  <c r="G206" i="51" s="1"/>
  <c r="H206" i="51" s="1"/>
  <c r="E211" i="51"/>
  <c r="G211" i="51" s="1"/>
  <c r="H211" i="51" s="1"/>
  <c r="E219" i="51"/>
  <c r="G219" i="51" s="1"/>
  <c r="H219" i="51" s="1"/>
  <c r="D370" i="51"/>
  <c r="B462" i="51"/>
  <c r="E462" i="51" s="1"/>
  <c r="D160" i="50"/>
  <c r="B213" i="50"/>
  <c r="B531" i="50"/>
  <c r="E531" i="50" s="1"/>
  <c r="D440" i="50"/>
  <c r="B451" i="50"/>
  <c r="D445" i="50"/>
  <c r="B536" i="50"/>
  <c r="E536" i="50" s="1"/>
  <c r="C205" i="50"/>
  <c r="B370" i="50" s="1"/>
  <c r="B539" i="50"/>
  <c r="E539" i="50" s="1"/>
  <c r="D448" i="50"/>
  <c r="B535" i="50"/>
  <c r="E535" i="50" s="1"/>
  <c r="D444" i="50"/>
  <c r="E209" i="50"/>
  <c r="G209" i="50" s="1"/>
  <c r="H209" i="50" s="1"/>
  <c r="D441" i="50"/>
  <c r="B532" i="50"/>
  <c r="E532" i="50" s="1"/>
  <c r="E211" i="50" l="1"/>
  <c r="G211" i="50" s="1"/>
  <c r="H211" i="50" s="1"/>
  <c r="E197" i="50"/>
  <c r="G197" i="50" s="1"/>
  <c r="H197" i="50" s="1"/>
  <c r="E206" i="50"/>
  <c r="G206" i="50" s="1"/>
  <c r="H206" i="50" s="1"/>
  <c r="E195" i="50"/>
  <c r="G195" i="50" s="1"/>
  <c r="H195" i="50" s="1"/>
  <c r="D390" i="54"/>
  <c r="F211" i="50"/>
  <c r="K211" i="50" s="1"/>
  <c r="L211" i="50" s="1"/>
  <c r="B107" i="1"/>
  <c r="D99" i="1"/>
  <c r="B538" i="50"/>
  <c r="E538" i="50" s="1"/>
  <c r="C281" i="57"/>
  <c r="E108" i="1"/>
  <c r="B140" i="1"/>
  <c r="E208" i="50"/>
  <c r="G208" i="50" s="1"/>
  <c r="H208" i="50" s="1"/>
  <c r="E200" i="50"/>
  <c r="G200" i="50" s="1"/>
  <c r="H200" i="50" s="1"/>
  <c r="E201" i="50"/>
  <c r="G201" i="50" s="1"/>
  <c r="H201" i="50" s="1"/>
  <c r="E212" i="50"/>
  <c r="G212" i="50" s="1"/>
  <c r="H212" i="50" s="1"/>
  <c r="E207" i="50"/>
  <c r="G207" i="50" s="1"/>
  <c r="H207" i="50" s="1"/>
  <c r="E202" i="50"/>
  <c r="G202" i="50" s="1"/>
  <c r="H202" i="50" s="1"/>
  <c r="E205" i="50"/>
  <c r="G205" i="50" s="1"/>
  <c r="H205" i="50" s="1"/>
  <c r="E199" i="50"/>
  <c r="G199" i="50" s="1"/>
  <c r="H199" i="50" s="1"/>
  <c r="E194" i="50"/>
  <c r="G194" i="50" s="1"/>
  <c r="H194" i="50" s="1"/>
  <c r="E210" i="50"/>
  <c r="G210" i="50" s="1"/>
  <c r="H210" i="50" s="1"/>
  <c r="E196" i="50"/>
  <c r="G196" i="50" s="1"/>
  <c r="H196" i="50" s="1"/>
  <c r="E213" i="50"/>
  <c r="G213" i="50" s="1"/>
  <c r="H213" i="50" s="1"/>
  <c r="E193" i="50"/>
  <c r="G193" i="50" s="1"/>
  <c r="H193" i="50" s="1"/>
  <c r="E204" i="50"/>
  <c r="G204" i="50" s="1"/>
  <c r="H204" i="50" s="1"/>
  <c r="E203" i="50"/>
  <c r="G203" i="50" s="1"/>
  <c r="H203" i="50" s="1"/>
  <c r="E198" i="50"/>
  <c r="G198" i="50" s="1"/>
  <c r="H198" i="50" s="1"/>
  <c r="C301" i="57"/>
  <c r="C312" i="57"/>
  <c r="C175" i="56"/>
  <c r="C585" i="56" s="1"/>
  <c r="C264" i="57"/>
  <c r="E524" i="56"/>
  <c r="B522" i="56"/>
  <c r="B611" i="56"/>
  <c r="F611" i="56" s="1"/>
  <c r="E518" i="56"/>
  <c r="B610" i="56"/>
  <c r="F610" i="56" s="1"/>
  <c r="E517" i="56"/>
  <c r="B603" i="56"/>
  <c r="F603" i="56" s="1"/>
  <c r="E510" i="56"/>
  <c r="B617" i="56"/>
  <c r="F617" i="56" s="1"/>
  <c r="E526" i="56"/>
  <c r="B606" i="56"/>
  <c r="F606" i="56" s="1"/>
  <c r="E513" i="56"/>
  <c r="C167" i="54"/>
  <c r="B213" i="54"/>
  <c r="D160" i="54"/>
  <c r="E208" i="54"/>
  <c r="G208" i="54" s="1"/>
  <c r="H208" i="54" s="1"/>
  <c r="E213" i="54"/>
  <c r="E197" i="54"/>
  <c r="G197" i="54" s="1"/>
  <c r="H197" i="54" s="1"/>
  <c r="E214" i="54"/>
  <c r="G214" i="54" s="1"/>
  <c r="H214" i="54" s="1"/>
  <c r="E211" i="54"/>
  <c r="G211" i="54" s="1"/>
  <c r="H211" i="54" s="1"/>
  <c r="E198" i="54"/>
  <c r="G198" i="54" s="1"/>
  <c r="H198" i="54" s="1"/>
  <c r="E204" i="54"/>
  <c r="G204" i="54" s="1"/>
  <c r="H204" i="54" s="1"/>
  <c r="E209" i="54"/>
  <c r="G209" i="54" s="1"/>
  <c r="H209" i="54" s="1"/>
  <c r="E193" i="54"/>
  <c r="G193" i="54" s="1"/>
  <c r="H193" i="54" s="1"/>
  <c r="E203" i="54"/>
  <c r="G203" i="54" s="1"/>
  <c r="H203" i="54" s="1"/>
  <c r="E210" i="54"/>
  <c r="G210" i="54" s="1"/>
  <c r="H210" i="54" s="1"/>
  <c r="E200" i="54"/>
  <c r="G200" i="54" s="1"/>
  <c r="H200" i="54" s="1"/>
  <c r="E205" i="54"/>
  <c r="G205" i="54" s="1"/>
  <c r="H205" i="54" s="1"/>
  <c r="E207" i="54"/>
  <c r="G207" i="54" s="1"/>
  <c r="H207" i="54" s="1"/>
  <c r="E195" i="54"/>
  <c r="G195" i="54" s="1"/>
  <c r="H195" i="54" s="1"/>
  <c r="E206" i="54"/>
  <c r="G206" i="54" s="1"/>
  <c r="H206" i="54" s="1"/>
  <c r="E212" i="54"/>
  <c r="G212" i="54" s="1"/>
  <c r="H212" i="54" s="1"/>
  <c r="E196" i="54"/>
  <c r="G196" i="54" s="1"/>
  <c r="H196" i="54" s="1"/>
  <c r="E201" i="54"/>
  <c r="G201" i="54" s="1"/>
  <c r="H201" i="54" s="1"/>
  <c r="E194" i="54"/>
  <c r="G194" i="54" s="1"/>
  <c r="H194" i="54" s="1"/>
  <c r="E202" i="54"/>
  <c r="G202" i="54" s="1"/>
  <c r="H202" i="54" s="1"/>
  <c r="E199" i="54"/>
  <c r="G199" i="54" s="1"/>
  <c r="H199" i="54" s="1"/>
  <c r="B473" i="54"/>
  <c r="E473" i="54" s="1"/>
  <c r="D388" i="54"/>
  <c r="D394" i="54"/>
  <c r="B477" i="54"/>
  <c r="E477" i="54" s="1"/>
  <c r="B405" i="54"/>
  <c r="B466" i="54"/>
  <c r="E466" i="54" s="1"/>
  <c r="D381" i="54"/>
  <c r="K208" i="51"/>
  <c r="L208" i="51" s="1"/>
  <c r="I208" i="51"/>
  <c r="J208" i="51" s="1"/>
  <c r="K207" i="51"/>
  <c r="L207" i="51" s="1"/>
  <c r="I207" i="51"/>
  <c r="J207" i="51" s="1"/>
  <c r="K213" i="51"/>
  <c r="L213" i="51" s="1"/>
  <c r="I213" i="51"/>
  <c r="J213" i="51" s="1"/>
  <c r="I217" i="51"/>
  <c r="J217" i="51" s="1"/>
  <c r="B292" i="51"/>
  <c r="K211" i="51"/>
  <c r="L211" i="51" s="1"/>
  <c r="I211" i="51"/>
  <c r="J211" i="51" s="1"/>
  <c r="K205" i="51"/>
  <c r="L205" i="51" s="1"/>
  <c r="I205" i="51"/>
  <c r="J205" i="51" s="1"/>
  <c r="K215" i="51"/>
  <c r="L215" i="51" s="1"/>
  <c r="I215" i="51"/>
  <c r="J215" i="51" s="1"/>
  <c r="I206" i="51"/>
  <c r="J206" i="51" s="1"/>
  <c r="K206" i="51"/>
  <c r="L206" i="51" s="1"/>
  <c r="I222" i="51"/>
  <c r="J222" i="51" s="1"/>
  <c r="K222" i="51"/>
  <c r="L222" i="51" s="1"/>
  <c r="D225" i="51"/>
  <c r="C225" i="51" s="1"/>
  <c r="K216" i="51"/>
  <c r="L216" i="51" s="1"/>
  <c r="I216" i="51"/>
  <c r="J216" i="51" s="1"/>
  <c r="K219" i="51"/>
  <c r="L219" i="51" s="1"/>
  <c r="I219" i="51"/>
  <c r="J219" i="51" s="1"/>
  <c r="K212" i="51"/>
  <c r="L212" i="51" s="1"/>
  <c r="I212" i="51"/>
  <c r="J212" i="51" s="1"/>
  <c r="K210" i="51"/>
  <c r="L210" i="51" s="1"/>
  <c r="I210" i="51"/>
  <c r="J210" i="51" s="1"/>
  <c r="I226" i="51"/>
  <c r="J226" i="51" s="1"/>
  <c r="K226" i="51"/>
  <c r="L226" i="51" s="1"/>
  <c r="K221" i="51"/>
  <c r="L221" i="51" s="1"/>
  <c r="I221" i="51"/>
  <c r="J221" i="51" s="1"/>
  <c r="D365" i="51"/>
  <c r="B457" i="51"/>
  <c r="E457" i="51" s="1"/>
  <c r="I223" i="51"/>
  <c r="J223" i="51" s="1"/>
  <c r="G225" i="51"/>
  <c r="H225" i="51" s="1"/>
  <c r="I218" i="51"/>
  <c r="J218" i="51" s="1"/>
  <c r="K220" i="51"/>
  <c r="L220" i="51" s="1"/>
  <c r="I220" i="51"/>
  <c r="J220" i="51" s="1"/>
  <c r="C242" i="51"/>
  <c r="C244" i="51" s="1"/>
  <c r="K214" i="51"/>
  <c r="L214" i="51" s="1"/>
  <c r="I214" i="51"/>
  <c r="J214" i="51" s="1"/>
  <c r="K209" i="51"/>
  <c r="L209" i="51" s="1"/>
  <c r="I209" i="51"/>
  <c r="J209" i="51" s="1"/>
  <c r="I224" i="51"/>
  <c r="J224" i="51" s="1"/>
  <c r="B465" i="51"/>
  <c r="E465" i="51" s="1"/>
  <c r="D375" i="51"/>
  <c r="B373" i="51"/>
  <c r="F194" i="50"/>
  <c r="K194" i="50" s="1"/>
  <c r="L194" i="50" s="1"/>
  <c r="F213" i="50"/>
  <c r="F205" i="50"/>
  <c r="K205" i="50" s="1"/>
  <c r="L205" i="50" s="1"/>
  <c r="F200" i="50"/>
  <c r="I200" i="50" s="1"/>
  <c r="J200" i="50" s="1"/>
  <c r="F210" i="50"/>
  <c r="K210" i="50" s="1"/>
  <c r="L210" i="50" s="1"/>
  <c r="F198" i="50"/>
  <c r="I198" i="50" s="1"/>
  <c r="J198" i="50" s="1"/>
  <c r="F193" i="50"/>
  <c r="K193" i="50" s="1"/>
  <c r="L193" i="50" s="1"/>
  <c r="F202" i="50"/>
  <c r="K202" i="50" s="1"/>
  <c r="L202" i="50" s="1"/>
  <c r="C178" i="50"/>
  <c r="C179" i="50" s="1"/>
  <c r="F197" i="50"/>
  <c r="K197" i="50" s="1"/>
  <c r="L197" i="50" s="1"/>
  <c r="F206" i="50"/>
  <c r="I206" i="50" s="1"/>
  <c r="J206" i="50" s="1"/>
  <c r="F196" i="50"/>
  <c r="K196" i="50" s="1"/>
  <c r="L196" i="50" s="1"/>
  <c r="F214" i="50"/>
  <c r="K214" i="50" s="1"/>
  <c r="L214" i="50" s="1"/>
  <c r="F201" i="50"/>
  <c r="I201" i="50" s="1"/>
  <c r="J201" i="50" s="1"/>
  <c r="F203" i="50"/>
  <c r="K203" i="50" s="1"/>
  <c r="L203" i="50" s="1"/>
  <c r="F209" i="50"/>
  <c r="K209" i="50" s="1"/>
  <c r="L209" i="50" s="1"/>
  <c r="F208" i="50"/>
  <c r="I208" i="50" s="1"/>
  <c r="J208" i="50" s="1"/>
  <c r="F195" i="50"/>
  <c r="I195" i="50" s="1"/>
  <c r="J195" i="50" s="1"/>
  <c r="C289" i="50"/>
  <c r="C313" i="50" s="1"/>
  <c r="C315" i="50" s="1"/>
  <c r="C317" i="50" s="1"/>
  <c r="F212" i="50"/>
  <c r="K212" i="50" s="1"/>
  <c r="L212" i="50" s="1"/>
  <c r="F199" i="50"/>
  <c r="I199" i="50" s="1"/>
  <c r="J199" i="50" s="1"/>
  <c r="F204" i="50"/>
  <c r="K204" i="50" s="1"/>
  <c r="L204" i="50" s="1"/>
  <c r="C185" i="50"/>
  <c r="C186" i="50" s="1"/>
  <c r="F207" i="50"/>
  <c r="K207" i="50" s="1"/>
  <c r="L207" i="50" s="1"/>
  <c r="B540" i="50"/>
  <c r="E540" i="50" s="1"/>
  <c r="B462" i="50"/>
  <c r="D451" i="50"/>
  <c r="D213" i="50"/>
  <c r="B405" i="50" s="1"/>
  <c r="C582" i="50"/>
  <c r="C318" i="50" l="1"/>
  <c r="E107" i="1"/>
  <c r="B139" i="1"/>
  <c r="I211" i="50"/>
  <c r="J211" i="50" s="1"/>
  <c r="C256" i="54"/>
  <c r="B109" i="1"/>
  <c r="D101" i="1"/>
  <c r="K200" i="50"/>
  <c r="L200" i="50" s="1"/>
  <c r="C258" i="54"/>
  <c r="C260" i="54" s="1"/>
  <c r="C173" i="56"/>
  <c r="C232" i="56"/>
  <c r="E232" i="56" s="1"/>
  <c r="F232" i="56" s="1"/>
  <c r="C236" i="56"/>
  <c r="E236" i="56" s="1"/>
  <c r="F236" i="56" s="1"/>
  <c r="C240" i="56"/>
  <c r="E240" i="56" s="1"/>
  <c r="F240" i="56" s="1"/>
  <c r="C244" i="56"/>
  <c r="E244" i="56" s="1"/>
  <c r="F244" i="56" s="1"/>
  <c r="C248" i="56"/>
  <c r="E248" i="56" s="1"/>
  <c r="F248" i="56" s="1"/>
  <c r="C184" i="56"/>
  <c r="C187" i="56" s="1"/>
  <c r="C328" i="56" s="1"/>
  <c r="C229" i="56"/>
  <c r="E229" i="56" s="1"/>
  <c r="F229" i="56" s="1"/>
  <c r="C233" i="56"/>
  <c r="E233" i="56" s="1"/>
  <c r="F233" i="56" s="1"/>
  <c r="C237" i="56"/>
  <c r="E237" i="56" s="1"/>
  <c r="F237" i="56" s="1"/>
  <c r="C241" i="56"/>
  <c r="E241" i="56" s="1"/>
  <c r="F241" i="56" s="1"/>
  <c r="C245" i="56"/>
  <c r="E245" i="56" s="1"/>
  <c r="F245" i="56" s="1"/>
  <c r="C228" i="56"/>
  <c r="E228" i="56" s="1"/>
  <c r="F228" i="56" s="1"/>
  <c r="C230" i="56"/>
  <c r="E230" i="56" s="1"/>
  <c r="F230" i="56" s="1"/>
  <c r="C234" i="56"/>
  <c r="E234" i="56" s="1"/>
  <c r="F234" i="56" s="1"/>
  <c r="C238" i="56"/>
  <c r="E238" i="56" s="1"/>
  <c r="F238" i="56" s="1"/>
  <c r="C242" i="56"/>
  <c r="E242" i="56" s="1"/>
  <c r="F242" i="56" s="1"/>
  <c r="C246" i="56"/>
  <c r="E246" i="56" s="1"/>
  <c r="F246" i="56" s="1"/>
  <c r="C231" i="56"/>
  <c r="E231" i="56" s="1"/>
  <c r="F231" i="56" s="1"/>
  <c r="C235" i="56"/>
  <c r="E235" i="56" s="1"/>
  <c r="F235" i="56" s="1"/>
  <c r="C239" i="56"/>
  <c r="E239" i="56" s="1"/>
  <c r="F239" i="56" s="1"/>
  <c r="C243" i="56"/>
  <c r="E243" i="56" s="1"/>
  <c r="F243" i="56" s="1"/>
  <c r="C247" i="56"/>
  <c r="E247" i="56" s="1"/>
  <c r="F247" i="56" s="1"/>
  <c r="C266" i="57"/>
  <c r="C268" i="57"/>
  <c r="B514" i="56"/>
  <c r="E522" i="56"/>
  <c r="B523" i="56"/>
  <c r="D213" i="54"/>
  <c r="B348" i="54" s="1"/>
  <c r="G213" i="54"/>
  <c r="H213" i="54" s="1"/>
  <c r="F213" i="54"/>
  <c r="F201" i="54"/>
  <c r="F194" i="54"/>
  <c r="F199" i="54"/>
  <c r="F214" i="54"/>
  <c r="F212" i="54"/>
  <c r="F208" i="54"/>
  <c r="F210" i="54"/>
  <c r="F204" i="54"/>
  <c r="F207" i="54"/>
  <c r="F205" i="54"/>
  <c r="F211" i="54"/>
  <c r="F200" i="54"/>
  <c r="F198" i="54"/>
  <c r="C233" i="54"/>
  <c r="F193" i="54"/>
  <c r="F195" i="54"/>
  <c r="F197" i="54"/>
  <c r="F196" i="54"/>
  <c r="C185" i="54"/>
  <c r="C186" i="54" s="1"/>
  <c r="F202" i="54"/>
  <c r="F203" i="54"/>
  <c r="F206" i="54"/>
  <c r="F209" i="54"/>
  <c r="C178" i="54"/>
  <c r="C179" i="54" s="1"/>
  <c r="B408" i="54"/>
  <c r="C213" i="50"/>
  <c r="B378" i="50" s="1"/>
  <c r="B384" i="51"/>
  <c r="D373" i="51"/>
  <c r="B463" i="51"/>
  <c r="E463" i="51" s="1"/>
  <c r="I225" i="51"/>
  <c r="J225" i="51" s="1"/>
  <c r="B300" i="51"/>
  <c r="C246" i="51"/>
  <c r="C248" i="51"/>
  <c r="B327" i="51"/>
  <c r="K225" i="51"/>
  <c r="L225" i="51" s="1"/>
  <c r="B372" i="51"/>
  <c r="D372" i="51" s="1"/>
  <c r="I202" i="50"/>
  <c r="J202" i="50" s="1"/>
  <c r="I209" i="50"/>
  <c r="J209" i="50" s="1"/>
  <c r="I205" i="50"/>
  <c r="J205" i="50" s="1"/>
  <c r="I197" i="50"/>
  <c r="J197" i="50" s="1"/>
  <c r="K208" i="50"/>
  <c r="L208" i="50" s="1"/>
  <c r="I194" i="50"/>
  <c r="J194" i="50" s="1"/>
  <c r="I210" i="50"/>
  <c r="J210" i="50" s="1"/>
  <c r="C296" i="50"/>
  <c r="C298" i="50" s="1"/>
  <c r="I196" i="50"/>
  <c r="J196" i="50" s="1"/>
  <c r="K198" i="50"/>
  <c r="L198" i="50" s="1"/>
  <c r="K195" i="50"/>
  <c r="L195" i="50" s="1"/>
  <c r="I204" i="50"/>
  <c r="J204" i="50" s="1"/>
  <c r="K201" i="50"/>
  <c r="L201" i="50" s="1"/>
  <c r="I214" i="50"/>
  <c r="J214" i="50" s="1"/>
  <c r="I193" i="50"/>
  <c r="J193" i="50" s="1"/>
  <c r="I207" i="50"/>
  <c r="J207" i="50" s="1"/>
  <c r="I212" i="50"/>
  <c r="J212" i="50" s="1"/>
  <c r="I203" i="50"/>
  <c r="J203" i="50" s="1"/>
  <c r="K206" i="50"/>
  <c r="L206" i="50" s="1"/>
  <c r="K199" i="50"/>
  <c r="L199" i="50" s="1"/>
  <c r="B450" i="50"/>
  <c r="D450" i="50" s="1"/>
  <c r="K213" i="50"/>
  <c r="L213" i="50" s="1"/>
  <c r="B465" i="50"/>
  <c r="C535" i="40"/>
  <c r="C534" i="40"/>
  <c r="C533" i="40"/>
  <c r="C496" i="37"/>
  <c r="C495" i="37"/>
  <c r="C494" i="37"/>
  <c r="C261" i="54" l="1"/>
  <c r="B141" i="1"/>
  <c r="E109" i="1"/>
  <c r="D74" i="2"/>
  <c r="C95" i="2"/>
  <c r="I213" i="50"/>
  <c r="J213" i="50" s="1"/>
  <c r="C568" i="56"/>
  <c r="C576" i="56"/>
  <c r="C210" i="56"/>
  <c r="E210" i="56" s="1"/>
  <c r="F210" i="56" s="1"/>
  <c r="C213" i="56"/>
  <c r="E213" i="56" s="1"/>
  <c r="F213" i="56" s="1"/>
  <c r="C207" i="56"/>
  <c r="E207" i="56" s="1"/>
  <c r="F207" i="56" s="1"/>
  <c r="C204" i="56"/>
  <c r="E204" i="56" s="1"/>
  <c r="F204" i="56" s="1"/>
  <c r="C384" i="56"/>
  <c r="C215" i="56"/>
  <c r="E215" i="56" s="1"/>
  <c r="F215" i="56" s="1"/>
  <c r="C206" i="56"/>
  <c r="E206" i="56" s="1"/>
  <c r="F206" i="56" s="1"/>
  <c r="C217" i="56"/>
  <c r="E217" i="56" s="1"/>
  <c r="F217" i="56" s="1"/>
  <c r="C208" i="56"/>
  <c r="E208" i="56" s="1"/>
  <c r="F208" i="56" s="1"/>
  <c r="C272" i="56"/>
  <c r="C221" i="56"/>
  <c r="E221" i="56" s="1"/>
  <c r="F221" i="56" s="1"/>
  <c r="C203" i="56"/>
  <c r="E203" i="56" s="1"/>
  <c r="F203" i="56" s="1"/>
  <c r="C211" i="56"/>
  <c r="E211" i="56" s="1"/>
  <c r="F211" i="56" s="1"/>
  <c r="C220" i="56"/>
  <c r="E220" i="56" s="1"/>
  <c r="F220" i="56" s="1"/>
  <c r="C216" i="56"/>
  <c r="E216" i="56" s="1"/>
  <c r="F216" i="56" s="1"/>
  <c r="C218" i="56"/>
  <c r="E218" i="56" s="1"/>
  <c r="F218" i="56" s="1"/>
  <c r="C205" i="56"/>
  <c r="E205" i="56" s="1"/>
  <c r="F205" i="56" s="1"/>
  <c r="C202" i="56"/>
  <c r="E202" i="56" s="1"/>
  <c r="F202" i="56" s="1"/>
  <c r="C222" i="56"/>
  <c r="E222" i="56" s="1"/>
  <c r="F222" i="56" s="1"/>
  <c r="C219" i="56"/>
  <c r="E219" i="56" s="1"/>
  <c r="F219" i="56" s="1"/>
  <c r="C212" i="56"/>
  <c r="E212" i="56" s="1"/>
  <c r="F212" i="56" s="1"/>
  <c r="C214" i="56"/>
  <c r="E214" i="56" s="1"/>
  <c r="F214" i="56" s="1"/>
  <c r="C270" i="57"/>
  <c r="C287" i="57" s="1"/>
  <c r="C272" i="57"/>
  <c r="D229" i="56"/>
  <c r="G229" i="56" s="1"/>
  <c r="H229" i="56" s="1"/>
  <c r="D233" i="56"/>
  <c r="G233" i="56" s="1"/>
  <c r="H233" i="56" s="1"/>
  <c r="D237" i="56"/>
  <c r="G237" i="56" s="1"/>
  <c r="H237" i="56" s="1"/>
  <c r="D241" i="56"/>
  <c r="G241" i="56" s="1"/>
  <c r="H241" i="56" s="1"/>
  <c r="D245" i="56"/>
  <c r="G245" i="56" s="1"/>
  <c r="H245" i="56" s="1"/>
  <c r="D228" i="56"/>
  <c r="G228" i="56" s="1"/>
  <c r="H228" i="56" s="1"/>
  <c r="D230" i="56"/>
  <c r="G230" i="56" s="1"/>
  <c r="H230" i="56" s="1"/>
  <c r="D234" i="56"/>
  <c r="G234" i="56" s="1"/>
  <c r="H234" i="56" s="1"/>
  <c r="D238" i="56"/>
  <c r="G238" i="56" s="1"/>
  <c r="H238" i="56" s="1"/>
  <c r="D242" i="56"/>
  <c r="G242" i="56" s="1"/>
  <c r="H242" i="56" s="1"/>
  <c r="D246" i="56"/>
  <c r="G246" i="56" s="1"/>
  <c r="H246" i="56" s="1"/>
  <c r="D231" i="56"/>
  <c r="G231" i="56" s="1"/>
  <c r="H231" i="56" s="1"/>
  <c r="D235" i="56"/>
  <c r="G235" i="56" s="1"/>
  <c r="H235" i="56" s="1"/>
  <c r="D239" i="56"/>
  <c r="G239" i="56" s="1"/>
  <c r="H239" i="56" s="1"/>
  <c r="D243" i="56"/>
  <c r="G243" i="56" s="1"/>
  <c r="H243" i="56" s="1"/>
  <c r="D247" i="56"/>
  <c r="G247" i="56" s="1"/>
  <c r="H247" i="56" s="1"/>
  <c r="D232" i="56"/>
  <c r="G232" i="56" s="1"/>
  <c r="H232" i="56" s="1"/>
  <c r="D236" i="56"/>
  <c r="G236" i="56" s="1"/>
  <c r="H236" i="56" s="1"/>
  <c r="D240" i="56"/>
  <c r="G240" i="56" s="1"/>
  <c r="H240" i="56" s="1"/>
  <c r="D244" i="56"/>
  <c r="G244" i="56" s="1"/>
  <c r="H244" i="56" s="1"/>
  <c r="D248" i="56"/>
  <c r="G248" i="56" s="1"/>
  <c r="H248" i="56" s="1"/>
  <c r="C177" i="56"/>
  <c r="C172" i="56"/>
  <c r="B115" i="56" s="1"/>
  <c r="C171" i="56"/>
  <c r="C209" i="56"/>
  <c r="E209" i="56" s="1"/>
  <c r="F209" i="56" s="1"/>
  <c r="B614" i="56"/>
  <c r="F614" i="56" s="1"/>
  <c r="B534" i="56"/>
  <c r="E523" i="56"/>
  <c r="B607" i="56"/>
  <c r="F607" i="56" s="1"/>
  <c r="E514" i="56"/>
  <c r="C213" i="54"/>
  <c r="B321" i="54" s="1"/>
  <c r="K206" i="54"/>
  <c r="L206" i="54" s="1"/>
  <c r="I206" i="54"/>
  <c r="J206" i="54" s="1"/>
  <c r="K196" i="54"/>
  <c r="L196" i="54" s="1"/>
  <c r="I196" i="54"/>
  <c r="J196" i="54" s="1"/>
  <c r="K193" i="54"/>
  <c r="L193" i="54" s="1"/>
  <c r="I193" i="54"/>
  <c r="J193" i="54" s="1"/>
  <c r="K211" i="54"/>
  <c r="L211" i="54" s="1"/>
  <c r="I211" i="54"/>
  <c r="J211" i="54" s="1"/>
  <c r="K210" i="54"/>
  <c r="L210" i="54" s="1"/>
  <c r="I210" i="54"/>
  <c r="J210" i="54" s="1"/>
  <c r="K199" i="54"/>
  <c r="L199" i="54" s="1"/>
  <c r="I199" i="54"/>
  <c r="J199" i="54" s="1"/>
  <c r="I203" i="54"/>
  <c r="J203" i="54" s="1"/>
  <c r="K203" i="54"/>
  <c r="L203" i="54" s="1"/>
  <c r="C240" i="54"/>
  <c r="K205" i="54"/>
  <c r="L205" i="54" s="1"/>
  <c r="I205" i="54"/>
  <c r="J205" i="54" s="1"/>
  <c r="I208" i="54"/>
  <c r="J208" i="54" s="1"/>
  <c r="K208" i="54"/>
  <c r="L208" i="54" s="1"/>
  <c r="I194" i="54"/>
  <c r="J194" i="54" s="1"/>
  <c r="K194" i="54"/>
  <c r="L194" i="54" s="1"/>
  <c r="K202" i="54"/>
  <c r="L202" i="54" s="1"/>
  <c r="I202" i="54"/>
  <c r="J202" i="54" s="1"/>
  <c r="I197" i="54"/>
  <c r="J197" i="54" s="1"/>
  <c r="K197" i="54"/>
  <c r="L197" i="54" s="1"/>
  <c r="K198" i="54"/>
  <c r="L198" i="54" s="1"/>
  <c r="I198" i="54"/>
  <c r="J198" i="54" s="1"/>
  <c r="K207" i="54"/>
  <c r="L207" i="54" s="1"/>
  <c r="I207" i="54"/>
  <c r="J207" i="54" s="1"/>
  <c r="K212" i="54"/>
  <c r="L212" i="54" s="1"/>
  <c r="I212" i="54"/>
  <c r="J212" i="54" s="1"/>
  <c r="K201" i="54"/>
  <c r="L201" i="54" s="1"/>
  <c r="I201" i="54"/>
  <c r="J201" i="54" s="1"/>
  <c r="I209" i="54"/>
  <c r="J209" i="54" s="1"/>
  <c r="K209" i="54"/>
  <c r="L209" i="54" s="1"/>
  <c r="I195" i="54"/>
  <c r="J195" i="54" s="1"/>
  <c r="K195" i="54"/>
  <c r="L195" i="54" s="1"/>
  <c r="K200" i="54"/>
  <c r="L200" i="54" s="1"/>
  <c r="I200" i="54"/>
  <c r="J200" i="54" s="1"/>
  <c r="K204" i="54"/>
  <c r="L204" i="54" s="1"/>
  <c r="I204" i="54"/>
  <c r="J204" i="54" s="1"/>
  <c r="I214" i="54"/>
  <c r="J214" i="54" s="1"/>
  <c r="K214" i="54"/>
  <c r="L214" i="54" s="1"/>
  <c r="K213" i="54"/>
  <c r="L213" i="54" s="1"/>
  <c r="D327" i="51"/>
  <c r="G327" i="51" s="1"/>
  <c r="H327" i="51" s="1"/>
  <c r="D328" i="51"/>
  <c r="G328" i="51" s="1"/>
  <c r="H328" i="51" s="1"/>
  <c r="D325" i="51"/>
  <c r="G325" i="51" s="1"/>
  <c r="H325" i="51" s="1"/>
  <c r="D321" i="51"/>
  <c r="G321" i="51" s="1"/>
  <c r="H321" i="51" s="1"/>
  <c r="D317" i="51"/>
  <c r="G317" i="51" s="1"/>
  <c r="H317" i="51" s="1"/>
  <c r="D313" i="51"/>
  <c r="G313" i="51" s="1"/>
  <c r="H313" i="51" s="1"/>
  <c r="D322" i="51"/>
  <c r="G322" i="51" s="1"/>
  <c r="H322" i="51" s="1"/>
  <c r="D318" i="51"/>
  <c r="G318" i="51" s="1"/>
  <c r="H318" i="51" s="1"/>
  <c r="D314" i="51"/>
  <c r="G314" i="51" s="1"/>
  <c r="H314" i="51" s="1"/>
  <c r="D326" i="51"/>
  <c r="G326" i="51" s="1"/>
  <c r="H326" i="51" s="1"/>
  <c r="D320" i="51"/>
  <c r="G320" i="51" s="1"/>
  <c r="H320" i="51" s="1"/>
  <c r="D312" i="51"/>
  <c r="G312" i="51" s="1"/>
  <c r="H312" i="51" s="1"/>
  <c r="D308" i="51"/>
  <c r="G308" i="51" s="1"/>
  <c r="H308" i="51" s="1"/>
  <c r="D323" i="51"/>
  <c r="G323" i="51" s="1"/>
  <c r="H323" i="51" s="1"/>
  <c r="D315" i="51"/>
  <c r="G315" i="51" s="1"/>
  <c r="H315" i="51" s="1"/>
  <c r="D309" i="51"/>
  <c r="G309" i="51" s="1"/>
  <c r="H309" i="51" s="1"/>
  <c r="C250" i="51"/>
  <c r="D316" i="51"/>
  <c r="G316" i="51" s="1"/>
  <c r="H316" i="51" s="1"/>
  <c r="D310" i="51"/>
  <c r="G310" i="51" s="1"/>
  <c r="H310" i="51" s="1"/>
  <c r="D311" i="51"/>
  <c r="G311" i="51" s="1"/>
  <c r="H311" i="51" s="1"/>
  <c r="D324" i="51"/>
  <c r="G324" i="51" s="1"/>
  <c r="H324" i="51" s="1"/>
  <c r="D307" i="51"/>
  <c r="G307" i="51" s="1"/>
  <c r="H307" i="51" s="1"/>
  <c r="C252" i="51"/>
  <c r="C271" i="51" s="1"/>
  <c r="C272" i="51" s="1"/>
  <c r="D319" i="51"/>
  <c r="G319" i="51" s="1"/>
  <c r="H319" i="51" s="1"/>
  <c r="D299" i="51"/>
  <c r="G299" i="51" s="1"/>
  <c r="H299" i="51" s="1"/>
  <c r="D295" i="51"/>
  <c r="G295" i="51" s="1"/>
  <c r="H295" i="51" s="1"/>
  <c r="D291" i="51"/>
  <c r="G291" i="51" s="1"/>
  <c r="H291" i="51" s="1"/>
  <c r="D287" i="51"/>
  <c r="G287" i="51" s="1"/>
  <c r="H287" i="51" s="1"/>
  <c r="D283" i="51"/>
  <c r="G283" i="51" s="1"/>
  <c r="H283" i="51" s="1"/>
  <c r="C417" i="51"/>
  <c r="D300" i="51"/>
  <c r="G300" i="51" s="1"/>
  <c r="H300" i="51" s="1"/>
  <c r="D296" i="51"/>
  <c r="G296" i="51" s="1"/>
  <c r="H296" i="51" s="1"/>
  <c r="D292" i="51"/>
  <c r="G292" i="51" s="1"/>
  <c r="H292" i="51" s="1"/>
  <c r="D288" i="51"/>
  <c r="G288" i="51" s="1"/>
  <c r="H288" i="51" s="1"/>
  <c r="D284" i="51"/>
  <c r="G284" i="51" s="1"/>
  <c r="H284" i="51" s="1"/>
  <c r="D280" i="51"/>
  <c r="G280" i="51" s="1"/>
  <c r="H280" i="51" s="1"/>
  <c r="C273" i="51"/>
  <c r="D297" i="51"/>
  <c r="G297" i="51" s="1"/>
  <c r="H297" i="51" s="1"/>
  <c r="D289" i="51"/>
  <c r="G289" i="51" s="1"/>
  <c r="H289" i="51" s="1"/>
  <c r="D281" i="51"/>
  <c r="G281" i="51" s="1"/>
  <c r="H281" i="51" s="1"/>
  <c r="D298" i="51"/>
  <c r="G298" i="51" s="1"/>
  <c r="H298" i="51" s="1"/>
  <c r="D290" i="51"/>
  <c r="G290" i="51" s="1"/>
  <c r="H290" i="51" s="1"/>
  <c r="D282" i="51"/>
  <c r="G282" i="51" s="1"/>
  <c r="H282" i="51" s="1"/>
  <c r="D301" i="51"/>
  <c r="G301" i="51" s="1"/>
  <c r="H301" i="51" s="1"/>
  <c r="D293" i="51"/>
  <c r="G293" i="51" s="1"/>
  <c r="H293" i="51" s="1"/>
  <c r="D285" i="51"/>
  <c r="G285" i="51" s="1"/>
  <c r="H285" i="51" s="1"/>
  <c r="C264" i="51"/>
  <c r="C425" i="51"/>
  <c r="D286" i="51"/>
  <c r="G286" i="51" s="1"/>
  <c r="H286" i="51" s="1"/>
  <c r="D294" i="51"/>
  <c r="G294" i="51" s="1"/>
  <c r="H294" i="51" s="1"/>
  <c r="B387" i="51"/>
  <c r="C300" i="50"/>
  <c r="C349" i="50" s="1"/>
  <c r="B81" i="2" l="1"/>
  <c r="C74" i="2"/>
  <c r="C191" i="56"/>
  <c r="C194" i="56" s="1"/>
  <c r="C279" i="56" s="1"/>
  <c r="C593" i="56"/>
  <c r="C561" i="56"/>
  <c r="C170" i="56"/>
  <c r="A115" i="56" s="1"/>
  <c r="D205" i="56"/>
  <c r="G205" i="56" s="1"/>
  <c r="H205" i="56" s="1"/>
  <c r="D209" i="56"/>
  <c r="G209" i="56" s="1"/>
  <c r="H209" i="56" s="1"/>
  <c r="D213" i="56"/>
  <c r="G213" i="56" s="1"/>
  <c r="H213" i="56" s="1"/>
  <c r="D217" i="56"/>
  <c r="G217" i="56" s="1"/>
  <c r="H217" i="56" s="1"/>
  <c r="D221" i="56"/>
  <c r="G221" i="56" s="1"/>
  <c r="H221" i="56" s="1"/>
  <c r="C188" i="56"/>
  <c r="C189" i="56" s="1"/>
  <c r="C262" i="56"/>
  <c r="D206" i="56"/>
  <c r="G206" i="56" s="1"/>
  <c r="H206" i="56" s="1"/>
  <c r="D210" i="56"/>
  <c r="G210" i="56" s="1"/>
  <c r="H210" i="56" s="1"/>
  <c r="D214" i="56"/>
  <c r="G214" i="56" s="1"/>
  <c r="H214" i="56" s="1"/>
  <c r="D218" i="56"/>
  <c r="G218" i="56" s="1"/>
  <c r="H218" i="56" s="1"/>
  <c r="D222" i="56"/>
  <c r="G222" i="56" s="1"/>
  <c r="H222" i="56" s="1"/>
  <c r="C195" i="56"/>
  <c r="C196" i="56" s="1"/>
  <c r="D203" i="56"/>
  <c r="G203" i="56" s="1"/>
  <c r="H203" i="56" s="1"/>
  <c r="D207" i="56"/>
  <c r="G207" i="56" s="1"/>
  <c r="H207" i="56" s="1"/>
  <c r="D211" i="56"/>
  <c r="G211" i="56" s="1"/>
  <c r="H211" i="56" s="1"/>
  <c r="D215" i="56"/>
  <c r="G215" i="56" s="1"/>
  <c r="H215" i="56" s="1"/>
  <c r="D219" i="56"/>
  <c r="G219" i="56" s="1"/>
  <c r="H219" i="56" s="1"/>
  <c r="D202" i="56"/>
  <c r="G202" i="56" s="1"/>
  <c r="H202" i="56" s="1"/>
  <c r="D204" i="56"/>
  <c r="G204" i="56" s="1"/>
  <c r="H204" i="56" s="1"/>
  <c r="D208" i="56"/>
  <c r="G208" i="56" s="1"/>
  <c r="H208" i="56" s="1"/>
  <c r="D212" i="56"/>
  <c r="G212" i="56" s="1"/>
  <c r="H212" i="56" s="1"/>
  <c r="D216" i="56"/>
  <c r="G216" i="56" s="1"/>
  <c r="H216" i="56" s="1"/>
  <c r="D220" i="56"/>
  <c r="G220" i="56" s="1"/>
  <c r="H220" i="56" s="1"/>
  <c r="C367" i="57"/>
  <c r="E367" i="57" s="1"/>
  <c r="F367" i="57" s="1"/>
  <c r="C369" i="57"/>
  <c r="E369" i="57" s="1"/>
  <c r="F369" i="57" s="1"/>
  <c r="C366" i="57"/>
  <c r="E366" i="57" s="1"/>
  <c r="F366" i="57" s="1"/>
  <c r="C362" i="57"/>
  <c r="E362" i="57" s="1"/>
  <c r="F362" i="57" s="1"/>
  <c r="C358" i="57"/>
  <c r="E358" i="57" s="1"/>
  <c r="F358" i="57" s="1"/>
  <c r="C354" i="57"/>
  <c r="E354" i="57" s="1"/>
  <c r="F354" i="57" s="1"/>
  <c r="C350" i="57"/>
  <c r="E350" i="57" s="1"/>
  <c r="F350" i="57" s="1"/>
  <c r="C363" i="57"/>
  <c r="E363" i="57" s="1"/>
  <c r="F363" i="57" s="1"/>
  <c r="C359" i="57"/>
  <c r="E359" i="57" s="1"/>
  <c r="F359" i="57" s="1"/>
  <c r="C355" i="57"/>
  <c r="E355" i="57" s="1"/>
  <c r="F355" i="57" s="1"/>
  <c r="C351" i="57"/>
  <c r="E351" i="57" s="1"/>
  <c r="F351" i="57" s="1"/>
  <c r="C368" i="57"/>
  <c r="E368" i="57" s="1"/>
  <c r="F368" i="57" s="1"/>
  <c r="C364" i="57"/>
  <c r="E364" i="57" s="1"/>
  <c r="F364" i="57" s="1"/>
  <c r="C360" i="57"/>
  <c r="E360" i="57" s="1"/>
  <c r="F360" i="57" s="1"/>
  <c r="C356" i="57"/>
  <c r="E356" i="57" s="1"/>
  <c r="F356" i="57" s="1"/>
  <c r="C352" i="57"/>
  <c r="E352" i="57" s="1"/>
  <c r="F352" i="57" s="1"/>
  <c r="C348" i="57"/>
  <c r="E348" i="57" s="1"/>
  <c r="F348" i="57" s="1"/>
  <c r="C361" i="57"/>
  <c r="E361" i="57" s="1"/>
  <c r="F361" i="57" s="1"/>
  <c r="C365" i="57"/>
  <c r="E365" i="57" s="1"/>
  <c r="F365" i="57" s="1"/>
  <c r="C285" i="57"/>
  <c r="C353" i="57"/>
  <c r="E353" i="57" s="1"/>
  <c r="F353" i="57" s="1"/>
  <c r="C349" i="57"/>
  <c r="E349" i="57" s="1"/>
  <c r="F349" i="57" s="1"/>
  <c r="C299" i="57"/>
  <c r="C302" i="57" s="1"/>
  <c r="C357" i="57"/>
  <c r="E357" i="57" s="1"/>
  <c r="F357" i="57" s="1"/>
  <c r="C391" i="56"/>
  <c r="B537" i="56"/>
  <c r="I213" i="54"/>
  <c r="J213" i="54" s="1"/>
  <c r="C243" i="54"/>
  <c r="C244" i="54" s="1"/>
  <c r="C301" i="50"/>
  <c r="C303" i="50" s="1"/>
  <c r="C338" i="50"/>
  <c r="C326" i="51"/>
  <c r="E326" i="51" s="1"/>
  <c r="F326" i="51" s="1"/>
  <c r="C324" i="51"/>
  <c r="E324" i="51" s="1"/>
  <c r="F324" i="51" s="1"/>
  <c r="C320" i="51"/>
  <c r="E320" i="51" s="1"/>
  <c r="F320" i="51" s="1"/>
  <c r="C316" i="51"/>
  <c r="E316" i="51" s="1"/>
  <c r="F316" i="51" s="1"/>
  <c r="C312" i="51"/>
  <c r="E312" i="51" s="1"/>
  <c r="F312" i="51" s="1"/>
  <c r="C328" i="51"/>
  <c r="E328" i="51" s="1"/>
  <c r="F328" i="51" s="1"/>
  <c r="C325" i="51"/>
  <c r="E325" i="51" s="1"/>
  <c r="F325" i="51" s="1"/>
  <c r="C321" i="51"/>
  <c r="E321" i="51" s="1"/>
  <c r="F321" i="51" s="1"/>
  <c r="C317" i="51"/>
  <c r="E317" i="51" s="1"/>
  <c r="F317" i="51" s="1"/>
  <c r="C313" i="51"/>
  <c r="E313" i="51" s="1"/>
  <c r="F313" i="51" s="1"/>
  <c r="C319" i="51"/>
  <c r="E319" i="51" s="1"/>
  <c r="F319" i="51" s="1"/>
  <c r="C311" i="51"/>
  <c r="E311" i="51" s="1"/>
  <c r="F311" i="51" s="1"/>
  <c r="C307" i="51"/>
  <c r="E307" i="51" s="1"/>
  <c r="F307" i="51" s="1"/>
  <c r="C262" i="51"/>
  <c r="C263" i="51" s="1"/>
  <c r="C327" i="51"/>
  <c r="E327" i="51" s="1"/>
  <c r="F327" i="51" s="1"/>
  <c r="C322" i="51"/>
  <c r="E322" i="51" s="1"/>
  <c r="F322" i="51" s="1"/>
  <c r="C314" i="51"/>
  <c r="E314" i="51" s="1"/>
  <c r="F314" i="51" s="1"/>
  <c r="C308" i="51"/>
  <c r="E308" i="51" s="1"/>
  <c r="F308" i="51" s="1"/>
  <c r="C323" i="51"/>
  <c r="E323" i="51" s="1"/>
  <c r="F323" i="51" s="1"/>
  <c r="C309" i="51"/>
  <c r="E309" i="51" s="1"/>
  <c r="F309" i="51" s="1"/>
  <c r="C318" i="51"/>
  <c r="E318" i="51" s="1"/>
  <c r="F318" i="51" s="1"/>
  <c r="C310" i="51"/>
  <c r="E310" i="51" s="1"/>
  <c r="F310" i="51" s="1"/>
  <c r="C315" i="51"/>
  <c r="E315" i="51" s="1"/>
  <c r="F315" i="51" s="1"/>
  <c r="C410" i="51"/>
  <c r="C274" i="51"/>
  <c r="C443" i="51"/>
  <c r="F108" i="1" l="1"/>
  <c r="C140" i="1"/>
  <c r="C335" i="56"/>
  <c r="C292" i="54"/>
  <c r="C281" i="54"/>
  <c r="C475" i="57"/>
  <c r="C479" i="57" s="1"/>
  <c r="E416" i="57"/>
  <c r="F416" i="57" s="1"/>
  <c r="G416" i="57" s="1"/>
  <c r="E414" i="57"/>
  <c r="F414" i="57" s="1"/>
  <c r="G414" i="57" s="1"/>
  <c r="C445" i="57"/>
  <c r="C449" i="57" s="1"/>
  <c r="C450" i="57" s="1"/>
  <c r="C425" i="57"/>
  <c r="E417" i="57"/>
  <c r="F417" i="57" s="1"/>
  <c r="G417" i="57" s="1"/>
  <c r="E415" i="57"/>
  <c r="F415" i="57" s="1"/>
  <c r="G415" i="57" s="1"/>
  <c r="E413" i="57"/>
  <c r="F413" i="57" s="1"/>
  <c r="G413" i="57" s="1"/>
  <c r="E412" i="57"/>
  <c r="F412" i="57" s="1"/>
  <c r="G412" i="57" s="1"/>
  <c r="E409" i="57"/>
  <c r="F409" i="57" s="1"/>
  <c r="G409" i="57" s="1"/>
  <c r="E405" i="57"/>
  <c r="F405" i="57" s="1"/>
  <c r="G405" i="57" s="1"/>
  <c r="E401" i="57"/>
  <c r="F401" i="57" s="1"/>
  <c r="G401" i="57" s="1"/>
  <c r="C341" i="57"/>
  <c r="E341" i="57" s="1"/>
  <c r="F341" i="57" s="1"/>
  <c r="C337" i="57"/>
  <c r="E337" i="57" s="1"/>
  <c r="F337" i="57" s="1"/>
  <c r="C333" i="57"/>
  <c r="E333" i="57" s="1"/>
  <c r="F333" i="57" s="1"/>
  <c r="E410" i="57"/>
  <c r="F410" i="57" s="1"/>
  <c r="G410" i="57" s="1"/>
  <c r="E406" i="57"/>
  <c r="F406" i="57" s="1"/>
  <c r="G406" i="57" s="1"/>
  <c r="E402" i="57"/>
  <c r="F402" i="57" s="1"/>
  <c r="G402" i="57" s="1"/>
  <c r="E411" i="57"/>
  <c r="F411" i="57" s="1"/>
  <c r="G411" i="57" s="1"/>
  <c r="E407" i="57"/>
  <c r="F407" i="57" s="1"/>
  <c r="G407" i="57" s="1"/>
  <c r="E403" i="57"/>
  <c r="F403" i="57" s="1"/>
  <c r="G403" i="57" s="1"/>
  <c r="C339" i="57"/>
  <c r="E339" i="57" s="1"/>
  <c r="F339" i="57" s="1"/>
  <c r="C335" i="57"/>
  <c r="E335" i="57" s="1"/>
  <c r="F335" i="57" s="1"/>
  <c r="C331" i="57"/>
  <c r="E331" i="57" s="1"/>
  <c r="F331" i="57" s="1"/>
  <c r="C327" i="57"/>
  <c r="E327" i="57" s="1"/>
  <c r="F327" i="57" s="1"/>
  <c r="C340" i="57"/>
  <c r="E340" i="57" s="1"/>
  <c r="F340" i="57" s="1"/>
  <c r="C332" i="57"/>
  <c r="E332" i="57" s="1"/>
  <c r="F332" i="57" s="1"/>
  <c r="C329" i="57"/>
  <c r="E329" i="57" s="1"/>
  <c r="F329" i="57" s="1"/>
  <c r="C325" i="57"/>
  <c r="E325" i="57" s="1"/>
  <c r="F325" i="57" s="1"/>
  <c r="C321" i="57"/>
  <c r="E321" i="57" s="1"/>
  <c r="F321" i="57" s="1"/>
  <c r="E404" i="57"/>
  <c r="F404" i="57" s="1"/>
  <c r="G404" i="57" s="1"/>
  <c r="C342" i="57"/>
  <c r="E342" i="57" s="1"/>
  <c r="F342" i="57" s="1"/>
  <c r="C334" i="57"/>
  <c r="E334" i="57" s="1"/>
  <c r="F334" i="57" s="1"/>
  <c r="C328" i="57"/>
  <c r="E328" i="57" s="1"/>
  <c r="F328" i="57" s="1"/>
  <c r="C326" i="57"/>
  <c r="E326" i="57" s="1"/>
  <c r="F326" i="57" s="1"/>
  <c r="C322" i="57"/>
  <c r="E322" i="57" s="1"/>
  <c r="F322" i="57" s="1"/>
  <c r="E408" i="57"/>
  <c r="F408" i="57" s="1"/>
  <c r="G408" i="57" s="1"/>
  <c r="C336" i="57"/>
  <c r="E336" i="57" s="1"/>
  <c r="F336" i="57" s="1"/>
  <c r="C323" i="57"/>
  <c r="E323" i="57" s="1"/>
  <c r="F323" i="57" s="1"/>
  <c r="C338" i="57"/>
  <c r="E338" i="57" s="1"/>
  <c r="F338" i="57" s="1"/>
  <c r="C324" i="57"/>
  <c r="E324" i="57" s="1"/>
  <c r="F324" i="57" s="1"/>
  <c r="C330" i="57"/>
  <c r="E330" i="57" s="1"/>
  <c r="F330" i="57" s="1"/>
  <c r="C264" i="56"/>
  <c r="C266" i="56" s="1"/>
  <c r="C268" i="56" s="1"/>
  <c r="C322" i="56"/>
  <c r="D368" i="57"/>
  <c r="G368" i="57" s="1"/>
  <c r="H368" i="57" s="1"/>
  <c r="D363" i="57"/>
  <c r="G363" i="57" s="1"/>
  <c r="H363" i="57" s="1"/>
  <c r="D359" i="57"/>
  <c r="G359" i="57" s="1"/>
  <c r="H359" i="57" s="1"/>
  <c r="D355" i="57"/>
  <c r="G355" i="57" s="1"/>
  <c r="H355" i="57" s="1"/>
  <c r="D351" i="57"/>
  <c r="G351" i="57" s="1"/>
  <c r="H351" i="57" s="1"/>
  <c r="D364" i="57"/>
  <c r="G364" i="57" s="1"/>
  <c r="H364" i="57" s="1"/>
  <c r="D360" i="57"/>
  <c r="G360" i="57" s="1"/>
  <c r="H360" i="57" s="1"/>
  <c r="D356" i="57"/>
  <c r="G356" i="57" s="1"/>
  <c r="H356" i="57" s="1"/>
  <c r="D352" i="57"/>
  <c r="G352" i="57" s="1"/>
  <c r="H352" i="57" s="1"/>
  <c r="D369" i="57"/>
  <c r="G369" i="57" s="1"/>
  <c r="H369" i="57" s="1"/>
  <c r="D367" i="57"/>
  <c r="G367" i="57" s="1"/>
  <c r="H367" i="57" s="1"/>
  <c r="D365" i="57"/>
  <c r="G365" i="57" s="1"/>
  <c r="H365" i="57" s="1"/>
  <c r="D361" i="57"/>
  <c r="G361" i="57" s="1"/>
  <c r="H361" i="57" s="1"/>
  <c r="D357" i="57"/>
  <c r="G357" i="57" s="1"/>
  <c r="H357" i="57" s="1"/>
  <c r="D353" i="57"/>
  <c r="G353" i="57" s="1"/>
  <c r="H353" i="57" s="1"/>
  <c r="D349" i="57"/>
  <c r="G349" i="57" s="1"/>
  <c r="H349" i="57" s="1"/>
  <c r="D354" i="57"/>
  <c r="G354" i="57" s="1"/>
  <c r="H354" i="57" s="1"/>
  <c r="D358" i="57"/>
  <c r="G358" i="57" s="1"/>
  <c r="H358" i="57" s="1"/>
  <c r="D348" i="57"/>
  <c r="G348" i="57" s="1"/>
  <c r="H348" i="57" s="1"/>
  <c r="C289" i="57"/>
  <c r="C310" i="57" s="1"/>
  <c r="C313" i="57" s="1"/>
  <c r="D362" i="57"/>
  <c r="G362" i="57" s="1"/>
  <c r="H362" i="57" s="1"/>
  <c r="C284" i="57"/>
  <c r="B248" i="57" s="1"/>
  <c r="D350" i="57"/>
  <c r="G350" i="57" s="1"/>
  <c r="H350" i="57" s="1"/>
  <c r="D366" i="57"/>
  <c r="G366" i="57" s="1"/>
  <c r="H366" i="57" s="1"/>
  <c r="C283" i="57"/>
  <c r="C305" i="50"/>
  <c r="C309" i="50" s="1"/>
  <c r="C248" i="54"/>
  <c r="C434" i="51"/>
  <c r="C438" i="51" s="1"/>
  <c r="E375" i="51"/>
  <c r="F375" i="51" s="1"/>
  <c r="G375" i="51" s="1"/>
  <c r="E373" i="51"/>
  <c r="F373" i="51" s="1"/>
  <c r="G373" i="51" s="1"/>
  <c r="E372" i="51"/>
  <c r="F372" i="51" s="1"/>
  <c r="G372" i="51" s="1"/>
  <c r="E371" i="51"/>
  <c r="F371" i="51" s="1"/>
  <c r="G371" i="51" s="1"/>
  <c r="E370" i="51"/>
  <c r="F370" i="51" s="1"/>
  <c r="G370" i="51" s="1"/>
  <c r="E363" i="51"/>
  <c r="F363" i="51" s="1"/>
  <c r="G363" i="51" s="1"/>
  <c r="E362" i="51"/>
  <c r="F362" i="51" s="1"/>
  <c r="G362" i="51" s="1"/>
  <c r="C404" i="51"/>
  <c r="C408" i="51" s="1"/>
  <c r="C409" i="51" s="1"/>
  <c r="C412" i="51" s="1"/>
  <c r="E369" i="51"/>
  <c r="F369" i="51" s="1"/>
  <c r="G369" i="51" s="1"/>
  <c r="E368" i="51"/>
  <c r="F368" i="51" s="1"/>
  <c r="G368" i="51" s="1"/>
  <c r="E361" i="51"/>
  <c r="F361" i="51" s="1"/>
  <c r="G361" i="51" s="1"/>
  <c r="E360" i="51"/>
  <c r="F360" i="51" s="1"/>
  <c r="G360" i="51" s="1"/>
  <c r="E366" i="51"/>
  <c r="F366" i="51" s="1"/>
  <c r="G366" i="51" s="1"/>
  <c r="C298" i="51"/>
  <c r="E298" i="51" s="1"/>
  <c r="F298" i="51" s="1"/>
  <c r="C294" i="51"/>
  <c r="E294" i="51" s="1"/>
  <c r="F294" i="51" s="1"/>
  <c r="C290" i="51"/>
  <c r="E290" i="51" s="1"/>
  <c r="F290" i="51" s="1"/>
  <c r="C286" i="51"/>
  <c r="E286" i="51" s="1"/>
  <c r="F286" i="51" s="1"/>
  <c r="C282" i="51"/>
  <c r="E282" i="51" s="1"/>
  <c r="F282" i="51" s="1"/>
  <c r="C384" i="51"/>
  <c r="E364" i="51"/>
  <c r="F364" i="51" s="1"/>
  <c r="G364" i="51" s="1"/>
  <c r="C299" i="51"/>
  <c r="E299" i="51" s="1"/>
  <c r="F299" i="51" s="1"/>
  <c r="C295" i="51"/>
  <c r="E295" i="51" s="1"/>
  <c r="F295" i="51" s="1"/>
  <c r="C291" i="51"/>
  <c r="E291" i="51" s="1"/>
  <c r="F291" i="51" s="1"/>
  <c r="C287" i="51"/>
  <c r="E287" i="51" s="1"/>
  <c r="F287" i="51" s="1"/>
  <c r="C283" i="51"/>
  <c r="E283" i="51" s="1"/>
  <c r="F283" i="51" s="1"/>
  <c r="C265" i="51"/>
  <c r="E374" i="51"/>
  <c r="F374" i="51" s="1"/>
  <c r="G374" i="51" s="1"/>
  <c r="C296" i="51"/>
  <c r="E296" i="51" s="1"/>
  <c r="F296" i="51" s="1"/>
  <c r="C288" i="51"/>
  <c r="E288" i="51" s="1"/>
  <c r="F288" i="51" s="1"/>
  <c r="C280" i="51"/>
  <c r="E280" i="51" s="1"/>
  <c r="F280" i="51" s="1"/>
  <c r="E376" i="51"/>
  <c r="F376" i="51" s="1"/>
  <c r="G376" i="51" s="1"/>
  <c r="C297" i="51"/>
  <c r="E297" i="51" s="1"/>
  <c r="F297" i="51" s="1"/>
  <c r="C289" i="51"/>
  <c r="E289" i="51" s="1"/>
  <c r="F289" i="51" s="1"/>
  <c r="C281" i="51"/>
  <c r="E281" i="51" s="1"/>
  <c r="F281" i="51" s="1"/>
  <c r="E365" i="51"/>
  <c r="F365" i="51" s="1"/>
  <c r="G365" i="51" s="1"/>
  <c r="C300" i="51"/>
  <c r="E300" i="51" s="1"/>
  <c r="F300" i="51" s="1"/>
  <c r="C292" i="51"/>
  <c r="E292" i="51" s="1"/>
  <c r="F292" i="51" s="1"/>
  <c r="C284" i="51"/>
  <c r="E284" i="51" s="1"/>
  <c r="F284" i="51" s="1"/>
  <c r="C293" i="51"/>
  <c r="E293" i="51" s="1"/>
  <c r="F293" i="51" s="1"/>
  <c r="C301" i="51"/>
  <c r="E301" i="51" s="1"/>
  <c r="F301" i="51" s="1"/>
  <c r="E367" i="51"/>
  <c r="F367" i="51" s="1"/>
  <c r="G367" i="51" s="1"/>
  <c r="C285" i="51"/>
  <c r="E285" i="51" s="1"/>
  <c r="F285" i="51" s="1"/>
  <c r="D77" i="17"/>
  <c r="C284" i="56" l="1"/>
  <c r="F109" i="2"/>
  <c r="C81" i="2"/>
  <c r="D108" i="1"/>
  <c r="B116" i="1"/>
  <c r="C277" i="56"/>
  <c r="B357" i="56"/>
  <c r="C357" i="56" s="1"/>
  <c r="C307" i="50"/>
  <c r="C324" i="50" s="1"/>
  <c r="C394" i="50" s="1"/>
  <c r="E394" i="50" s="1"/>
  <c r="F394" i="50" s="1"/>
  <c r="C451" i="57"/>
  <c r="C453" i="57" s="1"/>
  <c r="C484" i="57"/>
  <c r="C428" i="57"/>
  <c r="D428" i="57" s="1"/>
  <c r="E428" i="57" s="1"/>
  <c r="D425" i="57"/>
  <c r="E425" i="57" s="1"/>
  <c r="F503" i="57"/>
  <c r="G503" i="57" s="1"/>
  <c r="F501" i="57"/>
  <c r="G501" i="57" s="1"/>
  <c r="H501" i="57" s="1"/>
  <c r="F499" i="57"/>
  <c r="G499" i="57" s="1"/>
  <c r="H499" i="57" s="1"/>
  <c r="F497" i="57"/>
  <c r="G497" i="57" s="1"/>
  <c r="H497" i="57" s="1"/>
  <c r="F495" i="57"/>
  <c r="G495" i="57" s="1"/>
  <c r="H495" i="57" s="1"/>
  <c r="F493" i="57"/>
  <c r="G493" i="57" s="1"/>
  <c r="H493" i="57" s="1"/>
  <c r="F506" i="57"/>
  <c r="G506" i="57" s="1"/>
  <c r="H506" i="57" s="1"/>
  <c r="F504" i="57"/>
  <c r="G504" i="57" s="1"/>
  <c r="H504" i="57" s="1"/>
  <c r="F502" i="57"/>
  <c r="G502" i="57" s="1"/>
  <c r="H502" i="57" s="1"/>
  <c r="F500" i="57"/>
  <c r="G500" i="57" s="1"/>
  <c r="H500" i="57" s="1"/>
  <c r="F498" i="57"/>
  <c r="G498" i="57" s="1"/>
  <c r="F496" i="57"/>
  <c r="G496" i="57" s="1"/>
  <c r="H496" i="57" s="1"/>
  <c r="F494" i="57"/>
  <c r="G494" i="57" s="1"/>
  <c r="C518" i="57"/>
  <c r="F507" i="57"/>
  <c r="G507" i="57" s="1"/>
  <c r="F505" i="57"/>
  <c r="G505" i="57" s="1"/>
  <c r="C466" i="57"/>
  <c r="D342" i="57"/>
  <c r="G342" i="57" s="1"/>
  <c r="H342" i="57" s="1"/>
  <c r="D338" i="57"/>
  <c r="G338" i="57" s="1"/>
  <c r="H338" i="57" s="1"/>
  <c r="D334" i="57"/>
  <c r="G334" i="57" s="1"/>
  <c r="H334" i="57" s="1"/>
  <c r="D330" i="57"/>
  <c r="G330" i="57" s="1"/>
  <c r="H330" i="57" s="1"/>
  <c r="D340" i="57"/>
  <c r="G340" i="57" s="1"/>
  <c r="H340" i="57" s="1"/>
  <c r="D336" i="57"/>
  <c r="G336" i="57" s="1"/>
  <c r="H336" i="57" s="1"/>
  <c r="D332" i="57"/>
  <c r="G332" i="57" s="1"/>
  <c r="H332" i="57" s="1"/>
  <c r="D328" i="57"/>
  <c r="G328" i="57" s="1"/>
  <c r="H328" i="57" s="1"/>
  <c r="C458" i="57"/>
  <c r="D341" i="57"/>
  <c r="G341" i="57" s="1"/>
  <c r="H341" i="57" s="1"/>
  <c r="D333" i="57"/>
  <c r="G333" i="57" s="1"/>
  <c r="H333" i="57" s="1"/>
  <c r="D326" i="57"/>
  <c r="G326" i="57" s="1"/>
  <c r="H326" i="57" s="1"/>
  <c r="D322" i="57"/>
  <c r="G322" i="57" s="1"/>
  <c r="H322" i="57" s="1"/>
  <c r="C282" i="57"/>
  <c r="A248" i="57" s="1"/>
  <c r="D335" i="57"/>
  <c r="G335" i="57" s="1"/>
  <c r="H335" i="57" s="1"/>
  <c r="D323" i="57"/>
  <c r="G323" i="57" s="1"/>
  <c r="H323" i="57" s="1"/>
  <c r="D337" i="57"/>
  <c r="G337" i="57" s="1"/>
  <c r="H337" i="57" s="1"/>
  <c r="D327" i="57"/>
  <c r="G327" i="57" s="1"/>
  <c r="H327" i="57" s="1"/>
  <c r="D324" i="57"/>
  <c r="G324" i="57" s="1"/>
  <c r="H324" i="57" s="1"/>
  <c r="C303" i="57"/>
  <c r="C304" i="57" s="1"/>
  <c r="D329" i="57"/>
  <c r="G329" i="57" s="1"/>
  <c r="H329" i="57" s="1"/>
  <c r="D321" i="57"/>
  <c r="G321" i="57" s="1"/>
  <c r="H321" i="57" s="1"/>
  <c r="D331" i="57"/>
  <c r="G331" i="57" s="1"/>
  <c r="H331" i="57" s="1"/>
  <c r="D325" i="57"/>
  <c r="G325" i="57" s="1"/>
  <c r="H325" i="57" s="1"/>
  <c r="C314" i="57"/>
  <c r="C315" i="57" s="1"/>
  <c r="D339" i="57"/>
  <c r="G339" i="57" s="1"/>
  <c r="H339" i="57" s="1"/>
  <c r="C323" i="56"/>
  <c r="C324" i="56" s="1"/>
  <c r="C386" i="56"/>
  <c r="C387" i="56" s="1"/>
  <c r="C388" i="56" s="1"/>
  <c r="C393" i="56"/>
  <c r="C394" i="56" s="1"/>
  <c r="C395" i="56" s="1"/>
  <c r="C317" i="56"/>
  <c r="D317" i="56" s="1"/>
  <c r="D363" i="56" s="1"/>
  <c r="B477" i="56" s="1"/>
  <c r="C644" i="56"/>
  <c r="C330" i="56"/>
  <c r="C331" i="56" s="1"/>
  <c r="C332" i="56" s="1"/>
  <c r="C425" i="56" s="1"/>
  <c r="B363" i="56"/>
  <c r="C337" i="56"/>
  <c r="C338" i="56" s="1"/>
  <c r="C339" i="56" s="1"/>
  <c r="C430" i="56" s="1"/>
  <c r="C281" i="56"/>
  <c r="C282" i="56" s="1"/>
  <c r="C283" i="56" s="1"/>
  <c r="C274" i="56"/>
  <c r="C275" i="56" s="1"/>
  <c r="C276" i="56" s="1"/>
  <c r="C246" i="54"/>
  <c r="C252" i="54"/>
  <c r="C250" i="54"/>
  <c r="C442" i="51"/>
  <c r="C444" i="51" s="1"/>
  <c r="C498" i="51"/>
  <c r="C429" i="51"/>
  <c r="C430" i="51" s="1"/>
  <c r="C421" i="51"/>
  <c r="C413" i="51"/>
  <c r="C387" i="51"/>
  <c r="D387" i="51" s="1"/>
  <c r="E387" i="51" s="1"/>
  <c r="D384" i="51"/>
  <c r="E384" i="51" s="1"/>
  <c r="F462" i="51"/>
  <c r="G462" i="51" s="1"/>
  <c r="F460" i="51"/>
  <c r="G460" i="51" s="1"/>
  <c r="H460" i="51" s="1"/>
  <c r="F458" i="51"/>
  <c r="G458" i="51" s="1"/>
  <c r="H458" i="51" s="1"/>
  <c r="F456" i="51"/>
  <c r="G456" i="51" s="1"/>
  <c r="H456" i="51" s="1"/>
  <c r="F454" i="51"/>
  <c r="G454" i="51" s="1"/>
  <c r="H454" i="51" s="1"/>
  <c r="F452" i="51"/>
  <c r="G452" i="51" s="1"/>
  <c r="H452" i="51" s="1"/>
  <c r="F465" i="51"/>
  <c r="G465" i="51" s="1"/>
  <c r="H465" i="51" s="1"/>
  <c r="F466" i="51"/>
  <c r="G466" i="51" s="1"/>
  <c r="F455" i="51"/>
  <c r="G455" i="51" s="1"/>
  <c r="H455" i="51" s="1"/>
  <c r="F461" i="51"/>
  <c r="G461" i="51" s="1"/>
  <c r="H461" i="51" s="1"/>
  <c r="F453" i="51"/>
  <c r="G453" i="51" s="1"/>
  <c r="C477" i="51"/>
  <c r="F459" i="51"/>
  <c r="G459" i="51" s="1"/>
  <c r="H459" i="51" s="1"/>
  <c r="F464" i="51"/>
  <c r="G464" i="51" s="1"/>
  <c r="F457" i="51"/>
  <c r="G457" i="51" s="1"/>
  <c r="F463" i="51"/>
  <c r="G463" i="51" s="1"/>
  <c r="H463" i="51" s="1"/>
  <c r="F116" i="1" l="1"/>
  <c r="K132" i="1"/>
  <c r="C285" i="56"/>
  <c r="D81" i="2"/>
  <c r="B88" i="2"/>
  <c r="H464" i="51"/>
  <c r="B515" i="51"/>
  <c r="B449" i="56"/>
  <c r="B519" i="56" s="1"/>
  <c r="B612" i="56" s="1"/>
  <c r="F612" i="56" s="1"/>
  <c r="H505" i="57"/>
  <c r="B556" i="57"/>
  <c r="C278" i="56"/>
  <c r="C389" i="50"/>
  <c r="E389" i="50" s="1"/>
  <c r="F389" i="50" s="1"/>
  <c r="C404" i="50"/>
  <c r="E404" i="50" s="1"/>
  <c r="F404" i="50" s="1"/>
  <c r="C398" i="50"/>
  <c r="E398" i="50" s="1"/>
  <c r="F398" i="50" s="1"/>
  <c r="C393" i="50"/>
  <c r="E393" i="50" s="1"/>
  <c r="F393" i="50" s="1"/>
  <c r="C322" i="50"/>
  <c r="C401" i="50"/>
  <c r="E401" i="50" s="1"/>
  <c r="F401" i="50" s="1"/>
  <c r="C405" i="50"/>
  <c r="E405" i="50" s="1"/>
  <c r="F405" i="50" s="1"/>
  <c r="C336" i="50"/>
  <c r="C339" i="50" s="1"/>
  <c r="C400" i="50"/>
  <c r="E400" i="50" s="1"/>
  <c r="F400" i="50" s="1"/>
  <c r="C406" i="50"/>
  <c r="E406" i="50" s="1"/>
  <c r="F406" i="50" s="1"/>
  <c r="C396" i="50"/>
  <c r="E396" i="50" s="1"/>
  <c r="F396" i="50" s="1"/>
  <c r="C390" i="50"/>
  <c r="E390" i="50" s="1"/>
  <c r="F390" i="50" s="1"/>
  <c r="C388" i="50"/>
  <c r="E388" i="50" s="1"/>
  <c r="F388" i="50" s="1"/>
  <c r="C397" i="50"/>
  <c r="E397" i="50" s="1"/>
  <c r="F397" i="50" s="1"/>
  <c r="C403" i="50"/>
  <c r="E403" i="50" s="1"/>
  <c r="F403" i="50" s="1"/>
  <c r="C399" i="50"/>
  <c r="E399" i="50" s="1"/>
  <c r="F399" i="50" s="1"/>
  <c r="C395" i="50"/>
  <c r="E395" i="50" s="1"/>
  <c r="F395" i="50" s="1"/>
  <c r="C392" i="50"/>
  <c r="E392" i="50" s="1"/>
  <c r="F392" i="50" s="1"/>
  <c r="C385" i="50"/>
  <c r="E385" i="50" s="1"/>
  <c r="F385" i="50" s="1"/>
  <c r="C387" i="50"/>
  <c r="E387" i="50" s="1"/>
  <c r="F387" i="50" s="1"/>
  <c r="C402" i="50"/>
  <c r="E402" i="50" s="1"/>
  <c r="F402" i="50" s="1"/>
  <c r="C386" i="50"/>
  <c r="E386" i="50" s="1"/>
  <c r="F386" i="50" s="1"/>
  <c r="C391" i="50"/>
  <c r="E391" i="50" s="1"/>
  <c r="F391" i="50" s="1"/>
  <c r="C363" i="56"/>
  <c r="C267" i="54"/>
  <c r="F353" i="56"/>
  <c r="C340" i="56"/>
  <c r="C341" i="56" s="1"/>
  <c r="F355" i="56"/>
  <c r="F362" i="56"/>
  <c r="F360" i="56"/>
  <c r="F352" i="56"/>
  <c r="C396" i="56"/>
  <c r="C397" i="56" s="1"/>
  <c r="F364" i="56"/>
  <c r="F348" i="56"/>
  <c r="F358" i="56"/>
  <c r="F361" i="56"/>
  <c r="F356" i="56"/>
  <c r="F350" i="56"/>
  <c r="C333" i="56"/>
  <c r="C334" i="56" s="1"/>
  <c r="F354" i="56"/>
  <c r="F357" i="56"/>
  <c r="C389" i="56"/>
  <c r="C390" i="56" s="1"/>
  <c r="F349" i="56"/>
  <c r="F359" i="56"/>
  <c r="C380" i="56"/>
  <c r="F363" i="56"/>
  <c r="K363" i="56" s="1"/>
  <c r="L363" i="56" s="1"/>
  <c r="F351" i="56"/>
  <c r="C483" i="57"/>
  <c r="C485" i="57" s="1"/>
  <c r="C539" i="57"/>
  <c r="C470" i="57"/>
  <c r="C471" i="57" s="1"/>
  <c r="C462" i="57"/>
  <c r="C454" i="57"/>
  <c r="H507" i="57"/>
  <c r="B557" i="57"/>
  <c r="C544" i="57"/>
  <c r="C545" i="57" s="1"/>
  <c r="C547" i="57" s="1"/>
  <c r="B553" i="57" s="1"/>
  <c r="C520" i="57"/>
  <c r="H498" i="57"/>
  <c r="B554" i="57"/>
  <c r="E350" i="56"/>
  <c r="G350" i="56" s="1"/>
  <c r="H350" i="56" s="1"/>
  <c r="E356" i="56"/>
  <c r="G356" i="56" s="1"/>
  <c r="H356" i="56" s="1"/>
  <c r="E360" i="56"/>
  <c r="G360" i="56" s="1"/>
  <c r="H360" i="56" s="1"/>
  <c r="E355" i="56"/>
  <c r="G355" i="56" s="1"/>
  <c r="H355" i="56" s="1"/>
  <c r="E349" i="56"/>
  <c r="G349" i="56" s="1"/>
  <c r="H349" i="56" s="1"/>
  <c r="E364" i="56"/>
  <c r="G364" i="56" s="1"/>
  <c r="H364" i="56" s="1"/>
  <c r="E353" i="56"/>
  <c r="G353" i="56" s="1"/>
  <c r="H353" i="56" s="1"/>
  <c r="E354" i="56"/>
  <c r="G354" i="56" s="1"/>
  <c r="H354" i="56" s="1"/>
  <c r="E358" i="56"/>
  <c r="G358" i="56" s="1"/>
  <c r="H358" i="56" s="1"/>
  <c r="E363" i="56"/>
  <c r="G363" i="56" s="1"/>
  <c r="H363" i="56" s="1"/>
  <c r="E362" i="56"/>
  <c r="G362" i="56" s="1"/>
  <c r="H362" i="56" s="1"/>
  <c r="E352" i="56"/>
  <c r="G352" i="56" s="1"/>
  <c r="H352" i="56" s="1"/>
  <c r="E348" i="56"/>
  <c r="G348" i="56" s="1"/>
  <c r="H348" i="56" s="1"/>
  <c r="E351" i="56"/>
  <c r="G351" i="56" s="1"/>
  <c r="H351" i="56" s="1"/>
  <c r="E359" i="56"/>
  <c r="G359" i="56" s="1"/>
  <c r="H359" i="56" s="1"/>
  <c r="E361" i="56"/>
  <c r="G361" i="56" s="1"/>
  <c r="H361" i="56" s="1"/>
  <c r="E357" i="56"/>
  <c r="G357" i="56" s="1"/>
  <c r="H357" i="56" s="1"/>
  <c r="H494" i="57"/>
  <c r="B552" i="57"/>
  <c r="B555" i="57"/>
  <c r="H503" i="57"/>
  <c r="H453" i="51"/>
  <c r="B511" i="51"/>
  <c r="C503" i="51"/>
  <c r="C504" i="51" s="1"/>
  <c r="C506" i="51" s="1"/>
  <c r="B512" i="51" s="1"/>
  <c r="C479" i="51"/>
  <c r="C481" i="51" s="1"/>
  <c r="C482" i="51" s="1"/>
  <c r="B514" i="51"/>
  <c r="H462" i="51"/>
  <c r="H457" i="51"/>
  <c r="B513" i="51"/>
  <c r="H466" i="51"/>
  <c r="B516" i="51"/>
  <c r="C471" i="51"/>
  <c r="C445" i="51"/>
  <c r="C446" i="51" s="1"/>
  <c r="C439" i="51"/>
  <c r="C440" i="51" s="1"/>
  <c r="B462" i="17"/>
  <c r="C144" i="48"/>
  <c r="C143" i="48"/>
  <c r="C135" i="48"/>
  <c r="C134" i="48"/>
  <c r="C127" i="48"/>
  <c r="C126" i="48"/>
  <c r="C145" i="48"/>
  <c r="C136" i="48"/>
  <c r="C128" i="48"/>
  <c r="C117" i="48"/>
  <c r="C116" i="48"/>
  <c r="C115" i="48"/>
  <c r="E47" i="48"/>
  <c r="C95" i="48" s="1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53" i="48"/>
  <c r="D208" i="48"/>
  <c r="C208" i="48"/>
  <c r="D207" i="48"/>
  <c r="C207" i="48"/>
  <c r="D206" i="48"/>
  <c r="C206" i="48"/>
  <c r="D205" i="48"/>
  <c r="C205" i="48"/>
  <c r="D204" i="48"/>
  <c r="C204" i="48"/>
  <c r="D203" i="48"/>
  <c r="C203" i="48"/>
  <c r="C188" i="48"/>
  <c r="C101" i="48"/>
  <c r="C146" i="48" s="1"/>
  <c r="B96" i="48"/>
  <c r="G53" i="48"/>
  <c r="B226" i="46"/>
  <c r="D634" i="46"/>
  <c r="C634" i="46"/>
  <c r="D633" i="46"/>
  <c r="C633" i="46"/>
  <c r="D632" i="46"/>
  <c r="C632" i="46"/>
  <c r="D631" i="46"/>
  <c r="C631" i="46"/>
  <c r="D630" i="46"/>
  <c r="C630" i="46"/>
  <c r="D629" i="46"/>
  <c r="C629" i="46"/>
  <c r="C608" i="46"/>
  <c r="C519" i="46"/>
  <c r="B514" i="46"/>
  <c r="D591" i="46" s="1"/>
  <c r="C462" i="46"/>
  <c r="C547" i="46" s="1"/>
  <c r="B462" i="46"/>
  <c r="C395" i="46"/>
  <c r="C387" i="46"/>
  <c r="C379" i="46"/>
  <c r="C377" i="46"/>
  <c r="C375" i="46"/>
  <c r="C373" i="46"/>
  <c r="C360" i="46"/>
  <c r="C353" i="46"/>
  <c r="C339" i="46"/>
  <c r="C337" i="46"/>
  <c r="C328" i="46"/>
  <c r="C277" i="46"/>
  <c r="C270" i="46"/>
  <c r="C257" i="46"/>
  <c r="C255" i="46"/>
  <c r="C246" i="46"/>
  <c r="B234" i="46"/>
  <c r="B227" i="46"/>
  <c r="B225" i="46"/>
  <c r="B224" i="46"/>
  <c r="B223" i="46"/>
  <c r="B222" i="46"/>
  <c r="B221" i="46"/>
  <c r="B220" i="46"/>
  <c r="B219" i="46"/>
  <c r="B218" i="46"/>
  <c r="B217" i="46"/>
  <c r="B216" i="46"/>
  <c r="C191" i="46"/>
  <c r="C184" i="46"/>
  <c r="C160" i="46"/>
  <c r="C158" i="46"/>
  <c r="B127" i="46"/>
  <c r="B293" i="46" s="1"/>
  <c r="D125" i="46"/>
  <c r="C84" i="46"/>
  <c r="D80" i="46"/>
  <c r="B143" i="46" s="1"/>
  <c r="D79" i="46"/>
  <c r="D138" i="46" s="1"/>
  <c r="D78" i="46"/>
  <c r="B137" i="46" s="1"/>
  <c r="D77" i="46"/>
  <c r="D76" i="46"/>
  <c r="F76" i="46" s="1"/>
  <c r="D133" i="46" s="1"/>
  <c r="D75" i="46"/>
  <c r="B132" i="46" s="1"/>
  <c r="B298" i="46" s="1"/>
  <c r="F74" i="46"/>
  <c r="D131" i="46" s="1"/>
  <c r="D74" i="46"/>
  <c r="E74" i="46" s="1"/>
  <c r="D73" i="46"/>
  <c r="D72" i="46"/>
  <c r="F72" i="46" s="1"/>
  <c r="D129" i="46" s="1"/>
  <c r="F71" i="46"/>
  <c r="D128" i="46" s="1"/>
  <c r="D71" i="46"/>
  <c r="B128" i="46" s="1"/>
  <c r="B294" i="46" s="1"/>
  <c r="F70" i="46"/>
  <c r="D127" i="46" s="1"/>
  <c r="D293" i="46" s="1"/>
  <c r="E70" i="46"/>
  <c r="C127" i="46" s="1"/>
  <c r="D70" i="46"/>
  <c r="D69" i="46"/>
  <c r="D68" i="46"/>
  <c r="F68" i="46" s="1"/>
  <c r="F67" i="46"/>
  <c r="D124" i="46" s="1"/>
  <c r="D67" i="46"/>
  <c r="B124" i="46" s="1"/>
  <c r="B290" i="46" s="1"/>
  <c r="D66" i="46"/>
  <c r="B123" i="46" s="1"/>
  <c r="C31" i="46"/>
  <c r="C26" i="46"/>
  <c r="C25" i="46"/>
  <c r="C23" i="46"/>
  <c r="C22" i="46"/>
  <c r="C51" i="46" s="1"/>
  <c r="B226" i="38"/>
  <c r="B150" i="25"/>
  <c r="B169" i="37"/>
  <c r="B226" i="44"/>
  <c r="B226" i="35"/>
  <c r="B226" i="17"/>
  <c r="B325" i="45"/>
  <c r="B322" i="42"/>
  <c r="B233" i="30"/>
  <c r="B236" i="40"/>
  <c r="B324" i="13"/>
  <c r="D653" i="45"/>
  <c r="C653" i="45"/>
  <c r="D652" i="45"/>
  <c r="C652" i="45"/>
  <c r="D651" i="45"/>
  <c r="C651" i="45"/>
  <c r="D650" i="45"/>
  <c r="C650" i="45"/>
  <c r="D649" i="45"/>
  <c r="C649" i="45"/>
  <c r="D648" i="45"/>
  <c r="C648" i="45"/>
  <c r="C627" i="45"/>
  <c r="C533" i="45"/>
  <c r="B528" i="45"/>
  <c r="E496" i="45"/>
  <c r="D496" i="45"/>
  <c r="E495" i="45"/>
  <c r="D495" i="45"/>
  <c r="F495" i="45" s="1"/>
  <c r="D517" i="45" s="1"/>
  <c r="D612" i="45" s="1"/>
  <c r="F494" i="45"/>
  <c r="D516" i="45" s="1"/>
  <c r="D611" i="45" s="1"/>
  <c r="E494" i="45"/>
  <c r="C636" i="45" s="1"/>
  <c r="D494" i="45"/>
  <c r="B636" i="45" s="1"/>
  <c r="E493" i="45"/>
  <c r="D493" i="45"/>
  <c r="E492" i="45"/>
  <c r="D492" i="45"/>
  <c r="E491" i="45"/>
  <c r="F491" i="45" s="1"/>
  <c r="D511" i="45" s="1"/>
  <c r="D608" i="45" s="1"/>
  <c r="D491" i="45"/>
  <c r="E490" i="45"/>
  <c r="D490" i="45"/>
  <c r="E489" i="45"/>
  <c r="D489" i="45"/>
  <c r="E488" i="45"/>
  <c r="D488" i="45"/>
  <c r="F488" i="45" s="1"/>
  <c r="D508" i="45" s="1"/>
  <c r="D605" i="45" s="1"/>
  <c r="E487" i="45"/>
  <c r="F487" i="45" s="1"/>
  <c r="D507" i="45" s="1"/>
  <c r="D604" i="45" s="1"/>
  <c r="D487" i="45"/>
  <c r="E486" i="45"/>
  <c r="D486" i="45"/>
  <c r="F486" i="45" s="1"/>
  <c r="D506" i="45" s="1"/>
  <c r="D603" i="45" s="1"/>
  <c r="E485" i="45"/>
  <c r="C635" i="45" s="1"/>
  <c r="D485" i="45"/>
  <c r="E484" i="45"/>
  <c r="D484" i="45"/>
  <c r="E483" i="45"/>
  <c r="D483" i="45"/>
  <c r="F483" i="45" s="1"/>
  <c r="D503" i="45" s="1"/>
  <c r="D600" i="45" s="1"/>
  <c r="E482" i="45"/>
  <c r="F482" i="45" s="1"/>
  <c r="D502" i="45" s="1"/>
  <c r="D599" i="45" s="1"/>
  <c r="D482" i="45"/>
  <c r="C475" i="45"/>
  <c r="B475" i="45"/>
  <c r="B462" i="45"/>
  <c r="B457" i="45"/>
  <c r="B455" i="45"/>
  <c r="C409" i="45"/>
  <c r="C411" i="45" s="1"/>
  <c r="C407" i="45"/>
  <c r="C405" i="45"/>
  <c r="C395" i="45"/>
  <c r="C346" i="45"/>
  <c r="B328" i="45"/>
  <c r="B326" i="45"/>
  <c r="B324" i="45"/>
  <c r="B323" i="45"/>
  <c r="B322" i="45"/>
  <c r="B321" i="45"/>
  <c r="B320" i="45"/>
  <c r="B319" i="45"/>
  <c r="B318" i="45"/>
  <c r="B317" i="45"/>
  <c r="B316" i="45"/>
  <c r="B315" i="45"/>
  <c r="C290" i="45"/>
  <c r="C277" i="45"/>
  <c r="C275" i="45"/>
  <c r="B233" i="45"/>
  <c r="B232" i="45"/>
  <c r="B231" i="45"/>
  <c r="B230" i="45"/>
  <c r="B229" i="45"/>
  <c r="B225" i="45"/>
  <c r="C190" i="45"/>
  <c r="C192" i="45" s="1"/>
  <c r="C188" i="45"/>
  <c r="C186" i="45"/>
  <c r="C172" i="45"/>
  <c r="B131" i="45"/>
  <c r="E80" i="45"/>
  <c r="C144" i="45" s="1"/>
  <c r="D80" i="45"/>
  <c r="F80" i="45" s="1"/>
  <c r="D144" i="45" s="1"/>
  <c r="D79" i="45"/>
  <c r="D139" i="45" s="1"/>
  <c r="D78" i="45"/>
  <c r="E78" i="45" s="1"/>
  <c r="C138" i="45" s="1"/>
  <c r="B228" i="45" s="1"/>
  <c r="D77" i="45"/>
  <c r="B135" i="45" s="1"/>
  <c r="B251" i="45" s="1"/>
  <c r="D76" i="45"/>
  <c r="D75" i="45"/>
  <c r="F74" i="45"/>
  <c r="D132" i="45" s="1"/>
  <c r="D74" i="45"/>
  <c r="B132" i="45" s="1"/>
  <c r="F73" i="45"/>
  <c r="D131" i="45" s="1"/>
  <c r="B247" i="45" s="1"/>
  <c r="E73" i="45"/>
  <c r="C131" i="45" s="1"/>
  <c r="D73" i="45"/>
  <c r="D72" i="45"/>
  <c r="F72" i="45" s="1"/>
  <c r="D130" i="45" s="1"/>
  <c r="D71" i="45"/>
  <c r="D70" i="45"/>
  <c r="F70" i="45" s="1"/>
  <c r="D128" i="45" s="1"/>
  <c r="D69" i="45"/>
  <c r="D68" i="45"/>
  <c r="B126" i="45" s="1"/>
  <c r="F67" i="45"/>
  <c r="D125" i="45" s="1"/>
  <c r="B241" i="45" s="1"/>
  <c r="D67" i="45"/>
  <c r="E67" i="45" s="1"/>
  <c r="C125" i="45" s="1"/>
  <c r="D66" i="45"/>
  <c r="F66" i="45" s="1"/>
  <c r="D124" i="45" s="1"/>
  <c r="C30" i="45"/>
  <c r="C26" i="45"/>
  <c r="C23" i="45"/>
  <c r="C22" i="45"/>
  <c r="C38" i="45" s="1"/>
  <c r="B237" i="40"/>
  <c r="B238" i="40"/>
  <c r="B234" i="30"/>
  <c r="B235" i="30"/>
  <c r="B323" i="13"/>
  <c r="D634" i="44"/>
  <c r="C634" i="44"/>
  <c r="D633" i="44"/>
  <c r="C633" i="44"/>
  <c r="D632" i="44"/>
  <c r="C632" i="44"/>
  <c r="D631" i="44"/>
  <c r="C631" i="44"/>
  <c r="D630" i="44"/>
  <c r="C630" i="44"/>
  <c r="D629" i="44"/>
  <c r="C629" i="44"/>
  <c r="C608" i="44"/>
  <c r="C534" i="44"/>
  <c r="C519" i="44"/>
  <c r="B514" i="44"/>
  <c r="D514" i="44" s="1"/>
  <c r="E514" i="44" s="1"/>
  <c r="E476" i="44"/>
  <c r="C462" i="44"/>
  <c r="E480" i="44" s="1"/>
  <c r="C617" i="44" s="1"/>
  <c r="B462" i="44"/>
  <c r="D479" i="44" s="1"/>
  <c r="C395" i="44"/>
  <c r="C387" i="44"/>
  <c r="C384" i="44"/>
  <c r="C379" i="44"/>
  <c r="C377" i="44"/>
  <c r="C375" i="44"/>
  <c r="C373" i="44"/>
  <c r="C360" i="44"/>
  <c r="C353" i="44"/>
  <c r="C339" i="44"/>
  <c r="C337" i="44"/>
  <c r="C328" i="44"/>
  <c r="C277" i="44"/>
  <c r="C270" i="44"/>
  <c r="C257" i="44"/>
  <c r="C255" i="44"/>
  <c r="C246" i="44"/>
  <c r="C244" i="44"/>
  <c r="B234" i="44"/>
  <c r="B227" i="44"/>
  <c r="B225" i="44"/>
  <c r="B224" i="44"/>
  <c r="B223" i="44"/>
  <c r="B222" i="44"/>
  <c r="B221" i="44"/>
  <c r="B220" i="44"/>
  <c r="B219" i="44"/>
  <c r="B218" i="44"/>
  <c r="B217" i="44"/>
  <c r="B216" i="44"/>
  <c r="C191" i="44"/>
  <c r="C184" i="44"/>
  <c r="C165" i="44"/>
  <c r="C160" i="44"/>
  <c r="C158" i="44"/>
  <c r="B130" i="44"/>
  <c r="B126" i="44"/>
  <c r="C107" i="44"/>
  <c r="D80" i="44"/>
  <c r="B143" i="44" s="1"/>
  <c r="D79" i="44"/>
  <c r="D78" i="44"/>
  <c r="E78" i="44" s="1"/>
  <c r="F77" i="44"/>
  <c r="D134" i="44" s="1"/>
  <c r="D77" i="44"/>
  <c r="E77" i="44" s="1"/>
  <c r="D76" i="44"/>
  <c r="E76" i="44" s="1"/>
  <c r="D75" i="44"/>
  <c r="D74" i="44"/>
  <c r="E74" i="44" s="1"/>
  <c r="F73" i="44"/>
  <c r="D130" i="44" s="1"/>
  <c r="D73" i="44"/>
  <c r="E73" i="44" s="1"/>
  <c r="D72" i="44"/>
  <c r="E72" i="44" s="1"/>
  <c r="D71" i="44"/>
  <c r="B128" i="44" s="1"/>
  <c r="B294" i="44" s="1"/>
  <c r="D70" i="44"/>
  <c r="E70" i="44" s="1"/>
  <c r="C127" i="44" s="1"/>
  <c r="F69" i="44"/>
  <c r="D126" i="44" s="1"/>
  <c r="D69" i="44"/>
  <c r="E69" i="44" s="1"/>
  <c r="D68" i="44"/>
  <c r="E68" i="44" s="1"/>
  <c r="C125" i="44" s="1"/>
  <c r="D67" i="44"/>
  <c r="D66" i="44"/>
  <c r="B123" i="44" s="1"/>
  <c r="B289" i="44" s="1"/>
  <c r="C51" i="44"/>
  <c r="C31" i="44"/>
  <c r="C26" i="44"/>
  <c r="C25" i="44"/>
  <c r="C86" i="44" s="1"/>
  <c r="C24" i="44"/>
  <c r="C23" i="44"/>
  <c r="C22" i="44"/>
  <c r="C92" i="44" s="1"/>
  <c r="D645" i="42"/>
  <c r="C645" i="42"/>
  <c r="D644" i="42"/>
  <c r="C644" i="42"/>
  <c r="D643" i="42"/>
  <c r="C643" i="42"/>
  <c r="D642" i="42"/>
  <c r="C642" i="42"/>
  <c r="D641" i="42"/>
  <c r="C641" i="42"/>
  <c r="D640" i="42"/>
  <c r="C640" i="42"/>
  <c r="C619" i="42"/>
  <c r="C544" i="42"/>
  <c r="C529" i="42"/>
  <c r="B524" i="42"/>
  <c r="D513" i="42"/>
  <c r="D604" i="42" s="1"/>
  <c r="D503" i="42"/>
  <c r="D596" i="42" s="1"/>
  <c r="D499" i="42"/>
  <c r="D592" i="42" s="1"/>
  <c r="C492" i="42"/>
  <c r="D514" i="42" s="1"/>
  <c r="D605" i="42" s="1"/>
  <c r="C491" i="42"/>
  <c r="C490" i="42"/>
  <c r="C489" i="42"/>
  <c r="D509" i="42" s="1"/>
  <c r="D511" i="42" s="1"/>
  <c r="D602" i="42" s="1"/>
  <c r="C488" i="42"/>
  <c r="D508" i="42" s="1"/>
  <c r="D601" i="42" s="1"/>
  <c r="C487" i="42"/>
  <c r="D507" i="42" s="1"/>
  <c r="D600" i="42" s="1"/>
  <c r="C486" i="42"/>
  <c r="D506" i="42" s="1"/>
  <c r="D599" i="42" s="1"/>
  <c r="C485" i="42"/>
  <c r="D505" i="42" s="1"/>
  <c r="D598" i="42" s="1"/>
  <c r="C484" i="42"/>
  <c r="D504" i="42" s="1"/>
  <c r="D597" i="42" s="1"/>
  <c r="C483" i="42"/>
  <c r="C482" i="42"/>
  <c r="D502" i="42" s="1"/>
  <c r="D595" i="42" s="1"/>
  <c r="C481" i="42"/>
  <c r="C480" i="42"/>
  <c r="D500" i="42" s="1"/>
  <c r="D593" i="42" s="1"/>
  <c r="C479" i="42"/>
  <c r="C478" i="42"/>
  <c r="D498" i="42" s="1"/>
  <c r="D591" i="42" s="1"/>
  <c r="B472" i="42"/>
  <c r="C557" i="42" s="1"/>
  <c r="B459" i="42"/>
  <c r="B454" i="42"/>
  <c r="B452" i="42"/>
  <c r="C406" i="42"/>
  <c r="C408" i="42" s="1"/>
  <c r="C404" i="42"/>
  <c r="C402" i="42"/>
  <c r="C392" i="42"/>
  <c r="C343" i="42"/>
  <c r="B325" i="42"/>
  <c r="B323" i="42"/>
  <c r="B321" i="42"/>
  <c r="B320" i="42"/>
  <c r="B319" i="42"/>
  <c r="B318" i="42"/>
  <c r="B317" i="42"/>
  <c r="B316" i="42"/>
  <c r="B315" i="42"/>
  <c r="B314" i="42"/>
  <c r="B313" i="42"/>
  <c r="B312" i="42"/>
  <c r="C287" i="42"/>
  <c r="C274" i="42"/>
  <c r="C272" i="42"/>
  <c r="B230" i="42"/>
  <c r="B229" i="42"/>
  <c r="B228" i="42"/>
  <c r="B227" i="42"/>
  <c r="B226" i="42"/>
  <c r="C187" i="42"/>
  <c r="C189" i="42" s="1"/>
  <c r="C185" i="42"/>
  <c r="C183" i="42"/>
  <c r="F77" i="42"/>
  <c r="E77" i="42"/>
  <c r="F76" i="42"/>
  <c r="E76" i="42"/>
  <c r="G76" i="42" s="1"/>
  <c r="B136" i="42" s="1"/>
  <c r="F75" i="42"/>
  <c r="C628" i="42" s="1"/>
  <c r="E75" i="42"/>
  <c r="D628" i="42" s="1"/>
  <c r="F74" i="42"/>
  <c r="E74" i="42"/>
  <c r="G74" i="42" s="1"/>
  <c r="B132" i="42" s="1"/>
  <c r="G73" i="42"/>
  <c r="I73" i="42" s="1"/>
  <c r="D131" i="42" s="1"/>
  <c r="F73" i="42"/>
  <c r="E73" i="42"/>
  <c r="F72" i="42"/>
  <c r="E72" i="42"/>
  <c r="G72" i="42" s="1"/>
  <c r="F71" i="42"/>
  <c r="E71" i="42"/>
  <c r="G71" i="42" s="1"/>
  <c r="F70" i="42"/>
  <c r="E70" i="42"/>
  <c r="F69" i="42"/>
  <c r="E69" i="42"/>
  <c r="G69" i="42" s="1"/>
  <c r="B127" i="42" s="1"/>
  <c r="F68" i="42"/>
  <c r="E68" i="42"/>
  <c r="F67" i="42"/>
  <c r="E67" i="42"/>
  <c r="G67" i="42" s="1"/>
  <c r="F66" i="42"/>
  <c r="C627" i="42" s="1"/>
  <c r="E66" i="42"/>
  <c r="D627" i="42" s="1"/>
  <c r="F65" i="42"/>
  <c r="E65" i="42"/>
  <c r="G65" i="42" s="1"/>
  <c r="F64" i="42"/>
  <c r="G64" i="42" s="1"/>
  <c r="E64" i="42"/>
  <c r="F63" i="42"/>
  <c r="E63" i="42"/>
  <c r="G63" i="42" s="1"/>
  <c r="H63" i="42" s="1"/>
  <c r="C22" i="42"/>
  <c r="B365" i="30"/>
  <c r="B367" i="30"/>
  <c r="B372" i="30"/>
  <c r="B236" i="30"/>
  <c r="B227" i="30"/>
  <c r="B351" i="40"/>
  <c r="B353" i="40"/>
  <c r="B358" i="40"/>
  <c r="B239" i="40"/>
  <c r="B230" i="40"/>
  <c r="B325" i="13"/>
  <c r="B317" i="13"/>
  <c r="D564" i="40"/>
  <c r="C564" i="40"/>
  <c r="D563" i="40"/>
  <c r="C563" i="40"/>
  <c r="D562" i="40"/>
  <c r="C562" i="40"/>
  <c r="D561" i="40"/>
  <c r="C561" i="40"/>
  <c r="D560" i="40"/>
  <c r="C560" i="40"/>
  <c r="D559" i="40"/>
  <c r="C559" i="40"/>
  <c r="C523" i="40"/>
  <c r="C429" i="40"/>
  <c r="B424" i="40"/>
  <c r="E506" i="40" s="1"/>
  <c r="E392" i="40"/>
  <c r="D392" i="40"/>
  <c r="E391" i="40"/>
  <c r="D391" i="40"/>
  <c r="E390" i="40"/>
  <c r="C547" i="40" s="1"/>
  <c r="D390" i="40"/>
  <c r="B547" i="40" s="1"/>
  <c r="E389" i="40"/>
  <c r="D389" i="40"/>
  <c r="E388" i="40"/>
  <c r="D388" i="40"/>
  <c r="E387" i="40"/>
  <c r="D387" i="40"/>
  <c r="E386" i="40"/>
  <c r="D386" i="40"/>
  <c r="E385" i="40"/>
  <c r="D385" i="40"/>
  <c r="E384" i="40"/>
  <c r="D384" i="40"/>
  <c r="E383" i="40"/>
  <c r="D383" i="40"/>
  <c r="E382" i="40"/>
  <c r="D382" i="40"/>
  <c r="E381" i="40"/>
  <c r="C546" i="40" s="1"/>
  <c r="D381" i="40"/>
  <c r="E380" i="40"/>
  <c r="D380" i="40"/>
  <c r="E379" i="40"/>
  <c r="D379" i="40"/>
  <c r="E378" i="40"/>
  <c r="D378" i="40"/>
  <c r="C371" i="40"/>
  <c r="C445" i="40" s="1"/>
  <c r="B371" i="40"/>
  <c r="C467" i="40" s="1"/>
  <c r="C305" i="40"/>
  <c r="C307" i="40" s="1"/>
  <c r="C303" i="40"/>
  <c r="C301" i="40"/>
  <c r="C259" i="40"/>
  <c r="B241" i="40"/>
  <c r="B235" i="40"/>
  <c r="B234" i="40"/>
  <c r="B233" i="40"/>
  <c r="B232" i="40"/>
  <c r="B231" i="40"/>
  <c r="B229" i="40"/>
  <c r="B228" i="40"/>
  <c r="C207" i="40"/>
  <c r="C205" i="40"/>
  <c r="B163" i="40"/>
  <c r="B162" i="40"/>
  <c r="B161" i="40"/>
  <c r="B160" i="40"/>
  <c r="B159" i="40"/>
  <c r="C120" i="40"/>
  <c r="C122" i="40" s="1"/>
  <c r="C118" i="40"/>
  <c r="C116" i="40"/>
  <c r="D54" i="40"/>
  <c r="F54" i="40" s="1"/>
  <c r="D102" i="40" s="1"/>
  <c r="D53" i="40"/>
  <c r="B97" i="40" s="1"/>
  <c r="D52" i="40"/>
  <c r="D51" i="40"/>
  <c r="D50" i="40"/>
  <c r="F50" i="40" s="1"/>
  <c r="D92" i="40" s="1"/>
  <c r="D49" i="40"/>
  <c r="F49" i="40" s="1"/>
  <c r="D91" i="40" s="1"/>
  <c r="D48" i="40"/>
  <c r="B90" i="40" s="1"/>
  <c r="D47" i="40"/>
  <c r="B89" i="40" s="1"/>
  <c r="D46" i="40"/>
  <c r="E46" i="40" s="1"/>
  <c r="C88" i="40" s="1"/>
  <c r="B150" i="40" s="1"/>
  <c r="D45" i="40"/>
  <c r="D44" i="40"/>
  <c r="E44" i="40" s="1"/>
  <c r="C86" i="40" s="1"/>
  <c r="D43" i="40"/>
  <c r="D42" i="40"/>
  <c r="E42" i="40" s="1"/>
  <c r="C84" i="40" s="1"/>
  <c r="D41" i="40"/>
  <c r="E41" i="40" s="1"/>
  <c r="C83" i="40" s="1"/>
  <c r="D40" i="40"/>
  <c r="F40" i="40" s="1"/>
  <c r="D82" i="40" s="1"/>
  <c r="B170" i="40" s="1"/>
  <c r="C30" i="40"/>
  <c r="C26" i="40"/>
  <c r="C23" i="40"/>
  <c r="C22" i="40"/>
  <c r="C127" i="40" s="1"/>
  <c r="D621" i="39"/>
  <c r="C621" i="39"/>
  <c r="D620" i="39"/>
  <c r="C620" i="39"/>
  <c r="D619" i="39"/>
  <c r="C619" i="39"/>
  <c r="D618" i="39"/>
  <c r="C618" i="39"/>
  <c r="D617" i="39"/>
  <c r="C617" i="39"/>
  <c r="D616" i="39"/>
  <c r="C616" i="39"/>
  <c r="C595" i="39"/>
  <c r="C520" i="39"/>
  <c r="C521" i="39" s="1"/>
  <c r="B515" i="39"/>
  <c r="B462" i="39"/>
  <c r="C395" i="39"/>
  <c r="C387" i="39"/>
  <c r="C377" i="39"/>
  <c r="C379" i="39" s="1"/>
  <c r="C375" i="39"/>
  <c r="C373" i="39"/>
  <c r="C360" i="39"/>
  <c r="C353" i="39"/>
  <c r="C339" i="39"/>
  <c r="C337" i="39"/>
  <c r="C328" i="39"/>
  <c r="C277" i="39"/>
  <c r="C270" i="39"/>
  <c r="C257" i="39"/>
  <c r="C255" i="39"/>
  <c r="C246" i="39"/>
  <c r="B234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C191" i="39"/>
  <c r="C184" i="39"/>
  <c r="C160" i="39"/>
  <c r="C158" i="39"/>
  <c r="F80" i="39"/>
  <c r="E80" i="39"/>
  <c r="F79" i="39"/>
  <c r="E79" i="39"/>
  <c r="F78" i="39"/>
  <c r="E78" i="39"/>
  <c r="G78" i="39" s="1"/>
  <c r="G77" i="39"/>
  <c r="F77" i="39"/>
  <c r="E77" i="39"/>
  <c r="F76" i="39"/>
  <c r="E76" i="39"/>
  <c r="F75" i="39"/>
  <c r="E75" i="39"/>
  <c r="G75" i="39" s="1"/>
  <c r="H75" i="39" s="1"/>
  <c r="C132" i="39" s="1"/>
  <c r="F74" i="39"/>
  <c r="E74" i="39"/>
  <c r="G73" i="39"/>
  <c r="I73" i="39" s="1"/>
  <c r="D130" i="39" s="1"/>
  <c r="F73" i="39"/>
  <c r="E73" i="39"/>
  <c r="F72" i="39"/>
  <c r="E72" i="39"/>
  <c r="G72" i="39" s="1"/>
  <c r="F71" i="39"/>
  <c r="E71" i="39"/>
  <c r="F70" i="39"/>
  <c r="E70" i="39"/>
  <c r="G70" i="39" s="1"/>
  <c r="F69" i="39"/>
  <c r="E69" i="39"/>
  <c r="F68" i="39"/>
  <c r="E68" i="39"/>
  <c r="G68" i="39" s="1"/>
  <c r="F67" i="39"/>
  <c r="E67" i="39"/>
  <c r="F66" i="39"/>
  <c r="E66" i="39"/>
  <c r="G66" i="39" s="1"/>
  <c r="C32" i="39"/>
  <c r="C26" i="39"/>
  <c r="C23" i="39"/>
  <c r="C22" i="39"/>
  <c r="C107" i="39" s="1"/>
  <c r="D634" i="38"/>
  <c r="C634" i="38"/>
  <c r="D633" i="38"/>
  <c r="C633" i="38"/>
  <c r="D632" i="38"/>
  <c r="C632" i="38"/>
  <c r="D631" i="38"/>
  <c r="C631" i="38"/>
  <c r="D630" i="38"/>
  <c r="C630" i="38"/>
  <c r="D629" i="38"/>
  <c r="C629" i="38"/>
  <c r="C608" i="38"/>
  <c r="C519" i="38"/>
  <c r="C520" i="38" s="1"/>
  <c r="C539" i="38" s="1"/>
  <c r="C569" i="38" s="1"/>
  <c r="B514" i="38"/>
  <c r="D514" i="38" s="1"/>
  <c r="E514" i="38" s="1"/>
  <c r="C462" i="38"/>
  <c r="E475" i="38" s="1"/>
  <c r="B462" i="38"/>
  <c r="C395" i="38"/>
  <c r="C387" i="38"/>
  <c r="C377" i="38"/>
  <c r="C379" i="38" s="1"/>
  <c r="C375" i="38"/>
  <c r="C373" i="38"/>
  <c r="C360" i="38"/>
  <c r="C353" i="38"/>
  <c r="C339" i="38"/>
  <c r="C337" i="38"/>
  <c r="C328" i="38"/>
  <c r="C277" i="38"/>
  <c r="C270" i="38"/>
  <c r="C257" i="38"/>
  <c r="C255" i="38"/>
  <c r="C246" i="38"/>
  <c r="B234" i="38"/>
  <c r="B227" i="38"/>
  <c r="B225" i="38"/>
  <c r="B224" i="38"/>
  <c r="B223" i="38"/>
  <c r="B222" i="38"/>
  <c r="B221" i="38"/>
  <c r="B220" i="38"/>
  <c r="B219" i="38"/>
  <c r="B218" i="38"/>
  <c r="B217" i="38"/>
  <c r="B216" i="38"/>
  <c r="C191" i="38"/>
  <c r="C184" i="38"/>
  <c r="C160" i="38"/>
  <c r="C158" i="38"/>
  <c r="B125" i="38"/>
  <c r="B291" i="38" s="1"/>
  <c r="D80" i="38"/>
  <c r="D79" i="38"/>
  <c r="D138" i="38" s="1"/>
  <c r="D78" i="38"/>
  <c r="B137" i="38" s="1"/>
  <c r="F77" i="38"/>
  <c r="D134" i="38" s="1"/>
  <c r="D77" i="38"/>
  <c r="E77" i="38" s="1"/>
  <c r="C224" i="38" s="1"/>
  <c r="D76" i="38"/>
  <c r="B133" i="38" s="1"/>
  <c r="D75" i="38"/>
  <c r="F75" i="38" s="1"/>
  <c r="D132" i="38" s="1"/>
  <c r="D298" i="38" s="1"/>
  <c r="D74" i="38"/>
  <c r="D73" i="38"/>
  <c r="B130" i="38" s="1"/>
  <c r="B296" i="38" s="1"/>
  <c r="D72" i="38"/>
  <c r="B129" i="38" s="1"/>
  <c r="B295" i="38" s="1"/>
  <c r="D71" i="38"/>
  <c r="F71" i="38" s="1"/>
  <c r="D128" i="38" s="1"/>
  <c r="D70" i="38"/>
  <c r="D69" i="38"/>
  <c r="B126" i="38" s="1"/>
  <c r="B292" i="38" s="1"/>
  <c r="F68" i="38"/>
  <c r="D125" i="38" s="1"/>
  <c r="D68" i="38"/>
  <c r="E68" i="38" s="1"/>
  <c r="C125" i="38" s="1"/>
  <c r="D67" i="38"/>
  <c r="F67" i="38" s="1"/>
  <c r="D124" i="38" s="1"/>
  <c r="D66" i="38"/>
  <c r="C31" i="38"/>
  <c r="C26" i="38"/>
  <c r="C23" i="38"/>
  <c r="C22" i="38"/>
  <c r="C181" i="38" s="1"/>
  <c r="B151" i="25"/>
  <c r="B142" i="25"/>
  <c r="D520" i="37"/>
  <c r="C520" i="37"/>
  <c r="D519" i="37"/>
  <c r="C519" i="37"/>
  <c r="D518" i="37"/>
  <c r="C518" i="37"/>
  <c r="D517" i="37"/>
  <c r="C517" i="37"/>
  <c r="D516" i="37"/>
  <c r="C516" i="37"/>
  <c r="D515" i="37"/>
  <c r="C515" i="37"/>
  <c r="C484" i="37"/>
  <c r="C395" i="37"/>
  <c r="C499" i="37" s="1"/>
  <c r="B390" i="37"/>
  <c r="D390" i="37" s="1"/>
  <c r="E390" i="37" s="1"/>
  <c r="C338" i="37"/>
  <c r="C431" i="37" s="1"/>
  <c r="B338" i="37"/>
  <c r="D355" i="37" s="1"/>
  <c r="C271" i="37"/>
  <c r="C263" i="37"/>
  <c r="C253" i="37"/>
  <c r="C255" i="37" s="1"/>
  <c r="C251" i="37"/>
  <c r="C249" i="37"/>
  <c r="C197" i="37"/>
  <c r="C190" i="37"/>
  <c r="B177" i="37"/>
  <c r="B170" i="37"/>
  <c r="B168" i="37"/>
  <c r="B167" i="37"/>
  <c r="B166" i="37"/>
  <c r="B165" i="37"/>
  <c r="B164" i="37"/>
  <c r="B163" i="37"/>
  <c r="B162" i="37"/>
  <c r="B161" i="37"/>
  <c r="B160" i="37"/>
  <c r="B159" i="37"/>
  <c r="C134" i="37"/>
  <c r="C127" i="37"/>
  <c r="C119" i="37"/>
  <c r="C117" i="37"/>
  <c r="D54" i="37"/>
  <c r="D53" i="37"/>
  <c r="D52" i="37"/>
  <c r="D51" i="37"/>
  <c r="B93" i="37" s="1"/>
  <c r="D50" i="37"/>
  <c r="B92" i="37" s="1"/>
  <c r="B219" i="37" s="1"/>
  <c r="D49" i="37"/>
  <c r="F49" i="37" s="1"/>
  <c r="D91" i="37" s="1"/>
  <c r="D48" i="37"/>
  <c r="D47" i="37"/>
  <c r="B89" i="37" s="1"/>
  <c r="D46" i="37"/>
  <c r="B88" i="37" s="1"/>
  <c r="B215" i="37" s="1"/>
  <c r="D45" i="37"/>
  <c r="F45" i="37" s="1"/>
  <c r="D87" i="37" s="1"/>
  <c r="D44" i="37"/>
  <c r="D43" i="37"/>
  <c r="E43" i="37" s="1"/>
  <c r="D42" i="37"/>
  <c r="B84" i="37" s="1"/>
  <c r="B211" i="37" s="1"/>
  <c r="D41" i="37"/>
  <c r="F41" i="37" s="1"/>
  <c r="D83" i="37" s="1"/>
  <c r="D40" i="37"/>
  <c r="C31" i="37"/>
  <c r="C26" i="37"/>
  <c r="C23" i="37"/>
  <c r="C22" i="37"/>
  <c r="D634" i="36"/>
  <c r="C634" i="36"/>
  <c r="D633" i="36"/>
  <c r="C633" i="36"/>
  <c r="D632" i="36"/>
  <c r="C632" i="36"/>
  <c r="D631" i="36"/>
  <c r="C631" i="36"/>
  <c r="D630" i="36"/>
  <c r="C630" i="36"/>
  <c r="D629" i="36"/>
  <c r="C629" i="36"/>
  <c r="C608" i="36"/>
  <c r="C563" i="36"/>
  <c r="C533" i="36"/>
  <c r="C519" i="36"/>
  <c r="C520" i="36" s="1"/>
  <c r="C539" i="36" s="1"/>
  <c r="C569" i="36" s="1"/>
  <c r="B514" i="36"/>
  <c r="D514" i="36" s="1"/>
  <c r="E514" i="36" s="1"/>
  <c r="D482" i="36"/>
  <c r="D479" i="36"/>
  <c r="D477" i="36"/>
  <c r="D475" i="36"/>
  <c r="D473" i="36"/>
  <c r="C462" i="36"/>
  <c r="C534" i="36" s="1"/>
  <c r="B462" i="36"/>
  <c r="D470" i="36" s="1"/>
  <c r="C395" i="36"/>
  <c r="C387" i="36"/>
  <c r="C379" i="36"/>
  <c r="C377" i="36"/>
  <c r="C375" i="36"/>
  <c r="C373" i="36"/>
  <c r="C360" i="36"/>
  <c r="C353" i="36"/>
  <c r="C339" i="36"/>
  <c r="C337" i="36"/>
  <c r="C328" i="36"/>
  <c r="C277" i="36"/>
  <c r="C270" i="36"/>
  <c r="C257" i="36"/>
  <c r="C255" i="36"/>
  <c r="C246" i="36"/>
  <c r="C191" i="36"/>
  <c r="C184" i="36"/>
  <c r="C160" i="36"/>
  <c r="C158" i="36"/>
  <c r="B143" i="36"/>
  <c r="B133" i="36"/>
  <c r="B130" i="36"/>
  <c r="B296" i="36" s="1"/>
  <c r="F80" i="36"/>
  <c r="D143" i="36" s="1"/>
  <c r="D80" i="36"/>
  <c r="E80" i="36" s="1"/>
  <c r="D79" i="36"/>
  <c r="B138" i="36" s="1"/>
  <c r="D78" i="36"/>
  <c r="E78" i="36" s="1"/>
  <c r="D77" i="36"/>
  <c r="E77" i="36" s="1"/>
  <c r="E76" i="36"/>
  <c r="C133" i="36" s="1"/>
  <c r="D76" i="36"/>
  <c r="F76" i="36" s="1"/>
  <c r="D133" i="36" s="1"/>
  <c r="D75" i="36"/>
  <c r="D74" i="36"/>
  <c r="F74" i="36" s="1"/>
  <c r="D131" i="36" s="1"/>
  <c r="F73" i="36"/>
  <c r="D130" i="36" s="1"/>
  <c r="E73" i="36"/>
  <c r="C221" i="36" s="1"/>
  <c r="D221" i="36" s="1"/>
  <c r="D73" i="36"/>
  <c r="D72" i="36"/>
  <c r="B129" i="36" s="1"/>
  <c r="D71" i="36"/>
  <c r="E71" i="36" s="1"/>
  <c r="D70" i="36"/>
  <c r="F70" i="36" s="1"/>
  <c r="D127" i="36" s="1"/>
  <c r="D69" i="36"/>
  <c r="E69" i="36" s="1"/>
  <c r="D616" i="36" s="1"/>
  <c r="E68" i="36"/>
  <c r="C125" i="36" s="1"/>
  <c r="D68" i="36"/>
  <c r="B125" i="36" s="1"/>
  <c r="D67" i="36"/>
  <c r="F67" i="36" s="1"/>
  <c r="D124" i="36" s="1"/>
  <c r="D66" i="36"/>
  <c r="F66" i="36" s="1"/>
  <c r="D123" i="36" s="1"/>
  <c r="C31" i="36"/>
  <c r="C26" i="36"/>
  <c r="C23" i="36"/>
  <c r="C22" i="36"/>
  <c r="C326" i="36" s="1"/>
  <c r="D634" i="35"/>
  <c r="C634" i="35"/>
  <c r="D633" i="35"/>
  <c r="C633" i="35"/>
  <c r="D632" i="35"/>
  <c r="C632" i="35"/>
  <c r="D631" i="35"/>
  <c r="C631" i="35"/>
  <c r="D630" i="35"/>
  <c r="C630" i="35"/>
  <c r="D629" i="35"/>
  <c r="C629" i="35"/>
  <c r="C608" i="35"/>
  <c r="C554" i="35"/>
  <c r="C519" i="35"/>
  <c r="C565" i="35" s="1"/>
  <c r="B514" i="35"/>
  <c r="D591" i="35" s="1"/>
  <c r="D482" i="35"/>
  <c r="D478" i="35"/>
  <c r="D477" i="35"/>
  <c r="D474" i="35"/>
  <c r="D473" i="35"/>
  <c r="D469" i="35"/>
  <c r="D468" i="35"/>
  <c r="C462" i="35"/>
  <c r="E474" i="35" s="1"/>
  <c r="F474" i="35" s="1"/>
  <c r="B462" i="35"/>
  <c r="C533" i="35" s="1"/>
  <c r="C395" i="35"/>
  <c r="C387" i="35"/>
  <c r="C377" i="35"/>
  <c r="C379" i="35" s="1"/>
  <c r="C375" i="35"/>
  <c r="C373" i="35"/>
  <c r="C360" i="35"/>
  <c r="C353" i="35"/>
  <c r="C339" i="35"/>
  <c r="C337" i="35"/>
  <c r="C328" i="35"/>
  <c r="C277" i="35"/>
  <c r="C270" i="35"/>
  <c r="C257" i="35"/>
  <c r="C255" i="35"/>
  <c r="C246" i="35"/>
  <c r="B234" i="35"/>
  <c r="B227" i="35"/>
  <c r="B225" i="35"/>
  <c r="B224" i="35"/>
  <c r="B223" i="35"/>
  <c r="B222" i="35"/>
  <c r="B221" i="35"/>
  <c r="B220" i="35"/>
  <c r="B219" i="35"/>
  <c r="B218" i="35"/>
  <c r="B217" i="35"/>
  <c r="B216" i="35"/>
  <c r="C191" i="35"/>
  <c r="C184" i="35"/>
  <c r="C160" i="35"/>
  <c r="C158" i="35"/>
  <c r="B133" i="35"/>
  <c r="B299" i="35" s="1"/>
  <c r="D80" i="35"/>
  <c r="B143" i="35" s="1"/>
  <c r="D79" i="35"/>
  <c r="D138" i="35" s="1"/>
  <c r="D78" i="35"/>
  <c r="B137" i="35" s="1"/>
  <c r="B303" i="35" s="1"/>
  <c r="D77" i="35"/>
  <c r="B134" i="35" s="1"/>
  <c r="B300" i="35" s="1"/>
  <c r="D76" i="35"/>
  <c r="E76" i="35" s="1"/>
  <c r="D75" i="35"/>
  <c r="F75" i="35" s="1"/>
  <c r="D132" i="35" s="1"/>
  <c r="D74" i="35"/>
  <c r="F74" i="35" s="1"/>
  <c r="D131" i="35" s="1"/>
  <c r="D73" i="35"/>
  <c r="B130" i="35" s="1"/>
  <c r="B296" i="35" s="1"/>
  <c r="F72" i="35"/>
  <c r="D129" i="35" s="1"/>
  <c r="D72" i="35"/>
  <c r="B129" i="35" s="1"/>
  <c r="D71" i="35"/>
  <c r="B128" i="35" s="1"/>
  <c r="D70" i="35"/>
  <c r="B127" i="35" s="1"/>
  <c r="D69" i="35"/>
  <c r="B126" i="35" s="1"/>
  <c r="B292" i="35" s="1"/>
  <c r="D68" i="35"/>
  <c r="B125" i="35" s="1"/>
  <c r="D67" i="35"/>
  <c r="F67" i="35" s="1"/>
  <c r="D124" i="35" s="1"/>
  <c r="D66" i="35"/>
  <c r="F66" i="35" s="1"/>
  <c r="D123" i="35" s="1"/>
  <c r="C31" i="35"/>
  <c r="C26" i="35"/>
  <c r="C23" i="35"/>
  <c r="C22" i="35"/>
  <c r="B459" i="13"/>
  <c r="B452" i="13"/>
  <c r="B454" i="13"/>
  <c r="D368" i="13"/>
  <c r="B461" i="13" s="1"/>
  <c r="D360" i="13"/>
  <c r="B453" i="13" s="1"/>
  <c r="B227" i="17"/>
  <c r="B218" i="17"/>
  <c r="C375" i="17"/>
  <c r="D392" i="50" l="1"/>
  <c r="G392" i="50" s="1"/>
  <c r="H392" i="50" s="1"/>
  <c r="C139" i="1"/>
  <c r="F107" i="1"/>
  <c r="C522" i="57"/>
  <c r="C523" i="57" s="1"/>
  <c r="D140" i="1"/>
  <c r="C124" i="1"/>
  <c r="B124" i="1"/>
  <c r="G116" i="1"/>
  <c r="F378" i="40"/>
  <c r="D398" i="40" s="1"/>
  <c r="D495" i="40" s="1"/>
  <c r="F380" i="40"/>
  <c r="D400" i="40" s="1"/>
  <c r="D497" i="40" s="1"/>
  <c r="F388" i="40"/>
  <c r="D408" i="40" s="1"/>
  <c r="D505" i="40" s="1"/>
  <c r="F392" i="40"/>
  <c r="D414" i="40" s="1"/>
  <c r="D509" i="40" s="1"/>
  <c r="B455" i="56"/>
  <c r="B525" i="56" s="1"/>
  <c r="E519" i="56"/>
  <c r="E447" i="50"/>
  <c r="F447" i="50" s="1"/>
  <c r="G447" i="50" s="1"/>
  <c r="C462" i="50"/>
  <c r="C465" i="50" s="1"/>
  <c r="D465" i="50" s="1"/>
  <c r="E465" i="50" s="1"/>
  <c r="C371" i="50"/>
  <c r="E371" i="50" s="1"/>
  <c r="F371" i="50" s="1"/>
  <c r="C326" i="50"/>
  <c r="C347" i="50" s="1"/>
  <c r="C350" i="50" s="1"/>
  <c r="C520" i="50" s="1"/>
  <c r="D397" i="50"/>
  <c r="G397" i="50" s="1"/>
  <c r="H397" i="50" s="1"/>
  <c r="E448" i="50"/>
  <c r="F448" i="50" s="1"/>
  <c r="G448" i="50" s="1"/>
  <c r="C378" i="50"/>
  <c r="E378" i="50" s="1"/>
  <c r="F378" i="50" s="1"/>
  <c r="C365" i="50"/>
  <c r="E365" i="50" s="1"/>
  <c r="F365" i="50" s="1"/>
  <c r="E453" i="50"/>
  <c r="F453" i="50" s="1"/>
  <c r="G453" i="50" s="1"/>
  <c r="D389" i="50"/>
  <c r="G389" i="50" s="1"/>
  <c r="H389" i="50" s="1"/>
  <c r="D399" i="50"/>
  <c r="G399" i="50" s="1"/>
  <c r="H399" i="50" s="1"/>
  <c r="D404" i="50"/>
  <c r="G404" i="50" s="1"/>
  <c r="H404" i="50" s="1"/>
  <c r="D386" i="50"/>
  <c r="G386" i="50" s="1"/>
  <c r="H386" i="50" s="1"/>
  <c r="C320" i="50"/>
  <c r="D387" i="50"/>
  <c r="G387" i="50" s="1"/>
  <c r="H387" i="50" s="1"/>
  <c r="C321" i="50"/>
  <c r="B285" i="50" s="1"/>
  <c r="D388" i="50"/>
  <c r="G388" i="50" s="1"/>
  <c r="H388" i="50" s="1"/>
  <c r="D402" i="50"/>
  <c r="G402" i="50" s="1"/>
  <c r="H402" i="50" s="1"/>
  <c r="D385" i="50"/>
  <c r="G385" i="50" s="1"/>
  <c r="H385" i="50" s="1"/>
  <c r="D395" i="50"/>
  <c r="G395" i="50" s="1"/>
  <c r="H395" i="50" s="1"/>
  <c r="D403" i="50"/>
  <c r="G403" i="50" s="1"/>
  <c r="H403" i="50" s="1"/>
  <c r="D401" i="50"/>
  <c r="G401" i="50" s="1"/>
  <c r="H401" i="50" s="1"/>
  <c r="D391" i="50"/>
  <c r="G391" i="50" s="1"/>
  <c r="H391" i="50" s="1"/>
  <c r="E452" i="50"/>
  <c r="F452" i="50" s="1"/>
  <c r="G452" i="50" s="1"/>
  <c r="D396" i="50"/>
  <c r="G396" i="50" s="1"/>
  <c r="H396" i="50" s="1"/>
  <c r="C368" i="50"/>
  <c r="E368" i="50" s="1"/>
  <c r="F368" i="50" s="1"/>
  <c r="C362" i="50"/>
  <c r="E362" i="50" s="1"/>
  <c r="F362" i="50" s="1"/>
  <c r="C358" i="50"/>
  <c r="E358" i="50" s="1"/>
  <c r="F358" i="50" s="1"/>
  <c r="C360" i="50"/>
  <c r="E360" i="50" s="1"/>
  <c r="F360" i="50" s="1"/>
  <c r="E451" i="50"/>
  <c r="F451" i="50" s="1"/>
  <c r="G451" i="50" s="1"/>
  <c r="C363" i="50"/>
  <c r="E363" i="50" s="1"/>
  <c r="F363" i="50" s="1"/>
  <c r="C373" i="50"/>
  <c r="E373" i="50" s="1"/>
  <c r="F373" i="50" s="1"/>
  <c r="E440" i="50"/>
  <c r="F440" i="50" s="1"/>
  <c r="G440" i="50" s="1"/>
  <c r="E449" i="50"/>
  <c r="F449" i="50" s="1"/>
  <c r="G449" i="50" s="1"/>
  <c r="E446" i="50"/>
  <c r="F446" i="50" s="1"/>
  <c r="G446" i="50" s="1"/>
  <c r="C367" i="50"/>
  <c r="E367" i="50" s="1"/>
  <c r="F367" i="50" s="1"/>
  <c r="C377" i="50"/>
  <c r="E377" i="50" s="1"/>
  <c r="F377" i="50" s="1"/>
  <c r="D405" i="50"/>
  <c r="G405" i="50" s="1"/>
  <c r="H405" i="50" s="1"/>
  <c r="D406" i="50"/>
  <c r="G406" i="50" s="1"/>
  <c r="H406" i="50" s="1"/>
  <c r="D393" i="50"/>
  <c r="G393" i="50" s="1"/>
  <c r="H393" i="50" s="1"/>
  <c r="D398" i="50"/>
  <c r="G398" i="50" s="1"/>
  <c r="H398" i="50" s="1"/>
  <c r="E438" i="50"/>
  <c r="F438" i="50" s="1"/>
  <c r="G438" i="50" s="1"/>
  <c r="E442" i="50"/>
  <c r="F442" i="50" s="1"/>
  <c r="G442" i="50" s="1"/>
  <c r="C372" i="50"/>
  <c r="E372" i="50" s="1"/>
  <c r="F372" i="50" s="1"/>
  <c r="E454" i="50"/>
  <c r="F454" i="50" s="1"/>
  <c r="G454" i="50" s="1"/>
  <c r="C375" i="50"/>
  <c r="E375" i="50" s="1"/>
  <c r="F375" i="50" s="1"/>
  <c r="C482" i="50"/>
  <c r="C486" i="50" s="1"/>
  <c r="C487" i="50" s="1"/>
  <c r="C369" i="50"/>
  <c r="E369" i="50" s="1"/>
  <c r="F369" i="50" s="1"/>
  <c r="C361" i="50"/>
  <c r="E361" i="50" s="1"/>
  <c r="F361" i="50" s="1"/>
  <c r="E443" i="50"/>
  <c r="F443" i="50" s="1"/>
  <c r="G443" i="50" s="1"/>
  <c r="E444" i="50"/>
  <c r="F444" i="50" s="1"/>
  <c r="G444" i="50" s="1"/>
  <c r="E439" i="50"/>
  <c r="F439" i="50" s="1"/>
  <c r="G439" i="50" s="1"/>
  <c r="D394" i="50"/>
  <c r="G394" i="50" s="1"/>
  <c r="H394" i="50" s="1"/>
  <c r="D400" i="50"/>
  <c r="G400" i="50" s="1"/>
  <c r="H400" i="50" s="1"/>
  <c r="D390" i="50"/>
  <c r="G390" i="50" s="1"/>
  <c r="H390" i="50" s="1"/>
  <c r="C511" i="50"/>
  <c r="C515" i="50" s="1"/>
  <c r="F532" i="50" s="1"/>
  <c r="G532" i="50" s="1"/>
  <c r="H532" i="50" s="1"/>
  <c r="C376" i="50"/>
  <c r="E376" i="50" s="1"/>
  <c r="F376" i="50" s="1"/>
  <c r="E441" i="50"/>
  <c r="F441" i="50" s="1"/>
  <c r="G441" i="50" s="1"/>
  <c r="C374" i="50"/>
  <c r="E374" i="50" s="1"/>
  <c r="F374" i="50" s="1"/>
  <c r="C379" i="50"/>
  <c r="E379" i="50" s="1"/>
  <c r="F379" i="50" s="1"/>
  <c r="C366" i="50"/>
  <c r="E366" i="50" s="1"/>
  <c r="F366" i="50" s="1"/>
  <c r="E445" i="50"/>
  <c r="F445" i="50" s="1"/>
  <c r="G445" i="50" s="1"/>
  <c r="C370" i="50"/>
  <c r="E370" i="50" s="1"/>
  <c r="F370" i="50" s="1"/>
  <c r="C359" i="50"/>
  <c r="E359" i="50" s="1"/>
  <c r="F359" i="50" s="1"/>
  <c r="C364" i="50"/>
  <c r="E364" i="50" s="1"/>
  <c r="F364" i="50" s="1"/>
  <c r="E450" i="50"/>
  <c r="F450" i="50" s="1"/>
  <c r="G450" i="50" s="1"/>
  <c r="C401" i="56"/>
  <c r="C413" i="56"/>
  <c r="I363" i="56"/>
  <c r="J363" i="56" s="1"/>
  <c r="C331" i="54"/>
  <c r="E331" i="54" s="1"/>
  <c r="F331" i="54" s="1"/>
  <c r="C335" i="54"/>
  <c r="E335" i="54" s="1"/>
  <c r="F335" i="54" s="1"/>
  <c r="C339" i="54"/>
  <c r="E339" i="54" s="1"/>
  <c r="F339" i="54" s="1"/>
  <c r="C343" i="54"/>
  <c r="E343" i="54" s="1"/>
  <c r="F343" i="54" s="1"/>
  <c r="C347" i="54"/>
  <c r="E347" i="54" s="1"/>
  <c r="F347" i="54" s="1"/>
  <c r="C279" i="54"/>
  <c r="C282" i="54" s="1"/>
  <c r="C334" i="54"/>
  <c r="E334" i="54" s="1"/>
  <c r="F334" i="54" s="1"/>
  <c r="C346" i="54"/>
  <c r="E346" i="54" s="1"/>
  <c r="F346" i="54" s="1"/>
  <c r="C332" i="54"/>
  <c r="E332" i="54" s="1"/>
  <c r="F332" i="54" s="1"/>
  <c r="C336" i="54"/>
  <c r="E336" i="54" s="1"/>
  <c r="F336" i="54" s="1"/>
  <c r="C340" i="54"/>
  <c r="E340" i="54" s="1"/>
  <c r="F340" i="54" s="1"/>
  <c r="C344" i="54"/>
  <c r="E344" i="54" s="1"/>
  <c r="F344" i="54" s="1"/>
  <c r="C348" i="54"/>
  <c r="E348" i="54" s="1"/>
  <c r="F348" i="54" s="1"/>
  <c r="C330" i="54"/>
  <c r="E330" i="54" s="1"/>
  <c r="F330" i="54" s="1"/>
  <c r="C342" i="54"/>
  <c r="E342" i="54" s="1"/>
  <c r="F342" i="54" s="1"/>
  <c r="C329" i="54"/>
  <c r="E329" i="54" s="1"/>
  <c r="F329" i="54" s="1"/>
  <c r="C333" i="54"/>
  <c r="E333" i="54" s="1"/>
  <c r="F333" i="54" s="1"/>
  <c r="C337" i="54"/>
  <c r="E337" i="54" s="1"/>
  <c r="F337" i="54" s="1"/>
  <c r="C341" i="54"/>
  <c r="E341" i="54" s="1"/>
  <c r="F341" i="54" s="1"/>
  <c r="C345" i="54"/>
  <c r="E345" i="54" s="1"/>
  <c r="F345" i="54" s="1"/>
  <c r="C349" i="54"/>
  <c r="E349" i="54" s="1"/>
  <c r="F349" i="54" s="1"/>
  <c r="C265" i="54"/>
  <c r="C338" i="54"/>
  <c r="E338" i="54" s="1"/>
  <c r="F338" i="54" s="1"/>
  <c r="C328" i="54"/>
  <c r="E328" i="54" s="1"/>
  <c r="F328" i="54" s="1"/>
  <c r="C512" i="57"/>
  <c r="C486" i="57"/>
  <c r="C487" i="57" s="1"/>
  <c r="C480" i="57"/>
  <c r="C481" i="57" s="1"/>
  <c r="I362" i="56"/>
  <c r="J362" i="56" s="1"/>
  <c r="K362" i="56"/>
  <c r="L362" i="56" s="1"/>
  <c r="I359" i="56"/>
  <c r="J359" i="56" s="1"/>
  <c r="K359" i="56"/>
  <c r="L359" i="56" s="1"/>
  <c r="I354" i="56"/>
  <c r="J354" i="56" s="1"/>
  <c r="K354" i="56"/>
  <c r="L354" i="56" s="1"/>
  <c r="I361" i="56"/>
  <c r="J361" i="56" s="1"/>
  <c r="K361" i="56"/>
  <c r="L361" i="56" s="1"/>
  <c r="I355" i="56"/>
  <c r="J355" i="56" s="1"/>
  <c r="K355" i="56"/>
  <c r="L355" i="56" s="1"/>
  <c r="K357" i="56"/>
  <c r="L357" i="56" s="1"/>
  <c r="I357" i="56"/>
  <c r="J357" i="56" s="1"/>
  <c r="K364" i="56"/>
  <c r="L364" i="56" s="1"/>
  <c r="I364" i="56"/>
  <c r="J364" i="56" s="1"/>
  <c r="K351" i="56"/>
  <c r="L351" i="56" s="1"/>
  <c r="I351" i="56"/>
  <c r="J351" i="56" s="1"/>
  <c r="I349" i="56"/>
  <c r="J349" i="56" s="1"/>
  <c r="K349" i="56"/>
  <c r="L349" i="56" s="1"/>
  <c r="K358" i="56"/>
  <c r="L358" i="56" s="1"/>
  <c r="I358" i="56"/>
  <c r="J358" i="56" s="1"/>
  <c r="K352" i="56"/>
  <c r="L352" i="56" s="1"/>
  <c r="I352" i="56"/>
  <c r="J352" i="56" s="1"/>
  <c r="K356" i="56"/>
  <c r="L356" i="56" s="1"/>
  <c r="I356" i="56"/>
  <c r="J356" i="56" s="1"/>
  <c r="K350" i="56"/>
  <c r="L350" i="56" s="1"/>
  <c r="I350" i="56"/>
  <c r="J350" i="56" s="1"/>
  <c r="K348" i="56"/>
  <c r="L348" i="56" s="1"/>
  <c r="I348" i="56"/>
  <c r="J348" i="56" s="1"/>
  <c r="K360" i="56"/>
  <c r="L360" i="56" s="1"/>
  <c r="I360" i="56"/>
  <c r="J360" i="56" s="1"/>
  <c r="K353" i="56"/>
  <c r="L353" i="56" s="1"/>
  <c r="I353" i="56"/>
  <c r="J353" i="56" s="1"/>
  <c r="C44" i="44"/>
  <c r="C45" i="44" s="1"/>
  <c r="C85" i="44"/>
  <c r="C182" i="46"/>
  <c r="C86" i="46"/>
  <c r="G70" i="42"/>
  <c r="H70" i="42" s="1"/>
  <c r="C128" i="42" s="1"/>
  <c r="G75" i="42"/>
  <c r="G77" i="42"/>
  <c r="B141" i="42" s="1"/>
  <c r="E66" i="45"/>
  <c r="C124" i="45" s="1"/>
  <c r="B124" i="45"/>
  <c r="B128" i="45"/>
  <c r="F493" i="45"/>
  <c r="D513" i="45" s="1"/>
  <c r="C31" i="45"/>
  <c r="C164" i="45" s="1"/>
  <c r="E68" i="45"/>
  <c r="C126" i="45" s="1"/>
  <c r="B216" i="45" s="1"/>
  <c r="E70" i="45"/>
  <c r="C128" i="45" s="1"/>
  <c r="E72" i="45"/>
  <c r="C130" i="45" s="1"/>
  <c r="B125" i="45"/>
  <c r="F490" i="45"/>
  <c r="D510" i="45" s="1"/>
  <c r="D607" i="45" s="1"/>
  <c r="F68" i="45"/>
  <c r="D126" i="45" s="1"/>
  <c r="B242" i="45" s="1"/>
  <c r="E74" i="45"/>
  <c r="C132" i="45" s="1"/>
  <c r="B222" i="45" s="1"/>
  <c r="B130" i="45"/>
  <c r="F489" i="45"/>
  <c r="D509" i="45" s="1"/>
  <c r="D606" i="45" s="1"/>
  <c r="F387" i="40"/>
  <c r="D407" i="40" s="1"/>
  <c r="D504" i="40" s="1"/>
  <c r="C430" i="40"/>
  <c r="C451" i="40" s="1"/>
  <c r="C537" i="40"/>
  <c r="G74" i="39"/>
  <c r="I74" i="39" s="1"/>
  <c r="D131" i="39" s="1"/>
  <c r="I75" i="39"/>
  <c r="D132" i="39" s="1"/>
  <c r="H73" i="39"/>
  <c r="G69" i="39"/>
  <c r="I69" i="39" s="1"/>
  <c r="D126" i="39" s="1"/>
  <c r="G76" i="39"/>
  <c r="H76" i="39" s="1"/>
  <c r="C133" i="39" s="1"/>
  <c r="C92" i="38"/>
  <c r="F73" i="38"/>
  <c r="D130" i="38" s="1"/>
  <c r="E76" i="38"/>
  <c r="C133" i="38" s="1"/>
  <c r="F69" i="38"/>
  <c r="D126" i="38" s="1"/>
  <c r="E72" i="38"/>
  <c r="F76" i="38"/>
  <c r="D133" i="38" s="1"/>
  <c r="E472" i="38"/>
  <c r="F72" i="38"/>
  <c r="D129" i="38" s="1"/>
  <c r="B134" i="38"/>
  <c r="B300" i="38" s="1"/>
  <c r="C134" i="36"/>
  <c r="C224" i="36"/>
  <c r="B126" i="36"/>
  <c r="B292" i="36" s="1"/>
  <c r="F69" i="36"/>
  <c r="D126" i="36" s="1"/>
  <c r="F77" i="36"/>
  <c r="D134" i="36" s="1"/>
  <c r="E468" i="36"/>
  <c r="F68" i="36"/>
  <c r="D125" i="36" s="1"/>
  <c r="B134" i="36"/>
  <c r="B300" i="36" s="1"/>
  <c r="E475" i="36"/>
  <c r="E480" i="36"/>
  <c r="C617" i="36" s="1"/>
  <c r="E471" i="36"/>
  <c r="C616" i="36" s="1"/>
  <c r="D462" i="36"/>
  <c r="C513" i="36" s="1"/>
  <c r="E478" i="36"/>
  <c r="E482" i="36"/>
  <c r="C555" i="36"/>
  <c r="D471" i="44"/>
  <c r="D482" i="44"/>
  <c r="F80" i="44"/>
  <c r="D143" i="44" s="1"/>
  <c r="F66" i="44"/>
  <c r="D123" i="44" s="1"/>
  <c r="F70" i="44"/>
  <c r="D127" i="44" s="1"/>
  <c r="F74" i="44"/>
  <c r="D131" i="44" s="1"/>
  <c r="F78" i="44"/>
  <c r="D137" i="44" s="1"/>
  <c r="C84" i="44"/>
  <c r="B127" i="44"/>
  <c r="B293" i="44" s="1"/>
  <c r="B134" i="44"/>
  <c r="C181" i="44"/>
  <c r="C350" i="44"/>
  <c r="D468" i="44"/>
  <c r="E473" i="44"/>
  <c r="D480" i="44"/>
  <c r="F480" i="44" s="1"/>
  <c r="B131" i="44"/>
  <c r="B297" i="44" s="1"/>
  <c r="E471" i="44"/>
  <c r="C616" i="44" s="1"/>
  <c r="D478" i="44"/>
  <c r="E469" i="44"/>
  <c r="D475" i="44"/>
  <c r="C533" i="44"/>
  <c r="E477" i="46"/>
  <c r="F66" i="46"/>
  <c r="D123" i="46" s="1"/>
  <c r="F75" i="46"/>
  <c r="D132" i="46" s="1"/>
  <c r="D298" i="46" s="1"/>
  <c r="B444" i="46" s="1"/>
  <c r="E78" i="46"/>
  <c r="D617" i="46" s="1"/>
  <c r="E80" i="46"/>
  <c r="C143" i="46" s="1"/>
  <c r="C107" i="46"/>
  <c r="B131" i="46"/>
  <c r="B297" i="46" s="1"/>
  <c r="E469" i="46"/>
  <c r="E474" i="46"/>
  <c r="E480" i="46"/>
  <c r="C617" i="46" s="1"/>
  <c r="E472" i="46"/>
  <c r="E482" i="46"/>
  <c r="E66" i="46"/>
  <c r="C92" i="46"/>
  <c r="E468" i="46"/>
  <c r="E473" i="46"/>
  <c r="E478" i="46"/>
  <c r="C24" i="46"/>
  <c r="C359" i="46" s="1"/>
  <c r="F78" i="46"/>
  <c r="D137" i="46" s="1"/>
  <c r="F80" i="46"/>
  <c r="D143" i="46" s="1"/>
  <c r="E470" i="46"/>
  <c r="E476" i="46"/>
  <c r="E481" i="46"/>
  <c r="C555" i="46"/>
  <c r="B132" i="35"/>
  <c r="B298" i="35" s="1"/>
  <c r="E69" i="35"/>
  <c r="E75" i="35"/>
  <c r="C132" i="35" s="1"/>
  <c r="C563" i="35"/>
  <c r="E67" i="35"/>
  <c r="C217" i="35" s="1"/>
  <c r="D217" i="35" s="1"/>
  <c r="E71" i="35"/>
  <c r="C219" i="35" s="1"/>
  <c r="D219" i="35" s="1"/>
  <c r="E73" i="35"/>
  <c r="C221" i="35" s="1"/>
  <c r="D221" i="35" s="1"/>
  <c r="E77" i="35"/>
  <c r="C224" i="35" s="1"/>
  <c r="D224" i="35" s="1"/>
  <c r="D300" i="35" s="1"/>
  <c r="F69" i="35"/>
  <c r="D126" i="35" s="1"/>
  <c r="F73" i="35"/>
  <c r="D130" i="35" s="1"/>
  <c r="F77" i="35"/>
  <c r="D134" i="35" s="1"/>
  <c r="D136" i="35" s="1"/>
  <c r="B124" i="35"/>
  <c r="B290" i="35" s="1"/>
  <c r="B138" i="35"/>
  <c r="D470" i="35"/>
  <c r="D480" i="35"/>
  <c r="B617" i="35" s="1"/>
  <c r="F68" i="35"/>
  <c r="D125" i="35" s="1"/>
  <c r="D291" i="35" s="1"/>
  <c r="F76" i="35"/>
  <c r="D133" i="35" s="1"/>
  <c r="D472" i="35"/>
  <c r="D476" i="35"/>
  <c r="D481" i="35"/>
  <c r="F481" i="35" s="1"/>
  <c r="C546" i="35"/>
  <c r="D97" i="40"/>
  <c r="B185" i="40" s="1"/>
  <c r="B84" i="40"/>
  <c r="F43" i="37"/>
  <c r="D85" i="37" s="1"/>
  <c r="B91" i="37"/>
  <c r="D351" i="37"/>
  <c r="E42" i="37"/>
  <c r="C84" i="37" s="1"/>
  <c r="E47" i="37"/>
  <c r="C89" i="37" s="1"/>
  <c r="E49" i="37"/>
  <c r="C91" i="37" s="1"/>
  <c r="F42" i="37"/>
  <c r="D84" i="37" s="1"/>
  <c r="D211" i="37" s="1"/>
  <c r="B313" i="37" s="1"/>
  <c r="F47" i="37"/>
  <c r="D89" i="37" s="1"/>
  <c r="D345" i="37"/>
  <c r="B85" i="37"/>
  <c r="B212" i="37" s="1"/>
  <c r="D349" i="37"/>
  <c r="C85" i="37"/>
  <c r="E51" i="37"/>
  <c r="C93" i="37" s="1"/>
  <c r="F46" i="37"/>
  <c r="D88" i="37" s="1"/>
  <c r="F51" i="37"/>
  <c r="D93" i="37" s="1"/>
  <c r="D95" i="37" s="1"/>
  <c r="D358" i="37"/>
  <c r="E347" i="37"/>
  <c r="E354" i="37"/>
  <c r="E46" i="37"/>
  <c r="C163" i="37" s="1"/>
  <c r="D163" i="37" s="1"/>
  <c r="D338" i="37"/>
  <c r="C389" i="37" s="1"/>
  <c r="E356" i="37"/>
  <c r="E41" i="37"/>
  <c r="C160" i="37" s="1"/>
  <c r="D160" i="37" s="1"/>
  <c r="D210" i="37" s="1"/>
  <c r="E50" i="37"/>
  <c r="C166" i="37" s="1"/>
  <c r="D166" i="37" s="1"/>
  <c r="E45" i="37"/>
  <c r="C162" i="37" s="1"/>
  <c r="D162" i="37" s="1"/>
  <c r="D214" i="37" s="1"/>
  <c r="F50" i="37"/>
  <c r="D92" i="37" s="1"/>
  <c r="D347" i="37"/>
  <c r="D354" i="37"/>
  <c r="C103" i="48"/>
  <c r="C121" i="48" s="1"/>
  <c r="C73" i="48"/>
  <c r="C83" i="48"/>
  <c r="C78" i="48"/>
  <c r="C74" i="48"/>
  <c r="C82" i="48"/>
  <c r="C76" i="48"/>
  <c r="C86" i="48"/>
  <c r="C80" i="48"/>
  <c r="C75" i="48"/>
  <c r="C84" i="48"/>
  <c r="C79" i="48"/>
  <c r="C87" i="48"/>
  <c r="C85" i="48"/>
  <c r="C81" i="48"/>
  <c r="C77" i="48"/>
  <c r="H66" i="48"/>
  <c r="H62" i="48"/>
  <c r="H58" i="48"/>
  <c r="H54" i="48"/>
  <c r="H53" i="48"/>
  <c r="H64" i="48"/>
  <c r="H60" i="48"/>
  <c r="H56" i="48"/>
  <c r="H67" i="48"/>
  <c r="H63" i="48"/>
  <c r="H59" i="48"/>
  <c r="H55" i="48"/>
  <c r="H65" i="48"/>
  <c r="H61" i="48"/>
  <c r="H57" i="48"/>
  <c r="C118" i="48"/>
  <c r="C119" i="48" s="1"/>
  <c r="C171" i="46"/>
  <c r="C39" i="46"/>
  <c r="C98" i="46"/>
  <c r="D96" i="48"/>
  <c r="E96" i="48" s="1"/>
  <c r="C171" i="48"/>
  <c r="D514" i="46"/>
  <c r="E514" i="46" s="1"/>
  <c r="F69" i="46"/>
  <c r="D126" i="46" s="1"/>
  <c r="E69" i="46"/>
  <c r="C137" i="46"/>
  <c r="B439" i="46"/>
  <c r="C222" i="46"/>
  <c r="D222" i="46" s="1"/>
  <c r="D297" i="46" s="1"/>
  <c r="C131" i="46"/>
  <c r="C234" i="46"/>
  <c r="D234" i="46" s="1"/>
  <c r="D310" i="46" s="1"/>
  <c r="B134" i="46"/>
  <c r="F77" i="46"/>
  <c r="D134" i="46" s="1"/>
  <c r="E77" i="46"/>
  <c r="D291" i="46"/>
  <c r="C293" i="46"/>
  <c r="C216" i="46"/>
  <c r="D216" i="46" s="1"/>
  <c r="D289" i="46" s="1"/>
  <c r="C123" i="46"/>
  <c r="E73" i="46"/>
  <c r="F73" i="46"/>
  <c r="D130" i="46" s="1"/>
  <c r="B130" i="46"/>
  <c r="B289" i="46"/>
  <c r="B126" i="46"/>
  <c r="B129" i="46"/>
  <c r="C385" i="46"/>
  <c r="C351" i="46"/>
  <c r="C335" i="46"/>
  <c r="C268" i="46"/>
  <c r="C253" i="46"/>
  <c r="D139" i="46"/>
  <c r="B139" i="46"/>
  <c r="C52" i="46"/>
  <c r="E68" i="46"/>
  <c r="C125" i="46" s="1"/>
  <c r="E72" i="46"/>
  <c r="E76" i="46"/>
  <c r="B125" i="46"/>
  <c r="B133" i="46"/>
  <c r="B138" i="46"/>
  <c r="B303" i="46"/>
  <c r="C276" i="46"/>
  <c r="C554" i="46"/>
  <c r="C546" i="46"/>
  <c r="C563" i="46"/>
  <c r="D482" i="46"/>
  <c r="D478" i="46"/>
  <c r="F478" i="46" s="1"/>
  <c r="D474" i="46"/>
  <c r="F474" i="46" s="1"/>
  <c r="D470" i="46"/>
  <c r="F470" i="46" s="1"/>
  <c r="D477" i="46"/>
  <c r="F477" i="46" s="1"/>
  <c r="D475" i="46"/>
  <c r="D468" i="46"/>
  <c r="F468" i="46" s="1"/>
  <c r="C533" i="46"/>
  <c r="D480" i="46"/>
  <c r="D473" i="46"/>
  <c r="D471" i="46"/>
  <c r="D462" i="46"/>
  <c r="C513" i="46" s="1"/>
  <c r="D472" i="46"/>
  <c r="D469" i="46"/>
  <c r="D479" i="46"/>
  <c r="D476" i="46"/>
  <c r="F476" i="46" s="1"/>
  <c r="C321" i="46"/>
  <c r="C322" i="46" s="1"/>
  <c r="C384" i="46"/>
  <c r="C350" i="46"/>
  <c r="C165" i="46"/>
  <c r="C326" i="46"/>
  <c r="C267" i="46"/>
  <c r="C244" i="46"/>
  <c r="C30" i="46"/>
  <c r="C38" i="46"/>
  <c r="E67" i="46"/>
  <c r="E71" i="46"/>
  <c r="E75" i="46"/>
  <c r="C132" i="46" s="1"/>
  <c r="B310" i="46"/>
  <c r="C108" i="46"/>
  <c r="C181" i="46"/>
  <c r="D481" i="46"/>
  <c r="F481" i="46" s="1"/>
  <c r="C565" i="46"/>
  <c r="C535" i="46"/>
  <c r="C520" i="46"/>
  <c r="C539" i="46" s="1"/>
  <c r="E471" i="46"/>
  <c r="C616" i="46" s="1"/>
  <c r="E475" i="46"/>
  <c r="E479" i="46"/>
  <c r="C534" i="46"/>
  <c r="C564" i="46"/>
  <c r="B221" i="45"/>
  <c r="B372" i="45"/>
  <c r="C326" i="45"/>
  <c r="D326" i="45" s="1"/>
  <c r="D372" i="45" s="1"/>
  <c r="B215" i="45"/>
  <c r="B244" i="45"/>
  <c r="D515" i="45"/>
  <c r="D610" i="45" s="1"/>
  <c r="B527" i="45"/>
  <c r="C197" i="45"/>
  <c r="C157" i="45"/>
  <c r="C108" i="45"/>
  <c r="C93" i="45"/>
  <c r="C84" i="45"/>
  <c r="C25" i="45"/>
  <c r="C86" i="45" s="1"/>
  <c r="C51" i="45"/>
  <c r="C24" i="45"/>
  <c r="C85" i="45" s="1"/>
  <c r="B240" i="45"/>
  <c r="C503" i="45"/>
  <c r="C600" i="45" s="1"/>
  <c r="D635" i="45"/>
  <c r="B127" i="45"/>
  <c r="F71" i="45"/>
  <c r="D129" i="45" s="1"/>
  <c r="B129" i="45"/>
  <c r="E71" i="45"/>
  <c r="C129" i="45" s="1"/>
  <c r="B248" i="45"/>
  <c r="B218" i="45"/>
  <c r="B220" i="45"/>
  <c r="B260" i="45"/>
  <c r="C169" i="42"/>
  <c r="C81" i="42"/>
  <c r="C48" i="42"/>
  <c r="B134" i="45"/>
  <c r="F76" i="45"/>
  <c r="D134" i="45" s="1"/>
  <c r="C105" i="42"/>
  <c r="E76" i="45"/>
  <c r="C134" i="45" s="1"/>
  <c r="B246" i="45"/>
  <c r="C509" i="45"/>
  <c r="C606" i="45" s="1"/>
  <c r="F75" i="45"/>
  <c r="D133" i="45" s="1"/>
  <c r="B133" i="45"/>
  <c r="E75" i="45"/>
  <c r="C133" i="45" s="1"/>
  <c r="B138" i="45"/>
  <c r="D636" i="45"/>
  <c r="E636" i="45" s="1"/>
  <c r="F78" i="45"/>
  <c r="D138" i="45" s="1"/>
  <c r="B234" i="45"/>
  <c r="B144" i="45"/>
  <c r="C323" i="45"/>
  <c r="B369" i="45"/>
  <c r="E610" i="45"/>
  <c r="D528" i="45"/>
  <c r="E528" i="45" s="1"/>
  <c r="B139" i="45"/>
  <c r="C513" i="45"/>
  <c r="B255" i="45"/>
  <c r="C571" i="45"/>
  <c r="C562" i="45"/>
  <c r="C548" i="45"/>
  <c r="C581" i="45"/>
  <c r="D475" i="45"/>
  <c r="C527" i="45" s="1"/>
  <c r="C550" i="45"/>
  <c r="C534" i="45"/>
  <c r="C583" i="45"/>
  <c r="B635" i="45"/>
  <c r="F485" i="45"/>
  <c r="D505" i="45" s="1"/>
  <c r="D602" i="45" s="1"/>
  <c r="F496" i="45"/>
  <c r="D518" i="45" s="1"/>
  <c r="D613" i="45" s="1"/>
  <c r="F492" i="45"/>
  <c r="D512" i="45" s="1"/>
  <c r="D609" i="45" s="1"/>
  <c r="C582" i="45"/>
  <c r="C549" i="45"/>
  <c r="F484" i="45"/>
  <c r="D504" i="45" s="1"/>
  <c r="D601" i="45" s="1"/>
  <c r="C563" i="45"/>
  <c r="C572" i="45"/>
  <c r="F48" i="40"/>
  <c r="D90" i="40" s="1"/>
  <c r="B178" i="40" s="1"/>
  <c r="C406" i="40" s="1"/>
  <c r="C31" i="40"/>
  <c r="C61" i="40" s="1"/>
  <c r="F42" i="40"/>
  <c r="D84" i="40" s="1"/>
  <c r="B172" i="40" s="1"/>
  <c r="C400" i="40" s="1"/>
  <c r="F384" i="40"/>
  <c r="D404" i="40" s="1"/>
  <c r="D501" i="40" s="1"/>
  <c r="F44" i="40"/>
  <c r="D86" i="40" s="1"/>
  <c r="B174" i="40" s="1"/>
  <c r="C402" i="40" s="1"/>
  <c r="C499" i="40" s="1"/>
  <c r="C25" i="40"/>
  <c r="C60" i="40" s="1"/>
  <c r="B92" i="40"/>
  <c r="F385" i="40"/>
  <c r="D405" i="40" s="1"/>
  <c r="D502" i="40" s="1"/>
  <c r="C232" i="40"/>
  <c r="B277" i="40"/>
  <c r="F47" i="40"/>
  <c r="D89" i="40" s="1"/>
  <c r="B177" i="40" s="1"/>
  <c r="C405" i="40" s="1"/>
  <c r="F379" i="40"/>
  <c r="D399" i="40" s="1"/>
  <c r="D496" i="40" s="1"/>
  <c r="F386" i="40"/>
  <c r="D406" i="40" s="1"/>
  <c r="D503" i="40" s="1"/>
  <c r="F391" i="40"/>
  <c r="D413" i="40" s="1"/>
  <c r="D508" i="40" s="1"/>
  <c r="B86" i="40"/>
  <c r="F383" i="40"/>
  <c r="D403" i="40" s="1"/>
  <c r="D500" i="40" s="1"/>
  <c r="D232" i="40"/>
  <c r="D277" i="40" s="1"/>
  <c r="E48" i="40"/>
  <c r="C90" i="40" s="1"/>
  <c r="B152" i="40" s="1"/>
  <c r="F382" i="40"/>
  <c r="D402" i="40" s="1"/>
  <c r="D499" i="40" s="1"/>
  <c r="F389" i="40"/>
  <c r="D409" i="40" s="1"/>
  <c r="D411" i="40" s="1"/>
  <c r="D506" i="40" s="1"/>
  <c r="F390" i="40"/>
  <c r="D412" i="40" s="1"/>
  <c r="D507" i="40" s="1"/>
  <c r="D293" i="44"/>
  <c r="C293" i="44" s="1"/>
  <c r="C276" i="44"/>
  <c r="C394" i="44"/>
  <c r="C113" i="44"/>
  <c r="C114" i="44" s="1"/>
  <c r="C97" i="44"/>
  <c r="C57" i="44"/>
  <c r="B124" i="44"/>
  <c r="F67" i="44"/>
  <c r="D124" i="44" s="1"/>
  <c r="E67" i="44"/>
  <c r="D616" i="44"/>
  <c r="C218" i="44"/>
  <c r="D218" i="44" s="1"/>
  <c r="D292" i="44" s="1"/>
  <c r="C126" i="44"/>
  <c r="F71" i="44"/>
  <c r="D128" i="44" s="1"/>
  <c r="E71" i="44"/>
  <c r="C221" i="44"/>
  <c r="D221" i="44" s="1"/>
  <c r="D296" i="44" s="1"/>
  <c r="C130" i="44"/>
  <c r="F75" i="44"/>
  <c r="D132" i="44" s="1"/>
  <c r="E75" i="44"/>
  <c r="C132" i="44" s="1"/>
  <c r="B132" i="44"/>
  <c r="C134" i="44"/>
  <c r="C224" i="44"/>
  <c r="D138" i="44"/>
  <c r="B138" i="44"/>
  <c r="C268" i="44"/>
  <c r="C253" i="44"/>
  <c r="C385" i="44"/>
  <c r="C335" i="44"/>
  <c r="B139" i="44"/>
  <c r="C98" i="44"/>
  <c r="C39" i="44"/>
  <c r="C351" i="44"/>
  <c r="C182" i="44"/>
  <c r="D139" i="44"/>
  <c r="C171" i="44"/>
  <c r="C108" i="44"/>
  <c r="C52" i="44"/>
  <c r="B125" i="44"/>
  <c r="F68" i="44"/>
  <c r="D125" i="44" s="1"/>
  <c r="B129" i="44"/>
  <c r="F72" i="44"/>
  <c r="D129" i="44" s="1"/>
  <c r="B133" i="44"/>
  <c r="F76" i="44"/>
  <c r="D133" i="44" s="1"/>
  <c r="D136" i="44"/>
  <c r="C170" i="44"/>
  <c r="C190" i="44"/>
  <c r="C359" i="44"/>
  <c r="C220" i="44"/>
  <c r="D220" i="44" s="1"/>
  <c r="C129" i="44"/>
  <c r="C222" i="44"/>
  <c r="D222" i="44" s="1"/>
  <c r="D297" i="44" s="1"/>
  <c r="C131" i="44"/>
  <c r="C133" i="44"/>
  <c r="C223" i="44"/>
  <c r="D223" i="44" s="1"/>
  <c r="C137" i="44"/>
  <c r="D617" i="44"/>
  <c r="C227" i="44"/>
  <c r="D227" i="44" s="1"/>
  <c r="D303" i="44" s="1"/>
  <c r="B292" i="44"/>
  <c r="C326" i="44"/>
  <c r="C321" i="44"/>
  <c r="C322" i="44" s="1"/>
  <c r="C38" i="44"/>
  <c r="B296" i="44"/>
  <c r="C30" i="44"/>
  <c r="B300" i="44"/>
  <c r="B137" i="44"/>
  <c r="C267" i="44"/>
  <c r="B310" i="44"/>
  <c r="B617" i="44"/>
  <c r="E617" i="44" s="1"/>
  <c r="E66" i="44"/>
  <c r="E80" i="44"/>
  <c r="C547" i="44"/>
  <c r="C564" i="44"/>
  <c r="E482" i="44"/>
  <c r="F482" i="44" s="1"/>
  <c r="E478" i="44"/>
  <c r="F478" i="44" s="1"/>
  <c r="E474" i="44"/>
  <c r="E470" i="44"/>
  <c r="E481" i="44"/>
  <c r="E479" i="44"/>
  <c r="F479" i="44" s="1"/>
  <c r="E472" i="44"/>
  <c r="E477" i="44"/>
  <c r="E475" i="44"/>
  <c r="E468" i="44"/>
  <c r="B616" i="44"/>
  <c r="E616" i="44" s="1"/>
  <c r="F471" i="44"/>
  <c r="C555" i="44"/>
  <c r="F468" i="44"/>
  <c r="D470" i="44"/>
  <c r="F470" i="44" s="1"/>
  <c r="D472" i="44"/>
  <c r="C565" i="44"/>
  <c r="C535" i="44"/>
  <c r="C554" i="44"/>
  <c r="C546" i="44"/>
  <c r="D481" i="44"/>
  <c r="D477" i="44"/>
  <c r="F477" i="44" s="1"/>
  <c r="D473" i="44"/>
  <c r="F473" i="44" s="1"/>
  <c r="D469" i="44"/>
  <c r="D462" i="44"/>
  <c r="C513" i="44" s="1"/>
  <c r="D474" i="44"/>
  <c r="D476" i="44"/>
  <c r="F476" i="44" s="1"/>
  <c r="C520" i="44"/>
  <c r="C539" i="44" s="1"/>
  <c r="C563" i="44"/>
  <c r="D591" i="44"/>
  <c r="G68" i="42"/>
  <c r="C121" i="42"/>
  <c r="B129" i="42"/>
  <c r="H71" i="42"/>
  <c r="C129" i="42" s="1"/>
  <c r="I71" i="42"/>
  <c r="D129" i="42" s="1"/>
  <c r="B126" i="42"/>
  <c r="I68" i="42"/>
  <c r="D126" i="42" s="1"/>
  <c r="H68" i="42"/>
  <c r="C126" i="42" s="1"/>
  <c r="B248" i="42"/>
  <c r="B222" i="42"/>
  <c r="I77" i="42"/>
  <c r="D141" i="42" s="1"/>
  <c r="I64" i="42"/>
  <c r="D122" i="42" s="1"/>
  <c r="B122" i="42"/>
  <c r="H64" i="42"/>
  <c r="C122" i="42" s="1"/>
  <c r="B130" i="42"/>
  <c r="H72" i="42"/>
  <c r="C130" i="42" s="1"/>
  <c r="I72" i="42"/>
  <c r="D130" i="42" s="1"/>
  <c r="H65" i="42"/>
  <c r="C123" i="42" s="1"/>
  <c r="B123" i="42"/>
  <c r="I65" i="42"/>
  <c r="D123" i="42" s="1"/>
  <c r="B125" i="42"/>
  <c r="H67" i="42"/>
  <c r="C125" i="42" s="1"/>
  <c r="I67" i="42"/>
  <c r="D125" i="42" s="1"/>
  <c r="I70" i="42"/>
  <c r="D128" i="42" s="1"/>
  <c r="B128" i="42"/>
  <c r="B247" i="42"/>
  <c r="H69" i="42"/>
  <c r="C127" i="42" s="1"/>
  <c r="C23" i="42"/>
  <c r="C82" i="42" s="1"/>
  <c r="C35" i="42"/>
  <c r="I63" i="42"/>
  <c r="D121" i="42" s="1"/>
  <c r="I69" i="42"/>
  <c r="D127" i="42" s="1"/>
  <c r="D136" i="42"/>
  <c r="B121" i="42"/>
  <c r="H73" i="42"/>
  <c r="C131" i="42" s="1"/>
  <c r="B131" i="42"/>
  <c r="C154" i="42"/>
  <c r="C194" i="42"/>
  <c r="C24" i="42"/>
  <c r="C83" i="42" s="1"/>
  <c r="C28" i="42"/>
  <c r="C84" i="42" s="1"/>
  <c r="G66" i="42"/>
  <c r="B124" i="42" s="1"/>
  <c r="C90" i="42"/>
  <c r="E602" i="42"/>
  <c r="D524" i="42"/>
  <c r="E524" i="42" s="1"/>
  <c r="C574" i="42"/>
  <c r="C523" i="42"/>
  <c r="B627" i="42"/>
  <c r="E627" i="42" s="1"/>
  <c r="C634" i="42" s="1"/>
  <c r="D501" i="42"/>
  <c r="D594" i="42" s="1"/>
  <c r="C565" i="42"/>
  <c r="B523" i="42"/>
  <c r="D523" i="42" s="1"/>
  <c r="E523" i="42" s="1"/>
  <c r="C575" i="42"/>
  <c r="C545" i="42"/>
  <c r="C530" i="42"/>
  <c r="C531" i="42" s="1"/>
  <c r="B628" i="42"/>
  <c r="E628" i="42" s="1"/>
  <c r="D512" i="42"/>
  <c r="D603" i="42" s="1"/>
  <c r="C84" i="39"/>
  <c r="C479" i="40"/>
  <c r="D424" i="40"/>
  <c r="E424" i="40" s="1"/>
  <c r="C446" i="40"/>
  <c r="B145" i="40"/>
  <c r="C229" i="40" s="1"/>
  <c r="B179" i="40"/>
  <c r="C407" i="40" s="1"/>
  <c r="C398" i="40"/>
  <c r="C495" i="40" s="1"/>
  <c r="B190" i="40"/>
  <c r="B102" i="40"/>
  <c r="E54" i="40"/>
  <c r="C102" i="40" s="1"/>
  <c r="B91" i="40"/>
  <c r="E49" i="40"/>
  <c r="C91" i="40" s="1"/>
  <c r="F52" i="40"/>
  <c r="D96" i="40" s="1"/>
  <c r="B96" i="40"/>
  <c r="D547" i="40"/>
  <c r="E547" i="40" s="1"/>
  <c r="E52" i="40"/>
  <c r="C96" i="40" s="1"/>
  <c r="B180" i="40"/>
  <c r="C408" i="40" s="1"/>
  <c r="B148" i="40"/>
  <c r="B275" i="40" s="1"/>
  <c r="C275" i="40" s="1"/>
  <c r="B331" i="40" s="1"/>
  <c r="B402" i="40" s="1"/>
  <c r="B146" i="40"/>
  <c r="F41" i="40"/>
  <c r="D83" i="40" s="1"/>
  <c r="B83" i="40"/>
  <c r="B93" i="40"/>
  <c r="F46" i="40"/>
  <c r="D88" i="40" s="1"/>
  <c r="B88" i="40"/>
  <c r="C66" i="40"/>
  <c r="B82" i="40"/>
  <c r="C38" i="39"/>
  <c r="C24" i="40"/>
  <c r="C59" i="40" s="1"/>
  <c r="D546" i="40"/>
  <c r="B85" i="40"/>
  <c r="B87" i="40"/>
  <c r="E45" i="40"/>
  <c r="C87" i="40" s="1"/>
  <c r="C58" i="40"/>
  <c r="C459" i="40"/>
  <c r="C478" i="40"/>
  <c r="C468" i="40"/>
  <c r="C51" i="39"/>
  <c r="E40" i="40"/>
  <c r="F45" i="40"/>
  <c r="D87" i="40" s="1"/>
  <c r="E47" i="40"/>
  <c r="C89" i="40" s="1"/>
  <c r="E50" i="40"/>
  <c r="C92" i="40" s="1"/>
  <c r="F381" i="40"/>
  <c r="D401" i="40" s="1"/>
  <c r="D498" i="40" s="1"/>
  <c r="B546" i="40"/>
  <c r="C477" i="40"/>
  <c r="C444" i="40"/>
  <c r="D371" i="40"/>
  <c r="C423" i="40" s="1"/>
  <c r="C458" i="40"/>
  <c r="G80" i="39"/>
  <c r="G71" i="39"/>
  <c r="I71" i="39" s="1"/>
  <c r="D128" i="39" s="1"/>
  <c r="B129" i="39"/>
  <c r="H72" i="39"/>
  <c r="B133" i="39"/>
  <c r="I76" i="39"/>
  <c r="D133" i="39" s="1"/>
  <c r="H78" i="39"/>
  <c r="I78" i="39"/>
  <c r="D137" i="39" s="1"/>
  <c r="B131" i="39"/>
  <c r="H74" i="39"/>
  <c r="B123" i="39"/>
  <c r="H66" i="39"/>
  <c r="I66" i="39"/>
  <c r="D123" i="39" s="1"/>
  <c r="I68" i="39"/>
  <c r="D125" i="39" s="1"/>
  <c r="B125" i="39"/>
  <c r="H68" i="39"/>
  <c r="C125" i="39" s="1"/>
  <c r="B127" i="39"/>
  <c r="H70" i="39"/>
  <c r="C127" i="39" s="1"/>
  <c r="I70" i="39"/>
  <c r="D127" i="39" s="1"/>
  <c r="D298" i="39"/>
  <c r="H80" i="39"/>
  <c r="B143" i="39"/>
  <c r="I80" i="39"/>
  <c r="D143" i="39" s="1"/>
  <c r="I72" i="39"/>
  <c r="D129" i="39" s="1"/>
  <c r="C221" i="39"/>
  <c r="D221" i="39" s="1"/>
  <c r="C130" i="39"/>
  <c r="I77" i="39"/>
  <c r="D134" i="39" s="1"/>
  <c r="B134" i="39"/>
  <c r="H77" i="39"/>
  <c r="B137" i="39"/>
  <c r="C223" i="39"/>
  <c r="D223" i="39" s="1"/>
  <c r="C24" i="39"/>
  <c r="C85" i="39" s="1"/>
  <c r="C30" i="39"/>
  <c r="C87" i="39" s="1"/>
  <c r="B130" i="39"/>
  <c r="C554" i="39"/>
  <c r="C482" i="39"/>
  <c r="C504" i="39" s="1"/>
  <c r="C581" i="39" s="1"/>
  <c r="C478" i="39"/>
  <c r="C498" i="39" s="1"/>
  <c r="C577" i="39" s="1"/>
  <c r="C474" i="39"/>
  <c r="C494" i="39" s="1"/>
  <c r="C573" i="39" s="1"/>
  <c r="C470" i="39"/>
  <c r="C490" i="39" s="1"/>
  <c r="C569" i="39" s="1"/>
  <c r="C543" i="39"/>
  <c r="C514" i="39"/>
  <c r="C480" i="39"/>
  <c r="C475" i="39"/>
  <c r="C495" i="39" s="1"/>
  <c r="C574" i="39" s="1"/>
  <c r="C469" i="39"/>
  <c r="C489" i="39" s="1"/>
  <c r="C568" i="39" s="1"/>
  <c r="C533" i="39"/>
  <c r="C479" i="39"/>
  <c r="C499" i="39" s="1"/>
  <c r="C501" i="39" s="1"/>
  <c r="C473" i="39"/>
  <c r="C493" i="39" s="1"/>
  <c r="C572" i="39" s="1"/>
  <c r="C468" i="39"/>
  <c r="C488" i="39" s="1"/>
  <c r="C567" i="39" s="1"/>
  <c r="C472" i="39"/>
  <c r="C492" i="39" s="1"/>
  <c r="C571" i="39" s="1"/>
  <c r="C481" i="39"/>
  <c r="C503" i="39" s="1"/>
  <c r="C580" i="39" s="1"/>
  <c r="C471" i="39"/>
  <c r="C548" i="39"/>
  <c r="C477" i="39"/>
  <c r="C497" i="39" s="1"/>
  <c r="C576" i="39" s="1"/>
  <c r="C476" i="39"/>
  <c r="C496" i="39" s="1"/>
  <c r="C575" i="39" s="1"/>
  <c r="G79" i="39"/>
  <c r="B138" i="39" s="1"/>
  <c r="D138" i="39"/>
  <c r="B132" i="39"/>
  <c r="C384" i="39"/>
  <c r="C350" i="39"/>
  <c r="C181" i="39"/>
  <c r="C267" i="39"/>
  <c r="C244" i="39"/>
  <c r="C25" i="39"/>
  <c r="C86" i="39" s="1"/>
  <c r="C321" i="39"/>
  <c r="C322" i="39" s="1"/>
  <c r="C326" i="39"/>
  <c r="C165" i="39"/>
  <c r="G67" i="39"/>
  <c r="D296" i="39"/>
  <c r="C92" i="39"/>
  <c r="B303" i="38"/>
  <c r="B444" i="38"/>
  <c r="C38" i="38"/>
  <c r="E67" i="38"/>
  <c r="E71" i="38"/>
  <c r="E75" i="38"/>
  <c r="C132" i="38" s="1"/>
  <c r="F80" i="38"/>
  <c r="D143" i="38" s="1"/>
  <c r="B143" i="38"/>
  <c r="E80" i="38"/>
  <c r="B124" i="38"/>
  <c r="D291" i="38"/>
  <c r="C291" i="38" s="1"/>
  <c r="C30" i="38"/>
  <c r="C87" i="38" s="1"/>
  <c r="C84" i="38"/>
  <c r="C107" i="38"/>
  <c r="B299" i="38"/>
  <c r="B138" i="38"/>
  <c r="C350" i="38"/>
  <c r="C321" i="38"/>
  <c r="C322" i="38" s="1"/>
  <c r="C165" i="38"/>
  <c r="C384" i="38"/>
  <c r="C51" i="38"/>
  <c r="C24" i="38"/>
  <c r="C85" i="38" s="1"/>
  <c r="C267" i="38"/>
  <c r="C244" i="38"/>
  <c r="C326" i="38"/>
  <c r="B132" i="38"/>
  <c r="D224" i="38"/>
  <c r="D300" i="38" s="1"/>
  <c r="C25" i="38"/>
  <c r="C86" i="38" s="1"/>
  <c r="F66" i="38"/>
  <c r="D123" i="38" s="1"/>
  <c r="B123" i="38"/>
  <c r="E66" i="38"/>
  <c r="F70" i="38"/>
  <c r="D127" i="38" s="1"/>
  <c r="B127" i="38"/>
  <c r="E70" i="38"/>
  <c r="C127" i="38" s="1"/>
  <c r="F74" i="38"/>
  <c r="D131" i="38" s="1"/>
  <c r="B131" i="38"/>
  <c r="E74" i="38"/>
  <c r="F78" i="38"/>
  <c r="D137" i="38" s="1"/>
  <c r="E78" i="38"/>
  <c r="B128" i="38"/>
  <c r="C134" i="38"/>
  <c r="D136" i="38"/>
  <c r="C223" i="38"/>
  <c r="D223" i="38" s="1"/>
  <c r="D299" i="38" s="1"/>
  <c r="C554" i="38"/>
  <c r="D480" i="38"/>
  <c r="D476" i="38"/>
  <c r="D472" i="38"/>
  <c r="F472" i="38" s="1"/>
  <c r="D468" i="38"/>
  <c r="C546" i="38"/>
  <c r="D481" i="38"/>
  <c r="D477" i="38"/>
  <c r="D473" i="38"/>
  <c r="D469" i="38"/>
  <c r="D462" i="38"/>
  <c r="C513" i="38" s="1"/>
  <c r="C563" i="38"/>
  <c r="D482" i="38"/>
  <c r="D474" i="38"/>
  <c r="D479" i="38"/>
  <c r="D471" i="38"/>
  <c r="D475" i="38"/>
  <c r="F475" i="38" s="1"/>
  <c r="C533" i="38"/>
  <c r="D470" i="38"/>
  <c r="E69" i="38"/>
  <c r="E73" i="38"/>
  <c r="C547" i="38"/>
  <c r="E481" i="38"/>
  <c r="E477" i="38"/>
  <c r="E473" i="38"/>
  <c r="E469" i="38"/>
  <c r="C564" i="38"/>
  <c r="E482" i="38"/>
  <c r="E478" i="38"/>
  <c r="E474" i="38"/>
  <c r="E470" i="38"/>
  <c r="E479" i="38"/>
  <c r="E471" i="38"/>
  <c r="C616" i="38" s="1"/>
  <c r="E476" i="38"/>
  <c r="E468" i="38"/>
  <c r="C534" i="38"/>
  <c r="E480" i="38"/>
  <c r="C617" i="38" s="1"/>
  <c r="D478" i="38"/>
  <c r="F478" i="38" s="1"/>
  <c r="C555" i="38"/>
  <c r="C565" i="38"/>
  <c r="C535" i="38"/>
  <c r="C521" i="38"/>
  <c r="D591" i="38"/>
  <c r="C161" i="37"/>
  <c r="D161" i="37" s="1"/>
  <c r="C24" i="37"/>
  <c r="C59" i="37" s="1"/>
  <c r="F44" i="37"/>
  <c r="D86" i="37" s="1"/>
  <c r="B86" i="37"/>
  <c r="E44" i="37"/>
  <c r="C86" i="37" s="1"/>
  <c r="B102" i="37"/>
  <c r="F54" i="37"/>
  <c r="D102" i="37" s="1"/>
  <c r="E54" i="37"/>
  <c r="B83" i="37"/>
  <c r="B87" i="37"/>
  <c r="B220" i="37"/>
  <c r="D97" i="37"/>
  <c r="B97" i="37"/>
  <c r="C25" i="37"/>
  <c r="C30" i="37"/>
  <c r="F48" i="37"/>
  <c r="D90" i="37" s="1"/>
  <c r="B90" i="37"/>
  <c r="E48" i="37"/>
  <c r="C58" i="37"/>
  <c r="C66" i="37"/>
  <c r="F40" i="37"/>
  <c r="D82" i="37" s="1"/>
  <c r="B82" i="37"/>
  <c r="E40" i="37"/>
  <c r="C260" i="37"/>
  <c r="C187" i="37"/>
  <c r="C241" i="37"/>
  <c r="C242" i="37" s="1"/>
  <c r="C498" i="37" s="1"/>
  <c r="C124" i="37"/>
  <c r="B216" i="37"/>
  <c r="D218" i="37"/>
  <c r="B96" i="37"/>
  <c r="F52" i="37"/>
  <c r="D96" i="37" s="1"/>
  <c r="E52" i="37"/>
  <c r="E344" i="37"/>
  <c r="D346" i="37"/>
  <c r="E351" i="37"/>
  <c r="D353" i="37"/>
  <c r="E358" i="37"/>
  <c r="C441" i="37"/>
  <c r="C411" i="37"/>
  <c r="C396" i="37"/>
  <c r="C415" i="37" s="1"/>
  <c r="C430" i="37"/>
  <c r="D356" i="37"/>
  <c r="D352" i="37"/>
  <c r="D348" i="37"/>
  <c r="D344" i="37"/>
  <c r="C422" i="37"/>
  <c r="C439" i="37"/>
  <c r="E346" i="37"/>
  <c r="E348" i="37"/>
  <c r="D350" i="37"/>
  <c r="E355" i="37"/>
  <c r="F355" i="37" s="1"/>
  <c r="D357" i="37"/>
  <c r="C409" i="37"/>
  <c r="C423" i="37"/>
  <c r="E357" i="37"/>
  <c r="E353" i="37"/>
  <c r="E349" i="37"/>
  <c r="E345" i="37"/>
  <c r="C440" i="37"/>
  <c r="C410" i="37"/>
  <c r="E350" i="37"/>
  <c r="E352" i="37"/>
  <c r="D467" i="37"/>
  <c r="D224" i="36"/>
  <c r="D591" i="36"/>
  <c r="B295" i="36"/>
  <c r="D293" i="36"/>
  <c r="F75" i="36"/>
  <c r="D132" i="36" s="1"/>
  <c r="B132" i="36"/>
  <c r="C92" i="36"/>
  <c r="B299" i="36"/>
  <c r="E67" i="36"/>
  <c r="E72" i="36"/>
  <c r="B124" i="36"/>
  <c r="B137" i="36"/>
  <c r="D291" i="36"/>
  <c r="D617" i="36"/>
  <c r="C227" i="36"/>
  <c r="D227" i="36" s="1"/>
  <c r="D310" i="36"/>
  <c r="E75" i="36"/>
  <c r="C132" i="36" s="1"/>
  <c r="F78" i="36"/>
  <c r="D137" i="36" s="1"/>
  <c r="C244" i="36"/>
  <c r="C267" i="36"/>
  <c r="C24" i="36"/>
  <c r="C85" i="36" s="1"/>
  <c r="C51" i="36"/>
  <c r="B123" i="36"/>
  <c r="E66" i="36"/>
  <c r="F71" i="36"/>
  <c r="D128" i="36" s="1"/>
  <c r="B128" i="36"/>
  <c r="F72" i="36"/>
  <c r="D129" i="36" s="1"/>
  <c r="B131" i="36"/>
  <c r="E74" i="36"/>
  <c r="C228" i="36"/>
  <c r="C126" i="36"/>
  <c r="C137" i="36"/>
  <c r="C165" i="36"/>
  <c r="B304" i="36"/>
  <c r="C321" i="36"/>
  <c r="C322" i="36" s="1"/>
  <c r="C384" i="36"/>
  <c r="C350" i="36"/>
  <c r="C181" i="36"/>
  <c r="B127" i="36"/>
  <c r="E70" i="36"/>
  <c r="C127" i="36" s="1"/>
  <c r="B291" i="36"/>
  <c r="C130" i="36"/>
  <c r="B310" i="36"/>
  <c r="D296" i="36"/>
  <c r="C296" i="36" s="1"/>
  <c r="C84" i="36"/>
  <c r="C107" i="36"/>
  <c r="C25" i="36"/>
  <c r="C86" i="36" s="1"/>
  <c r="C30" i="36"/>
  <c r="C87" i="36" s="1"/>
  <c r="C38" i="36"/>
  <c r="C219" i="36"/>
  <c r="D219" i="36" s="1"/>
  <c r="C128" i="36"/>
  <c r="D300" i="36"/>
  <c r="D136" i="36"/>
  <c r="C234" i="36"/>
  <c r="D234" i="36" s="1"/>
  <c r="C143" i="36"/>
  <c r="D138" i="36"/>
  <c r="C218" i="36"/>
  <c r="D218" i="36" s="1"/>
  <c r="D292" i="36" s="1"/>
  <c r="C223" i="36"/>
  <c r="D223" i="36" s="1"/>
  <c r="D299" i="36" s="1"/>
  <c r="F475" i="36"/>
  <c r="F482" i="36"/>
  <c r="C554" i="36"/>
  <c r="D480" i="36"/>
  <c r="D476" i="36"/>
  <c r="D472" i="36"/>
  <c r="D468" i="36"/>
  <c r="F468" i="36" s="1"/>
  <c r="C546" i="36"/>
  <c r="E470" i="36"/>
  <c r="F470" i="36" s="1"/>
  <c r="E472" i="36"/>
  <c r="D474" i="36"/>
  <c r="E479" i="36"/>
  <c r="F479" i="36" s="1"/>
  <c r="D481" i="36"/>
  <c r="C547" i="36"/>
  <c r="E481" i="36"/>
  <c r="E477" i="36"/>
  <c r="F477" i="36" s="1"/>
  <c r="E473" i="36"/>
  <c r="F473" i="36" s="1"/>
  <c r="E469" i="36"/>
  <c r="C564" i="36"/>
  <c r="D469" i="36"/>
  <c r="D471" i="36"/>
  <c r="E474" i="36"/>
  <c r="E476" i="36"/>
  <c r="D478" i="36"/>
  <c r="F478" i="36" s="1"/>
  <c r="C565" i="36"/>
  <c r="C535" i="36"/>
  <c r="C521" i="36"/>
  <c r="C130" i="35"/>
  <c r="C520" i="35"/>
  <c r="C539" i="35" s="1"/>
  <c r="C569" i="35" s="1"/>
  <c r="C535" i="35"/>
  <c r="B293" i="35"/>
  <c r="D290" i="35"/>
  <c r="B294" i="35"/>
  <c r="D298" i="35"/>
  <c r="C298" i="35" s="1"/>
  <c r="B310" i="35"/>
  <c r="B291" i="35"/>
  <c r="B295" i="35"/>
  <c r="D296" i="35"/>
  <c r="C296" i="35" s="1"/>
  <c r="C133" i="35"/>
  <c r="C223" i="35"/>
  <c r="D223" i="35" s="1"/>
  <c r="D299" i="35" s="1"/>
  <c r="C321" i="35"/>
  <c r="C322" i="35" s="1"/>
  <c r="C384" i="35"/>
  <c r="C326" i="35"/>
  <c r="C181" i="35"/>
  <c r="C350" i="35"/>
  <c r="C165" i="35"/>
  <c r="C128" i="35"/>
  <c r="B131" i="35"/>
  <c r="B304" i="35"/>
  <c r="C228" i="35"/>
  <c r="C244" i="35"/>
  <c r="C267" i="35"/>
  <c r="E66" i="35"/>
  <c r="E70" i="35"/>
  <c r="C127" i="35" s="1"/>
  <c r="F71" i="35"/>
  <c r="D128" i="35" s="1"/>
  <c r="E74" i="35"/>
  <c r="E78" i="35"/>
  <c r="E80" i="35"/>
  <c r="B123" i="35"/>
  <c r="C290" i="35"/>
  <c r="C38" i="35"/>
  <c r="C24" i="35"/>
  <c r="C85" i="35" s="1"/>
  <c r="C51" i="35"/>
  <c r="D616" i="35"/>
  <c r="C218" i="35"/>
  <c r="D218" i="35" s="1"/>
  <c r="D292" i="35" s="1"/>
  <c r="F70" i="35"/>
  <c r="D127" i="35" s="1"/>
  <c r="F78" i="35"/>
  <c r="D137" i="35" s="1"/>
  <c r="F80" i="35"/>
  <c r="D143" i="35" s="1"/>
  <c r="C292" i="35"/>
  <c r="C30" i="35"/>
  <c r="C87" i="35" s="1"/>
  <c r="C25" i="35"/>
  <c r="C86" i="35" s="1"/>
  <c r="E68" i="35"/>
  <c r="C125" i="35" s="1"/>
  <c r="E72" i="35"/>
  <c r="C84" i="35"/>
  <c r="C92" i="35"/>
  <c r="C107" i="35"/>
  <c r="C126" i="35"/>
  <c r="C564" i="35"/>
  <c r="C555" i="35"/>
  <c r="E480" i="35"/>
  <c r="C617" i="35" s="1"/>
  <c r="E476" i="35"/>
  <c r="E472" i="35"/>
  <c r="F472" i="35" s="1"/>
  <c r="E468" i="35"/>
  <c r="F468" i="35" s="1"/>
  <c r="E481" i="35"/>
  <c r="C534" i="35"/>
  <c r="E479" i="35"/>
  <c r="E477" i="35"/>
  <c r="F477" i="35" s="1"/>
  <c r="E470" i="35"/>
  <c r="F470" i="35" s="1"/>
  <c r="E482" i="35"/>
  <c r="F482" i="35" s="1"/>
  <c r="E475" i="35"/>
  <c r="E473" i="35"/>
  <c r="F473" i="35" s="1"/>
  <c r="C547" i="35"/>
  <c r="E478" i="35"/>
  <c r="E471" i="35"/>
  <c r="C616" i="35" s="1"/>
  <c r="E469" i="35"/>
  <c r="F469" i="35" s="1"/>
  <c r="D462" i="35"/>
  <c r="C513" i="35" s="1"/>
  <c r="F478" i="35"/>
  <c r="C586" i="35"/>
  <c r="C494" i="35"/>
  <c r="F480" i="35"/>
  <c r="D514" i="35"/>
  <c r="E514" i="35" s="1"/>
  <c r="D471" i="35"/>
  <c r="D475" i="35"/>
  <c r="D479" i="35"/>
  <c r="C532" i="30"/>
  <c r="C623" i="13"/>
  <c r="C472" i="25"/>
  <c r="C608" i="17"/>
  <c r="C133" i="1"/>
  <c r="B133" i="1"/>
  <c r="B385" i="30"/>
  <c r="C470" i="30" s="1"/>
  <c r="C22" i="30"/>
  <c r="D552" i="30"/>
  <c r="C552" i="30"/>
  <c r="D551" i="30"/>
  <c r="C551" i="30"/>
  <c r="D550" i="30"/>
  <c r="C550" i="30"/>
  <c r="D549" i="30"/>
  <c r="C549" i="30"/>
  <c r="D548" i="30"/>
  <c r="C548" i="30"/>
  <c r="D547" i="30"/>
  <c r="C547" i="30"/>
  <c r="C442" i="30"/>
  <c r="B437" i="30"/>
  <c r="D437" i="30" s="1"/>
  <c r="E437" i="30" s="1"/>
  <c r="F51" i="30"/>
  <c r="C405" i="30"/>
  <c r="D427" i="30" s="1"/>
  <c r="F50" i="30"/>
  <c r="C404" i="30"/>
  <c r="D426" i="30" s="1"/>
  <c r="F49" i="30"/>
  <c r="C403" i="30"/>
  <c r="D425" i="30" s="1"/>
  <c r="D516" i="30" s="1"/>
  <c r="F48" i="30"/>
  <c r="C402" i="30"/>
  <c r="D422" i="30" s="1"/>
  <c r="F47" i="30"/>
  <c r="C401" i="30"/>
  <c r="D421" i="30" s="1"/>
  <c r="D514" i="30" s="1"/>
  <c r="F46" i="30"/>
  <c r="C400" i="30"/>
  <c r="D420" i="30" s="1"/>
  <c r="D513" i="30" s="1"/>
  <c r="F45" i="30"/>
  <c r="C399" i="30"/>
  <c r="D419" i="30" s="1"/>
  <c r="D512" i="30" s="1"/>
  <c r="F44" i="30"/>
  <c r="C398" i="30"/>
  <c r="D418" i="30" s="1"/>
  <c r="D511" i="30" s="1"/>
  <c r="F43" i="30"/>
  <c r="C397" i="30"/>
  <c r="D417" i="30" s="1"/>
  <c r="D510" i="30" s="1"/>
  <c r="F42" i="30"/>
  <c r="C396" i="30"/>
  <c r="D416" i="30" s="1"/>
  <c r="D509" i="30" s="1"/>
  <c r="F41" i="30"/>
  <c r="C395" i="30"/>
  <c r="D415" i="30" s="1"/>
  <c r="D508" i="30" s="1"/>
  <c r="F40" i="30"/>
  <c r="C394" i="30"/>
  <c r="F39" i="30"/>
  <c r="C393" i="30"/>
  <c r="D413" i="30" s="1"/>
  <c r="D506" i="30" s="1"/>
  <c r="F38" i="30"/>
  <c r="C392" i="30"/>
  <c r="D412" i="30" s="1"/>
  <c r="F37" i="30"/>
  <c r="C391" i="30"/>
  <c r="D411" i="30" s="1"/>
  <c r="C319" i="30"/>
  <c r="C321" i="30" s="1"/>
  <c r="C317" i="30"/>
  <c r="C315" i="30"/>
  <c r="C305" i="30"/>
  <c r="C256" i="30"/>
  <c r="B238" i="30"/>
  <c r="B232" i="30"/>
  <c r="B231" i="30"/>
  <c r="B230" i="30"/>
  <c r="B229" i="30"/>
  <c r="B228" i="30"/>
  <c r="B226" i="30"/>
  <c r="B225" i="30"/>
  <c r="C204" i="30"/>
  <c r="C202" i="30"/>
  <c r="B160" i="30"/>
  <c r="B159" i="30"/>
  <c r="B158" i="30"/>
  <c r="B157" i="30"/>
  <c r="B156" i="30"/>
  <c r="C117" i="30"/>
  <c r="C119" i="30" s="1"/>
  <c r="C115" i="30"/>
  <c r="C113" i="30"/>
  <c r="E51" i="30"/>
  <c r="E50" i="30"/>
  <c r="E49" i="30"/>
  <c r="E48" i="30"/>
  <c r="E47" i="30"/>
  <c r="E46" i="30"/>
  <c r="E45" i="30"/>
  <c r="E44" i="30"/>
  <c r="E43" i="30"/>
  <c r="E42" i="30"/>
  <c r="E41" i="30"/>
  <c r="E40" i="30"/>
  <c r="E39" i="30"/>
  <c r="E38" i="30"/>
  <c r="E37" i="30"/>
  <c r="B339" i="25"/>
  <c r="C22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40" i="25"/>
  <c r="D492" i="25"/>
  <c r="C492" i="25"/>
  <c r="D491" i="25"/>
  <c r="C491" i="25"/>
  <c r="D490" i="25"/>
  <c r="C490" i="25"/>
  <c r="D489" i="25"/>
  <c r="C489" i="25"/>
  <c r="D488" i="25"/>
  <c r="C488" i="25"/>
  <c r="D487" i="25"/>
  <c r="C487" i="25"/>
  <c r="C397" i="25"/>
  <c r="B392" i="25"/>
  <c r="C272" i="25"/>
  <c r="C264" i="25"/>
  <c r="C254" i="25"/>
  <c r="C256" i="25" s="1"/>
  <c r="C252" i="25"/>
  <c r="C250" i="25"/>
  <c r="C237" i="25"/>
  <c r="C230" i="25"/>
  <c r="C178" i="25"/>
  <c r="C171" i="25"/>
  <c r="B158" i="25"/>
  <c r="B149" i="25"/>
  <c r="B148" i="25"/>
  <c r="B147" i="25"/>
  <c r="B146" i="25"/>
  <c r="B145" i="25"/>
  <c r="B144" i="25"/>
  <c r="B143" i="25"/>
  <c r="B141" i="25"/>
  <c r="B140" i="25"/>
  <c r="C119" i="25"/>
  <c r="C117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C32" i="25"/>
  <c r="C26" i="25"/>
  <c r="C23" i="25"/>
  <c r="B252" i="13"/>
  <c r="E479" i="13"/>
  <c r="E480" i="13"/>
  <c r="E481" i="13"/>
  <c r="C631" i="13" s="1"/>
  <c r="E482" i="13"/>
  <c r="E483" i="13"/>
  <c r="E484" i="13"/>
  <c r="E485" i="13"/>
  <c r="E486" i="13"/>
  <c r="E487" i="13"/>
  <c r="E488" i="13"/>
  <c r="E489" i="13"/>
  <c r="E490" i="13"/>
  <c r="C632" i="13" s="1"/>
  <c r="E491" i="13"/>
  <c r="E492" i="13"/>
  <c r="E478" i="13"/>
  <c r="D479" i="13"/>
  <c r="D480" i="13"/>
  <c r="D481" i="13"/>
  <c r="B631" i="13" s="1"/>
  <c r="D482" i="13"/>
  <c r="D483" i="13"/>
  <c r="D484" i="13"/>
  <c r="D485" i="13"/>
  <c r="D486" i="13"/>
  <c r="D487" i="13"/>
  <c r="D488" i="13"/>
  <c r="D489" i="13"/>
  <c r="D490" i="13"/>
  <c r="B632" i="13" s="1"/>
  <c r="D491" i="13"/>
  <c r="D492" i="13"/>
  <c r="D478" i="13"/>
  <c r="E140" i="1" l="1"/>
  <c r="D124" i="1"/>
  <c r="C351" i="50"/>
  <c r="B115" i="1"/>
  <c r="D107" i="1"/>
  <c r="C141" i="1"/>
  <c r="F109" i="1"/>
  <c r="E546" i="40"/>
  <c r="C431" i="40"/>
  <c r="C469" i="40" s="1"/>
  <c r="D212" i="37"/>
  <c r="F358" i="37"/>
  <c r="C164" i="37"/>
  <c r="D164" i="37" s="1"/>
  <c r="D216" i="37" s="1"/>
  <c r="E525" i="56"/>
  <c r="B616" i="56"/>
  <c r="F616" i="56" s="1"/>
  <c r="C425" i="54"/>
  <c r="C429" i="54" s="1"/>
  <c r="C430" i="54" s="1"/>
  <c r="C450" i="54"/>
  <c r="C453" i="54" s="1"/>
  <c r="F468" i="54" s="1"/>
  <c r="G468" i="54" s="1"/>
  <c r="H468" i="54" s="1"/>
  <c r="C488" i="50"/>
  <c r="C490" i="50" s="1"/>
  <c r="C315" i="54"/>
  <c r="E315" i="54" s="1"/>
  <c r="F315" i="54" s="1"/>
  <c r="C319" i="54"/>
  <c r="E319" i="54" s="1"/>
  <c r="F319" i="54" s="1"/>
  <c r="C316" i="54"/>
  <c r="E316" i="54" s="1"/>
  <c r="F316" i="54" s="1"/>
  <c r="C312" i="54"/>
  <c r="E312" i="54" s="1"/>
  <c r="F312" i="54" s="1"/>
  <c r="E395" i="54"/>
  <c r="F395" i="54" s="1"/>
  <c r="G395" i="54" s="1"/>
  <c r="C304" i="54"/>
  <c r="E304" i="54" s="1"/>
  <c r="F304" i="54" s="1"/>
  <c r="E385" i="54"/>
  <c r="F385" i="54" s="1"/>
  <c r="G385" i="54" s="1"/>
  <c r="C302" i="54"/>
  <c r="E302" i="54" s="1"/>
  <c r="F302" i="54" s="1"/>
  <c r="E384" i="54"/>
  <c r="F384" i="54" s="1"/>
  <c r="G384" i="54" s="1"/>
  <c r="C321" i="54"/>
  <c r="E321" i="54" s="1"/>
  <c r="F321" i="54" s="1"/>
  <c r="E392" i="54"/>
  <c r="F392" i="54" s="1"/>
  <c r="G392" i="54" s="1"/>
  <c r="C405" i="56"/>
  <c r="C403" i="56"/>
  <c r="E393" i="54"/>
  <c r="F393" i="54" s="1"/>
  <c r="G393" i="54" s="1"/>
  <c r="E396" i="54"/>
  <c r="F396" i="54" s="1"/>
  <c r="G396" i="54" s="1"/>
  <c r="E394" i="54"/>
  <c r="F394" i="54" s="1"/>
  <c r="G394" i="54" s="1"/>
  <c r="E391" i="54"/>
  <c r="F391" i="54" s="1"/>
  <c r="G391" i="54" s="1"/>
  <c r="C352" i="50"/>
  <c r="D374" i="50"/>
  <c r="G374" i="50" s="1"/>
  <c r="H374" i="50" s="1"/>
  <c r="D360" i="50"/>
  <c r="G360" i="50" s="1"/>
  <c r="H360" i="50" s="1"/>
  <c r="D377" i="50"/>
  <c r="G377" i="50" s="1"/>
  <c r="H377" i="50" s="1"/>
  <c r="D367" i="50"/>
  <c r="G367" i="50" s="1"/>
  <c r="H367" i="50" s="1"/>
  <c r="D379" i="50"/>
  <c r="G379" i="50" s="1"/>
  <c r="H379" i="50" s="1"/>
  <c r="F540" i="50"/>
  <c r="G540" i="50" s="1"/>
  <c r="H540" i="50" s="1"/>
  <c r="D358" i="50"/>
  <c r="G358" i="50" s="1"/>
  <c r="H358" i="50" s="1"/>
  <c r="D365" i="50"/>
  <c r="G365" i="50" s="1"/>
  <c r="H365" i="50" s="1"/>
  <c r="F543" i="50"/>
  <c r="G543" i="50" s="1"/>
  <c r="H543" i="50" s="1"/>
  <c r="D361" i="50"/>
  <c r="G361" i="50" s="1"/>
  <c r="H361" i="50" s="1"/>
  <c r="D364" i="50"/>
  <c r="G364" i="50" s="1"/>
  <c r="H364" i="50" s="1"/>
  <c r="D369" i="50"/>
  <c r="G369" i="50" s="1"/>
  <c r="H369" i="50" s="1"/>
  <c r="D362" i="50"/>
  <c r="G362" i="50" s="1"/>
  <c r="H362" i="50" s="1"/>
  <c r="F535" i="50"/>
  <c r="G535" i="50" s="1"/>
  <c r="H535" i="50" s="1"/>
  <c r="C340" i="50"/>
  <c r="C341" i="50" s="1"/>
  <c r="D373" i="50"/>
  <c r="G373" i="50" s="1"/>
  <c r="H373" i="50" s="1"/>
  <c r="D375" i="50"/>
  <c r="G375" i="50" s="1"/>
  <c r="H375" i="50" s="1"/>
  <c r="D370" i="50"/>
  <c r="G370" i="50" s="1"/>
  <c r="H370" i="50" s="1"/>
  <c r="C319" i="50"/>
  <c r="A285" i="50" s="1"/>
  <c r="D372" i="50"/>
  <c r="G372" i="50" s="1"/>
  <c r="H372" i="50" s="1"/>
  <c r="C502" i="50"/>
  <c r="D363" i="50"/>
  <c r="G363" i="50" s="1"/>
  <c r="H363" i="50" s="1"/>
  <c r="D371" i="50"/>
  <c r="G371" i="50" s="1"/>
  <c r="H371" i="50" s="1"/>
  <c r="C494" i="50"/>
  <c r="F539" i="50"/>
  <c r="G539" i="50" s="1"/>
  <c r="B591" i="50" s="1"/>
  <c r="D368" i="50"/>
  <c r="G368" i="50" s="1"/>
  <c r="H368" i="50" s="1"/>
  <c r="D378" i="50"/>
  <c r="G378" i="50" s="1"/>
  <c r="H378" i="50" s="1"/>
  <c r="D359" i="50"/>
  <c r="G359" i="50" s="1"/>
  <c r="H359" i="50" s="1"/>
  <c r="D376" i="50"/>
  <c r="G376" i="50" s="1"/>
  <c r="H376" i="50" s="1"/>
  <c r="D366" i="50"/>
  <c r="G366" i="50" s="1"/>
  <c r="H366" i="50" s="1"/>
  <c r="F538" i="50"/>
  <c r="G538" i="50" s="1"/>
  <c r="H538" i="50" s="1"/>
  <c r="F534" i="50"/>
  <c r="G534" i="50" s="1"/>
  <c r="B590" i="50" s="1"/>
  <c r="F529" i="50"/>
  <c r="G529" i="50" s="1"/>
  <c r="H529" i="50" s="1"/>
  <c r="C554" i="50"/>
  <c r="C556" i="50" s="1"/>
  <c r="F542" i="50"/>
  <c r="G542" i="50" s="1"/>
  <c r="H542" i="50" s="1"/>
  <c r="F537" i="50"/>
  <c r="G537" i="50" s="1"/>
  <c r="H537" i="50" s="1"/>
  <c r="F541" i="50"/>
  <c r="G541" i="50" s="1"/>
  <c r="F531" i="50"/>
  <c r="G531" i="50" s="1"/>
  <c r="H531" i="50" s="1"/>
  <c r="F530" i="50"/>
  <c r="G530" i="50" s="1"/>
  <c r="H530" i="50" s="1"/>
  <c r="F536" i="50"/>
  <c r="G536" i="50" s="1"/>
  <c r="H536" i="50" s="1"/>
  <c r="D462" i="50"/>
  <c r="E462" i="50" s="1"/>
  <c r="F533" i="50"/>
  <c r="G533" i="50" s="1"/>
  <c r="H533" i="50" s="1"/>
  <c r="E389" i="54"/>
  <c r="F389" i="54" s="1"/>
  <c r="G389" i="54" s="1"/>
  <c r="C322" i="54"/>
  <c r="E322" i="54" s="1"/>
  <c r="F322" i="54" s="1"/>
  <c r="E383" i="54"/>
  <c r="F383" i="54" s="1"/>
  <c r="G383" i="54" s="1"/>
  <c r="E386" i="54"/>
  <c r="F386" i="54" s="1"/>
  <c r="G386" i="54" s="1"/>
  <c r="C320" i="54"/>
  <c r="E320" i="54" s="1"/>
  <c r="F320" i="54" s="1"/>
  <c r="C405" i="54"/>
  <c r="C408" i="54" s="1"/>
  <c r="D408" i="54" s="1"/>
  <c r="E408" i="54" s="1"/>
  <c r="E390" i="54"/>
  <c r="F390" i="54" s="1"/>
  <c r="G390" i="54" s="1"/>
  <c r="C305" i="54"/>
  <c r="E305" i="54" s="1"/>
  <c r="F305" i="54" s="1"/>
  <c r="C313" i="54"/>
  <c r="E313" i="54" s="1"/>
  <c r="F313" i="54" s="1"/>
  <c r="C307" i="54"/>
  <c r="E307" i="54" s="1"/>
  <c r="F307" i="54" s="1"/>
  <c r="C317" i="54"/>
  <c r="E317" i="54" s="1"/>
  <c r="F317" i="54" s="1"/>
  <c r="C306" i="54"/>
  <c r="E306" i="54" s="1"/>
  <c r="F306" i="54" s="1"/>
  <c r="E397" i="54"/>
  <c r="F397" i="54" s="1"/>
  <c r="G397" i="54" s="1"/>
  <c r="C308" i="54"/>
  <c r="E308" i="54" s="1"/>
  <c r="F308" i="54" s="1"/>
  <c r="C309" i="54"/>
  <c r="E309" i="54" s="1"/>
  <c r="F309" i="54" s="1"/>
  <c r="C318" i="54"/>
  <c r="E318" i="54" s="1"/>
  <c r="F318" i="54" s="1"/>
  <c r="C310" i="54"/>
  <c r="E310" i="54" s="1"/>
  <c r="F310" i="54" s="1"/>
  <c r="C314" i="54"/>
  <c r="E314" i="54" s="1"/>
  <c r="F314" i="54" s="1"/>
  <c r="C303" i="54"/>
  <c r="E303" i="54" s="1"/>
  <c r="F303" i="54" s="1"/>
  <c r="C311" i="54"/>
  <c r="E311" i="54" s="1"/>
  <c r="F311" i="54" s="1"/>
  <c r="E388" i="54"/>
  <c r="F388" i="54" s="1"/>
  <c r="G388" i="54" s="1"/>
  <c r="E387" i="54"/>
  <c r="F387" i="54" s="1"/>
  <c r="G387" i="54" s="1"/>
  <c r="D329" i="54"/>
  <c r="G329" i="54" s="1"/>
  <c r="H329" i="54" s="1"/>
  <c r="D333" i="54"/>
  <c r="G333" i="54" s="1"/>
  <c r="H333" i="54" s="1"/>
  <c r="D337" i="54"/>
  <c r="G337" i="54" s="1"/>
  <c r="H337" i="54" s="1"/>
  <c r="D341" i="54"/>
  <c r="G341" i="54" s="1"/>
  <c r="H341" i="54" s="1"/>
  <c r="D345" i="54"/>
  <c r="G345" i="54" s="1"/>
  <c r="H345" i="54" s="1"/>
  <c r="D349" i="54"/>
  <c r="G349" i="54" s="1"/>
  <c r="H349" i="54" s="1"/>
  <c r="D344" i="54"/>
  <c r="G344" i="54" s="1"/>
  <c r="H344" i="54" s="1"/>
  <c r="D330" i="54"/>
  <c r="G330" i="54" s="1"/>
  <c r="H330" i="54" s="1"/>
  <c r="D334" i="54"/>
  <c r="G334" i="54" s="1"/>
  <c r="H334" i="54" s="1"/>
  <c r="D338" i="54"/>
  <c r="G338" i="54" s="1"/>
  <c r="H338" i="54" s="1"/>
  <c r="D342" i="54"/>
  <c r="G342" i="54" s="1"/>
  <c r="H342" i="54" s="1"/>
  <c r="D346" i="54"/>
  <c r="G346" i="54" s="1"/>
  <c r="H346" i="54" s="1"/>
  <c r="D328" i="54"/>
  <c r="G328" i="54" s="1"/>
  <c r="H328" i="54" s="1"/>
  <c r="C269" i="54"/>
  <c r="C290" i="54" s="1"/>
  <c r="C293" i="54" s="1"/>
  <c r="C456" i="54" s="1"/>
  <c r="C458" i="54" s="1"/>
  <c r="D332" i="54"/>
  <c r="G332" i="54" s="1"/>
  <c r="H332" i="54" s="1"/>
  <c r="D340" i="54"/>
  <c r="G340" i="54" s="1"/>
  <c r="H340" i="54" s="1"/>
  <c r="D331" i="54"/>
  <c r="G331" i="54" s="1"/>
  <c r="H331" i="54" s="1"/>
  <c r="D335" i="54"/>
  <c r="G335" i="54" s="1"/>
  <c r="H335" i="54" s="1"/>
  <c r="D339" i="54"/>
  <c r="G339" i="54" s="1"/>
  <c r="H339" i="54" s="1"/>
  <c r="D343" i="54"/>
  <c r="G343" i="54" s="1"/>
  <c r="H343" i="54" s="1"/>
  <c r="D347" i="54"/>
  <c r="G347" i="54" s="1"/>
  <c r="H347" i="54" s="1"/>
  <c r="D336" i="54"/>
  <c r="G336" i="54" s="1"/>
  <c r="H336" i="54" s="1"/>
  <c r="D348" i="54"/>
  <c r="G348" i="54" s="1"/>
  <c r="H348" i="54" s="1"/>
  <c r="C264" i="54"/>
  <c r="B229" i="54" s="1"/>
  <c r="C263" i="54"/>
  <c r="E381" i="54"/>
  <c r="F381" i="54" s="1"/>
  <c r="G381" i="54" s="1"/>
  <c r="C301" i="54"/>
  <c r="E301" i="54" s="1"/>
  <c r="F301" i="54" s="1"/>
  <c r="E382" i="54"/>
  <c r="F382" i="54" s="1"/>
  <c r="G382" i="54" s="1"/>
  <c r="C58" i="44"/>
  <c r="C88" i="38"/>
  <c r="C62" i="40"/>
  <c r="C100" i="45"/>
  <c r="C492" i="37"/>
  <c r="C501" i="37" s="1"/>
  <c r="C61" i="37"/>
  <c r="C199" i="45"/>
  <c r="C85" i="42"/>
  <c r="C97" i="46"/>
  <c r="C394" i="46"/>
  <c r="C110" i="45"/>
  <c r="C88" i="36"/>
  <c r="C490" i="37"/>
  <c r="C60" i="37"/>
  <c r="C62" i="37" s="1"/>
  <c r="C88" i="39"/>
  <c r="C33" i="45"/>
  <c r="C34" i="45" s="1"/>
  <c r="C57" i="46"/>
  <c r="C42" i="44"/>
  <c r="C87" i="44"/>
  <c r="C88" i="44" s="1"/>
  <c r="C46" i="46"/>
  <c r="C87" i="46"/>
  <c r="C113" i="46"/>
  <c r="C114" i="46" s="1"/>
  <c r="C85" i="46"/>
  <c r="C53" i="45"/>
  <c r="C87" i="45"/>
  <c r="C88" i="45" s="1"/>
  <c r="C88" i="35"/>
  <c r="C40" i="45"/>
  <c r="C174" i="45"/>
  <c r="C170" i="46"/>
  <c r="C44" i="46"/>
  <c r="C45" i="46" s="1"/>
  <c r="C190" i="46"/>
  <c r="I75" i="42"/>
  <c r="D135" i="42" s="1"/>
  <c r="B251" i="42" s="1"/>
  <c r="C512" i="42" s="1"/>
  <c r="C603" i="42" s="1"/>
  <c r="H75" i="42"/>
  <c r="C135" i="42" s="1"/>
  <c r="B225" i="42" s="1"/>
  <c r="B135" i="42"/>
  <c r="H77" i="42"/>
  <c r="C141" i="42" s="1"/>
  <c r="B136" i="45"/>
  <c r="B137" i="45" s="1"/>
  <c r="B366" i="45"/>
  <c r="C321" i="45"/>
  <c r="D321" i="45" s="1"/>
  <c r="D366" i="45" s="1"/>
  <c r="C366" i="45" s="1"/>
  <c r="B439" i="45" s="1"/>
  <c r="C483" i="40"/>
  <c r="B128" i="39"/>
  <c r="B126" i="39"/>
  <c r="H71" i="39"/>
  <c r="H69" i="39"/>
  <c r="C603" i="39" s="1"/>
  <c r="F479" i="38"/>
  <c r="C220" i="38"/>
  <c r="D220" i="38" s="1"/>
  <c r="D295" i="38" s="1"/>
  <c r="B441" i="38" s="1"/>
  <c r="C129" i="38"/>
  <c r="F482" i="38"/>
  <c r="C594" i="38" s="1"/>
  <c r="F468" i="38"/>
  <c r="F481" i="36"/>
  <c r="F469" i="36"/>
  <c r="C581" i="36" s="1"/>
  <c r="F474" i="44"/>
  <c r="F475" i="44"/>
  <c r="F469" i="44"/>
  <c r="C489" i="44" s="1"/>
  <c r="C298" i="46"/>
  <c r="C227" i="46"/>
  <c r="D227" i="46" s="1"/>
  <c r="D303" i="46" s="1"/>
  <c r="F469" i="46"/>
  <c r="C489" i="46" s="1"/>
  <c r="F473" i="46"/>
  <c r="C493" i="46" s="1"/>
  <c r="F472" i="46"/>
  <c r="F482" i="46"/>
  <c r="C504" i="46" s="1"/>
  <c r="C134" i="35"/>
  <c r="F476" i="35"/>
  <c r="C124" i="35"/>
  <c r="B423" i="40"/>
  <c r="D423" i="40" s="1"/>
  <c r="E423" i="40" s="1"/>
  <c r="C68" i="40"/>
  <c r="C531" i="40"/>
  <c r="C539" i="40" s="1"/>
  <c r="C529" i="40"/>
  <c r="C212" i="37"/>
  <c r="F345" i="37"/>
  <c r="C365" i="37" s="1"/>
  <c r="C211" i="37"/>
  <c r="B286" i="37" s="1"/>
  <c r="F351" i="37"/>
  <c r="C371" i="37" s="1"/>
  <c r="C167" i="37"/>
  <c r="D167" i="37" s="1"/>
  <c r="D220" i="37" s="1"/>
  <c r="C220" i="37" s="1"/>
  <c r="F354" i="37"/>
  <c r="C374" i="37" s="1"/>
  <c r="C92" i="37"/>
  <c r="F349" i="37"/>
  <c r="C369" i="37" s="1"/>
  <c r="C88" i="37"/>
  <c r="D219" i="37"/>
  <c r="C219" i="37" s="1"/>
  <c r="B294" i="37" s="1"/>
  <c r="D215" i="37"/>
  <c r="B317" i="37" s="1"/>
  <c r="F347" i="37"/>
  <c r="C459" i="37" s="1"/>
  <c r="F348" i="37"/>
  <c r="C460" i="37" s="1"/>
  <c r="F353" i="37"/>
  <c r="C373" i="37" s="1"/>
  <c r="C87" i="37"/>
  <c r="C83" i="37"/>
  <c r="B98" i="40"/>
  <c r="B99" i="40" s="1"/>
  <c r="B100" i="40" s="1"/>
  <c r="B85" i="48"/>
  <c r="D85" i="48" s="1"/>
  <c r="B172" i="48"/>
  <c r="D172" i="48" s="1"/>
  <c r="B87" i="48"/>
  <c r="D87" i="48" s="1"/>
  <c r="B174" i="48"/>
  <c r="D174" i="48" s="1"/>
  <c r="B82" i="48"/>
  <c r="B169" i="48"/>
  <c r="D169" i="48" s="1"/>
  <c r="B75" i="48"/>
  <c r="D75" i="48" s="1"/>
  <c r="B162" i="48"/>
  <c r="D162" i="48" s="1"/>
  <c r="B76" i="48"/>
  <c r="B163" i="48"/>
  <c r="D163" i="48" s="1"/>
  <c r="B86" i="48"/>
  <c r="D86" i="48" s="1"/>
  <c r="B173" i="48"/>
  <c r="D173" i="48" s="1"/>
  <c r="B81" i="48"/>
  <c r="D81" i="48" s="1"/>
  <c r="B168" i="48"/>
  <c r="D168" i="48" s="1"/>
  <c r="B83" i="48"/>
  <c r="D83" i="48" s="1"/>
  <c r="B170" i="48"/>
  <c r="D170" i="48" s="1"/>
  <c r="B84" i="48"/>
  <c r="B171" i="48"/>
  <c r="D171" i="48" s="1"/>
  <c r="B78" i="48"/>
  <c r="D78" i="48" s="1"/>
  <c r="B165" i="48"/>
  <c r="D165" i="48" s="1"/>
  <c r="B77" i="48"/>
  <c r="D77" i="48" s="1"/>
  <c r="B164" i="48"/>
  <c r="D164" i="48" s="1"/>
  <c r="B79" i="48"/>
  <c r="D79" i="48" s="1"/>
  <c r="B166" i="48"/>
  <c r="D166" i="48" s="1"/>
  <c r="B80" i="48"/>
  <c r="D80" i="48" s="1"/>
  <c r="B167" i="48"/>
  <c r="D167" i="48" s="1"/>
  <c r="B74" i="48"/>
  <c r="B161" i="48"/>
  <c r="D161" i="48" s="1"/>
  <c r="D82" i="48"/>
  <c r="D76" i="48"/>
  <c r="D74" i="48"/>
  <c r="D84" i="48"/>
  <c r="B95" i="48"/>
  <c r="D95" i="48" s="1"/>
  <c r="E95" i="48" s="1"/>
  <c r="C104" i="48"/>
  <c r="B160" i="48"/>
  <c r="D160" i="48" s="1"/>
  <c r="C150" i="48"/>
  <c r="B435" i="46"/>
  <c r="B456" i="46"/>
  <c r="B443" i="46"/>
  <c r="C297" i="46"/>
  <c r="C217" i="46"/>
  <c r="D217" i="46" s="1"/>
  <c r="D290" i="46" s="1"/>
  <c r="C124" i="46"/>
  <c r="C133" i="46"/>
  <c r="C223" i="46"/>
  <c r="D223" i="46" s="1"/>
  <c r="D299" i="46" s="1"/>
  <c r="B295" i="46"/>
  <c r="B292" i="46"/>
  <c r="B417" i="46"/>
  <c r="C130" i="46"/>
  <c r="C221" i="46"/>
  <c r="D221" i="46" s="1"/>
  <c r="C173" i="46"/>
  <c r="C129" i="46"/>
  <c r="C220" i="46"/>
  <c r="D220" i="46" s="1"/>
  <c r="D295" i="46" s="1"/>
  <c r="C245" i="46"/>
  <c r="B437" i="46"/>
  <c r="C569" i="46"/>
  <c r="F479" i="46"/>
  <c r="B616" i="46"/>
  <c r="F471" i="46"/>
  <c r="C580" i="46"/>
  <c r="C488" i="46"/>
  <c r="C586" i="46"/>
  <c r="C494" i="46"/>
  <c r="B299" i="46"/>
  <c r="B296" i="46"/>
  <c r="C93" i="46"/>
  <c r="C94" i="46" s="1"/>
  <c r="C327" i="46"/>
  <c r="B300" i="46"/>
  <c r="B449" i="46"/>
  <c r="D616" i="46"/>
  <c r="C218" i="46"/>
  <c r="D218" i="46" s="1"/>
  <c r="D292" i="46" s="1"/>
  <c r="C126" i="46"/>
  <c r="C363" i="46"/>
  <c r="C371" i="46"/>
  <c r="C398" i="46"/>
  <c r="C342" i="46"/>
  <c r="C584" i="46"/>
  <c r="C492" i="46"/>
  <c r="B617" i="46"/>
  <c r="E617" i="46" s="1"/>
  <c r="F480" i="46"/>
  <c r="C589" i="46"/>
  <c r="C497" i="46"/>
  <c r="C594" i="46"/>
  <c r="C100" i="46"/>
  <c r="C134" i="46"/>
  <c r="C224" i="46"/>
  <c r="C310" i="46"/>
  <c r="C336" i="46"/>
  <c r="C386" i="46"/>
  <c r="C352" i="46"/>
  <c r="C183" i="46"/>
  <c r="C172" i="46"/>
  <c r="C254" i="46"/>
  <c r="C135" i="46"/>
  <c r="C53" i="46"/>
  <c r="C54" i="46" s="1"/>
  <c r="C59" i="46"/>
  <c r="C33" i="46"/>
  <c r="C28" i="46" s="1"/>
  <c r="C269" i="46"/>
  <c r="B135" i="46"/>
  <c r="C99" i="46"/>
  <c r="C55" i="46"/>
  <c r="C40" i="46"/>
  <c r="C41" i="46" s="1"/>
  <c r="C109" i="46"/>
  <c r="C110" i="46" s="1"/>
  <c r="C588" i="46"/>
  <c r="C496" i="46"/>
  <c r="C582" i="46"/>
  <c r="C490" i="46"/>
  <c r="B304" i="46"/>
  <c r="C228" i="46"/>
  <c r="B140" i="46"/>
  <c r="B305" i="46"/>
  <c r="C229" i="46"/>
  <c r="D229" i="46" s="1"/>
  <c r="D305" i="46" s="1"/>
  <c r="D136" i="46"/>
  <c r="C521" i="46"/>
  <c r="C503" i="46"/>
  <c r="C593" i="46"/>
  <c r="C219" i="46"/>
  <c r="D219" i="46" s="1"/>
  <c r="D294" i="46" s="1"/>
  <c r="C128" i="46"/>
  <c r="C42" i="46"/>
  <c r="C581" i="46"/>
  <c r="C585" i="46"/>
  <c r="F475" i="46"/>
  <c r="C590" i="46"/>
  <c r="C498" i="46"/>
  <c r="C303" i="46"/>
  <c r="B291" i="46"/>
  <c r="C289" i="46"/>
  <c r="D296" i="46"/>
  <c r="C166" i="46"/>
  <c r="C167" i="46" s="1"/>
  <c r="C256" i="46"/>
  <c r="B412" i="46"/>
  <c r="D140" i="46"/>
  <c r="C338" i="46"/>
  <c r="C369" i="45"/>
  <c r="C508" i="45"/>
  <c r="C605" i="45" s="1"/>
  <c r="B250" i="45"/>
  <c r="C163" i="45"/>
  <c r="C52" i="45"/>
  <c r="C173" i="45"/>
  <c r="C175" i="45" s="1"/>
  <c r="B140" i="45"/>
  <c r="B141" i="45" s="1"/>
  <c r="C99" i="45"/>
  <c r="C46" i="45"/>
  <c r="C198" i="45"/>
  <c r="C39" i="45"/>
  <c r="C109" i="45"/>
  <c r="C33" i="40"/>
  <c r="C34" i="40" s="1"/>
  <c r="C94" i="45"/>
  <c r="C95" i="45" s="1"/>
  <c r="B219" i="45"/>
  <c r="C128" i="40"/>
  <c r="D323" i="45"/>
  <c r="D369" i="45" s="1"/>
  <c r="B254" i="45"/>
  <c r="C101" i="45"/>
  <c r="C518" i="45"/>
  <c r="C613" i="45" s="1"/>
  <c r="C502" i="45"/>
  <c r="C599" i="45" s="1"/>
  <c r="C55" i="45"/>
  <c r="D527" i="45"/>
  <c r="E527" i="45" s="1"/>
  <c r="B224" i="45"/>
  <c r="B362" i="45"/>
  <c r="C510" i="45"/>
  <c r="C607" i="45" s="1"/>
  <c r="B243" i="45"/>
  <c r="B217" i="45"/>
  <c r="C204" i="45"/>
  <c r="C178" i="45"/>
  <c r="C179" i="45" s="1"/>
  <c r="C162" i="45"/>
  <c r="C44" i="45"/>
  <c r="C114" i="45"/>
  <c r="C115" i="45" s="1"/>
  <c r="C98" i="45"/>
  <c r="C57" i="45"/>
  <c r="B360" i="45"/>
  <c r="C504" i="45"/>
  <c r="C601" i="45" s="1"/>
  <c r="C158" i="45"/>
  <c r="C159" i="45" s="1"/>
  <c r="B94" i="40"/>
  <c r="B156" i="40" s="1"/>
  <c r="C555" i="45"/>
  <c r="C587" i="45"/>
  <c r="B374" i="45"/>
  <c r="C328" i="45"/>
  <c r="D328" i="45" s="1"/>
  <c r="D374" i="45" s="1"/>
  <c r="B223" i="45"/>
  <c r="B214" i="45"/>
  <c r="B364" i="45"/>
  <c r="C319" i="45"/>
  <c r="D319" i="45" s="1"/>
  <c r="D364" i="45" s="1"/>
  <c r="B467" i="45"/>
  <c r="E635" i="45"/>
  <c r="C535" i="45"/>
  <c r="B249" i="45"/>
  <c r="C165" i="45"/>
  <c r="B245" i="45"/>
  <c r="C42" i="45"/>
  <c r="C59" i="45"/>
  <c r="C506" i="45"/>
  <c r="C603" i="45" s="1"/>
  <c r="B359" i="45"/>
  <c r="C316" i="45"/>
  <c r="D316" i="45" s="1"/>
  <c r="D359" i="45" s="1"/>
  <c r="C372" i="45"/>
  <c r="B365" i="45"/>
  <c r="C320" i="45"/>
  <c r="D320" i="45" s="1"/>
  <c r="D365" i="45" s="1"/>
  <c r="C129" i="40"/>
  <c r="C67" i="40"/>
  <c r="B147" i="40"/>
  <c r="B173" i="40"/>
  <c r="C401" i="40" s="1"/>
  <c r="C498" i="40" s="1"/>
  <c r="B181" i="40"/>
  <c r="C409" i="40" s="1"/>
  <c r="B155" i="40"/>
  <c r="B499" i="40"/>
  <c r="F499" i="40" s="1"/>
  <c r="E402" i="40"/>
  <c r="B279" i="40"/>
  <c r="C234" i="40"/>
  <c r="D234" i="40" s="1"/>
  <c r="D279" i="40" s="1"/>
  <c r="C521" i="44"/>
  <c r="C556" i="44" s="1"/>
  <c r="C495" i="44"/>
  <c r="C587" i="44"/>
  <c r="B443" i="44"/>
  <c r="C297" i="44"/>
  <c r="C594" i="44"/>
  <c r="C504" i="44"/>
  <c r="B412" i="44"/>
  <c r="C497" i="44"/>
  <c r="C589" i="44"/>
  <c r="C342" i="44"/>
  <c r="C398" i="44"/>
  <c r="C371" i="44"/>
  <c r="C363" i="44"/>
  <c r="F481" i="44"/>
  <c r="C583" i="44"/>
  <c r="C491" i="44"/>
  <c r="C592" i="44"/>
  <c r="C502" i="44"/>
  <c r="B303" i="44"/>
  <c r="C296" i="44"/>
  <c r="D299" i="44"/>
  <c r="B295" i="44"/>
  <c r="D140" i="44"/>
  <c r="C128" i="44"/>
  <c r="C219" i="44"/>
  <c r="D219" i="44" s="1"/>
  <c r="D294" i="44" s="1"/>
  <c r="C586" i="44"/>
  <c r="C494" i="44"/>
  <c r="C582" i="44"/>
  <c r="C490" i="44"/>
  <c r="C338" i="44"/>
  <c r="C245" i="44"/>
  <c r="C327" i="44"/>
  <c r="C173" i="44"/>
  <c r="C93" i="44"/>
  <c r="C94" i="44" s="1"/>
  <c r="C216" i="44"/>
  <c r="D216" i="44" s="1"/>
  <c r="C166" i="44"/>
  <c r="C167" i="44" s="1"/>
  <c r="C256" i="44"/>
  <c r="C100" i="44"/>
  <c r="C123" i="44"/>
  <c r="B304" i="44"/>
  <c r="C228" i="44"/>
  <c r="B140" i="44"/>
  <c r="B438" i="44"/>
  <c r="C569" i="44"/>
  <c r="C581" i="44"/>
  <c r="C172" i="44"/>
  <c r="C352" i="44"/>
  <c r="C336" i="44"/>
  <c r="C269" i="44"/>
  <c r="C183" i="44"/>
  <c r="C135" i="44"/>
  <c r="C136" i="44" s="1"/>
  <c r="C109" i="44"/>
  <c r="C110" i="44" s="1"/>
  <c r="C254" i="44"/>
  <c r="B135" i="44"/>
  <c r="C53" i="44"/>
  <c r="C54" i="44" s="1"/>
  <c r="C386" i="44"/>
  <c r="C55" i="44"/>
  <c r="C33" i="44"/>
  <c r="C28" i="44" s="1"/>
  <c r="C99" i="44"/>
  <c r="C59" i="44"/>
  <c r="C40" i="44"/>
  <c r="C41" i="44" s="1"/>
  <c r="C46" i="44"/>
  <c r="C47" i="44" s="1"/>
  <c r="C499" i="44"/>
  <c r="C501" i="44" s="1"/>
  <c r="B513" i="44" s="1"/>
  <c r="D513" i="44" s="1"/>
  <c r="E513" i="44" s="1"/>
  <c r="C591" i="44"/>
  <c r="B449" i="44"/>
  <c r="B299" i="44"/>
  <c r="B305" i="44"/>
  <c r="C229" i="44"/>
  <c r="D229" i="44" s="1"/>
  <c r="D305" i="44" s="1"/>
  <c r="D224" i="44"/>
  <c r="D300" i="44" s="1"/>
  <c r="C300" i="44" s="1"/>
  <c r="D298" i="44"/>
  <c r="C217" i="44"/>
  <c r="D217" i="44" s="1"/>
  <c r="C124" i="44"/>
  <c r="D295" i="44"/>
  <c r="B291" i="44"/>
  <c r="B298" i="44"/>
  <c r="B442" i="44"/>
  <c r="B290" i="44"/>
  <c r="B439" i="44"/>
  <c r="C588" i="44"/>
  <c r="C496" i="44"/>
  <c r="C493" i="44"/>
  <c r="C585" i="44"/>
  <c r="F472" i="44"/>
  <c r="C580" i="44"/>
  <c r="C488" i="44"/>
  <c r="C590" i="44"/>
  <c r="C498" i="44"/>
  <c r="C234" i="44"/>
  <c r="D234" i="44" s="1"/>
  <c r="D310" i="44" s="1"/>
  <c r="C310" i="44" s="1"/>
  <c r="C143" i="44"/>
  <c r="C292" i="44"/>
  <c r="D291" i="44"/>
  <c r="D290" i="44"/>
  <c r="C43" i="42"/>
  <c r="B241" i="42"/>
  <c r="B231" i="42"/>
  <c r="C509" i="42"/>
  <c r="B219" i="42"/>
  <c r="C579" i="42"/>
  <c r="C550" i="42"/>
  <c r="B237" i="42"/>
  <c r="C201" i="42"/>
  <c r="C175" i="42"/>
  <c r="C176" i="42" s="1"/>
  <c r="C159" i="42"/>
  <c r="C95" i="42"/>
  <c r="C111" i="42"/>
  <c r="C112" i="42" s="1"/>
  <c r="C54" i="42"/>
  <c r="C41" i="42"/>
  <c r="B218" i="42"/>
  <c r="B215" i="42"/>
  <c r="B213" i="42"/>
  <c r="B246" i="42"/>
  <c r="B366" i="42"/>
  <c r="C320" i="42"/>
  <c r="B211" i="42"/>
  <c r="B243" i="42"/>
  <c r="C98" i="42"/>
  <c r="C42" i="39"/>
  <c r="C566" i="42"/>
  <c r="C558" i="42"/>
  <c r="B240" i="42"/>
  <c r="B214" i="42"/>
  <c r="B220" i="42"/>
  <c r="B238" i="42"/>
  <c r="B257" i="42"/>
  <c r="B216" i="42"/>
  <c r="C155" i="42"/>
  <c r="C156" i="42" s="1"/>
  <c r="C160" i="42"/>
  <c r="C170" i="42"/>
  <c r="B137" i="42"/>
  <c r="C36" i="42"/>
  <c r="C52" i="42"/>
  <c r="C195" i="42"/>
  <c r="C106" i="42"/>
  <c r="C49" i="42"/>
  <c r="C96" i="42"/>
  <c r="C56" i="42"/>
  <c r="C508" i="42"/>
  <c r="C601" i="42" s="1"/>
  <c r="B212" i="42"/>
  <c r="C171" i="42"/>
  <c r="C196" i="42"/>
  <c r="C97" i="42"/>
  <c r="B133" i="42"/>
  <c r="C37" i="42"/>
  <c r="C107" i="42"/>
  <c r="C50" i="42"/>
  <c r="C161" i="42"/>
  <c r="C30" i="42"/>
  <c r="C26" i="42" s="1"/>
  <c r="B221" i="42"/>
  <c r="B252" i="42"/>
  <c r="C39" i="42"/>
  <c r="B217" i="42"/>
  <c r="B244" i="42"/>
  <c r="B239" i="42"/>
  <c r="B369" i="42"/>
  <c r="C323" i="42"/>
  <c r="D323" i="42" s="1"/>
  <c r="D369" i="42" s="1"/>
  <c r="B242" i="42"/>
  <c r="B245" i="42"/>
  <c r="C91" i="42"/>
  <c r="C92" i="42" s="1"/>
  <c r="C42" i="38"/>
  <c r="C59" i="38"/>
  <c r="D414" i="30"/>
  <c r="D507" i="30" s="1"/>
  <c r="C63" i="30"/>
  <c r="C55" i="30"/>
  <c r="B355" i="40"/>
  <c r="C277" i="40"/>
  <c r="B151" i="40"/>
  <c r="B184" i="40"/>
  <c r="C497" i="40"/>
  <c r="B175" i="40"/>
  <c r="C403" i="40" s="1"/>
  <c r="C414" i="40"/>
  <c r="C509" i="40" s="1"/>
  <c r="C504" i="40"/>
  <c r="C59" i="39"/>
  <c r="C82" i="40"/>
  <c r="B176" i="40"/>
  <c r="C404" i="40" s="1"/>
  <c r="B171" i="40"/>
  <c r="D229" i="40"/>
  <c r="D272" i="40" s="1"/>
  <c r="B272" i="40"/>
  <c r="B273" i="40"/>
  <c r="C505" i="40"/>
  <c r="B158" i="40"/>
  <c r="B153" i="40"/>
  <c r="B280" i="40" s="1"/>
  <c r="C280" i="40" s="1"/>
  <c r="B336" i="40" s="1"/>
  <c r="B407" i="40" s="1"/>
  <c r="B154" i="40"/>
  <c r="B149" i="40"/>
  <c r="C134" i="40"/>
  <c r="C72" i="40"/>
  <c r="C73" i="40" s="1"/>
  <c r="C503" i="40"/>
  <c r="C502" i="40"/>
  <c r="B164" i="40"/>
  <c r="C170" i="39"/>
  <c r="C394" i="39"/>
  <c r="C359" i="39"/>
  <c r="C113" i="39"/>
  <c r="C114" i="39" s="1"/>
  <c r="C276" i="39"/>
  <c r="C190" i="39"/>
  <c r="C97" i="39"/>
  <c r="C44" i="39"/>
  <c r="C57" i="39"/>
  <c r="B294" i="39"/>
  <c r="C216" i="39"/>
  <c r="D216" i="39" s="1"/>
  <c r="C123" i="39"/>
  <c r="C222" i="39"/>
  <c r="D222" i="39" s="1"/>
  <c r="D297" i="39" s="1"/>
  <c r="C131" i="39"/>
  <c r="D303" i="39"/>
  <c r="C126" i="39"/>
  <c r="C134" i="39"/>
  <c r="C224" i="39"/>
  <c r="I67" i="39"/>
  <c r="D124" i="39" s="1"/>
  <c r="H67" i="39"/>
  <c r="C166" i="39" s="1"/>
  <c r="C167" i="39" s="1"/>
  <c r="B124" i="39"/>
  <c r="B298" i="39"/>
  <c r="C578" i="39"/>
  <c r="B514" i="39"/>
  <c r="D514" i="39" s="1"/>
  <c r="E514" i="39" s="1"/>
  <c r="B604" i="39"/>
  <c r="C502" i="39"/>
  <c r="C579" i="39" s="1"/>
  <c r="B296" i="39"/>
  <c r="B300" i="39"/>
  <c r="C234" i="39"/>
  <c r="D234" i="39" s="1"/>
  <c r="D310" i="39" s="1"/>
  <c r="C143" i="39"/>
  <c r="D291" i="39"/>
  <c r="D299" i="39"/>
  <c r="B295" i="39"/>
  <c r="C335" i="39"/>
  <c r="C253" i="39"/>
  <c r="C182" i="39"/>
  <c r="C98" i="39"/>
  <c r="C52" i="39"/>
  <c r="C385" i="39"/>
  <c r="C171" i="39"/>
  <c r="D139" i="39"/>
  <c r="C268" i="39"/>
  <c r="C351" i="39"/>
  <c r="B139" i="39"/>
  <c r="B140" i="39" s="1"/>
  <c r="C108" i="39"/>
  <c r="C39" i="39"/>
  <c r="C228" i="39"/>
  <c r="B304" i="39"/>
  <c r="B442" i="39"/>
  <c r="C46" i="39"/>
  <c r="B603" i="39"/>
  <c r="C491" i="39"/>
  <c r="C570" i="39" s="1"/>
  <c r="C219" i="39"/>
  <c r="D219" i="39" s="1"/>
  <c r="D294" i="39" s="1"/>
  <c r="C128" i="39"/>
  <c r="B310" i="39"/>
  <c r="D293" i="39"/>
  <c r="B291" i="39"/>
  <c r="B289" i="39"/>
  <c r="B297" i="39"/>
  <c r="C604" i="39"/>
  <c r="C227" i="39"/>
  <c r="D227" i="39" s="1"/>
  <c r="C137" i="39"/>
  <c r="C220" i="39"/>
  <c r="D220" i="39" s="1"/>
  <c r="D295" i="39" s="1"/>
  <c r="C129" i="39"/>
  <c r="C55" i="39"/>
  <c r="C398" i="39"/>
  <c r="C371" i="39"/>
  <c r="C363" i="39"/>
  <c r="C342" i="39"/>
  <c r="C269" i="39"/>
  <c r="C254" i="39"/>
  <c r="C336" i="39"/>
  <c r="B135" i="39"/>
  <c r="B136" i="39" s="1"/>
  <c r="C109" i="39"/>
  <c r="C352" i="39"/>
  <c r="C172" i="39"/>
  <c r="C135" i="39"/>
  <c r="C183" i="39"/>
  <c r="C33" i="39"/>
  <c r="C28" i="39" s="1"/>
  <c r="C40" i="39"/>
  <c r="C53" i="39"/>
  <c r="C386" i="39"/>
  <c r="C99" i="39"/>
  <c r="B303" i="39"/>
  <c r="D136" i="39"/>
  <c r="B444" i="39"/>
  <c r="B293" i="39"/>
  <c r="B292" i="39"/>
  <c r="B299" i="39"/>
  <c r="B410" i="38"/>
  <c r="C590" i="38"/>
  <c r="C498" i="38"/>
  <c r="F469" i="38"/>
  <c r="B617" i="38"/>
  <c r="F480" i="38"/>
  <c r="B445" i="38"/>
  <c r="F473" i="38"/>
  <c r="C245" i="38"/>
  <c r="C173" i="38"/>
  <c r="C256" i="38"/>
  <c r="C216" i="38"/>
  <c r="D216" i="38" s="1"/>
  <c r="D289" i="38" s="1"/>
  <c r="C123" i="38"/>
  <c r="C327" i="38"/>
  <c r="C166" i="38"/>
  <c r="C167" i="38" s="1"/>
  <c r="C338" i="38"/>
  <c r="C93" i="38"/>
  <c r="C94" i="38" s="1"/>
  <c r="C100" i="38"/>
  <c r="C335" i="38"/>
  <c r="C385" i="38"/>
  <c r="C268" i="38"/>
  <c r="C253" i="38"/>
  <c r="D139" i="38"/>
  <c r="C182" i="38"/>
  <c r="C98" i="38"/>
  <c r="C39" i="38"/>
  <c r="C351" i="38"/>
  <c r="C171" i="38"/>
  <c r="C108" i="38"/>
  <c r="B139" i="38"/>
  <c r="B140" i="38" s="1"/>
  <c r="C52" i="38"/>
  <c r="C394" i="38"/>
  <c r="C276" i="38"/>
  <c r="C170" i="38"/>
  <c r="C44" i="38"/>
  <c r="C359" i="38"/>
  <c r="C113" i="38"/>
  <c r="C114" i="38" s="1"/>
  <c r="C97" i="38"/>
  <c r="C190" i="38"/>
  <c r="C57" i="38"/>
  <c r="B446" i="38"/>
  <c r="C300" i="38"/>
  <c r="C217" i="38"/>
  <c r="D217" i="38" s="1"/>
  <c r="D290" i="38" s="1"/>
  <c r="C124" i="38"/>
  <c r="D616" i="38"/>
  <c r="C218" i="38"/>
  <c r="D218" i="38" s="1"/>
  <c r="D292" i="38" s="1"/>
  <c r="C126" i="38"/>
  <c r="B616" i="38"/>
  <c r="F471" i="38"/>
  <c r="F477" i="38"/>
  <c r="C584" i="38"/>
  <c r="C492" i="38"/>
  <c r="B289" i="38"/>
  <c r="B304" i="38"/>
  <c r="C228" i="38"/>
  <c r="C299" i="38"/>
  <c r="B290" i="38"/>
  <c r="C219" i="38"/>
  <c r="D219" i="38" s="1"/>
  <c r="D294" i="38" s="1"/>
  <c r="C128" i="38"/>
  <c r="C46" i="38"/>
  <c r="F474" i="38"/>
  <c r="B294" i="38"/>
  <c r="B297" i="38"/>
  <c r="D293" i="38"/>
  <c r="B298" i="38"/>
  <c r="B437" i="38"/>
  <c r="B310" i="38"/>
  <c r="C221" i="38"/>
  <c r="D221" i="38" s="1"/>
  <c r="D296" i="38" s="1"/>
  <c r="C130" i="38"/>
  <c r="C495" i="38"/>
  <c r="C587" i="38"/>
  <c r="C580" i="38"/>
  <c r="C488" i="38"/>
  <c r="C227" i="38"/>
  <c r="D227" i="38" s="1"/>
  <c r="D303" i="38" s="1"/>
  <c r="D617" i="38"/>
  <c r="C137" i="38"/>
  <c r="C548" i="38"/>
  <c r="C556" i="38"/>
  <c r="F470" i="38"/>
  <c r="C499" i="38"/>
  <c r="C501" i="38" s="1"/>
  <c r="B513" i="38" s="1"/>
  <c r="D513" i="38" s="1"/>
  <c r="E513" i="38" s="1"/>
  <c r="C591" i="38"/>
  <c r="F481" i="38"/>
  <c r="F476" i="38"/>
  <c r="C222" i="38"/>
  <c r="D222" i="38" s="1"/>
  <c r="D297" i="38" s="1"/>
  <c r="C131" i="38"/>
  <c r="B293" i="38"/>
  <c r="C55" i="38"/>
  <c r="C398" i="38"/>
  <c r="C371" i="38"/>
  <c r="C363" i="38"/>
  <c r="C342" i="38"/>
  <c r="C386" i="38"/>
  <c r="C352" i="38"/>
  <c r="C336" i="38"/>
  <c r="C269" i="38"/>
  <c r="C183" i="38"/>
  <c r="C99" i="38"/>
  <c r="C40" i="38"/>
  <c r="C33" i="38"/>
  <c r="C28" i="38" s="1"/>
  <c r="C27" i="38" s="1"/>
  <c r="C109" i="38"/>
  <c r="C135" i="38"/>
  <c r="C53" i="38"/>
  <c r="C172" i="38"/>
  <c r="C254" i="38"/>
  <c r="B135" i="38"/>
  <c r="C143" i="38"/>
  <c r="C234" i="38"/>
  <c r="D234" i="38" s="1"/>
  <c r="D310" i="38" s="1"/>
  <c r="C420" i="25"/>
  <c r="C346" i="25"/>
  <c r="C350" i="25"/>
  <c r="C354" i="25"/>
  <c r="C374" i="25" s="1"/>
  <c r="C453" i="25" s="1"/>
  <c r="C358" i="25"/>
  <c r="C347" i="25"/>
  <c r="C367" i="25" s="1"/>
  <c r="C446" i="25" s="1"/>
  <c r="C351" i="25"/>
  <c r="C355" i="25"/>
  <c r="C359" i="25"/>
  <c r="C348" i="25"/>
  <c r="C352" i="25"/>
  <c r="C356" i="25"/>
  <c r="C376" i="25" s="1"/>
  <c r="C378" i="25" s="1"/>
  <c r="C345" i="25"/>
  <c r="C349" i="25"/>
  <c r="C369" i="25" s="1"/>
  <c r="C448" i="25" s="1"/>
  <c r="C353" i="25"/>
  <c r="C357" i="25"/>
  <c r="C66" i="25"/>
  <c r="C58" i="25"/>
  <c r="C397" i="37"/>
  <c r="B316" i="37"/>
  <c r="B312" i="37"/>
  <c r="C470" i="37"/>
  <c r="C380" i="37"/>
  <c r="B287" i="37"/>
  <c r="F350" i="37"/>
  <c r="B230" i="37"/>
  <c r="C55" i="36"/>
  <c r="F344" i="37"/>
  <c r="C274" i="37"/>
  <c r="C247" i="37"/>
  <c r="B209" i="37"/>
  <c r="B210" i="37"/>
  <c r="B213" i="37"/>
  <c r="F356" i="37"/>
  <c r="C375" i="37"/>
  <c r="C377" i="37" s="1"/>
  <c r="B389" i="37" s="1"/>
  <c r="D389" i="37" s="1"/>
  <c r="E389" i="37" s="1"/>
  <c r="C467" i="37"/>
  <c r="B217" i="37"/>
  <c r="F357" i="37"/>
  <c r="C445" i="37"/>
  <c r="F346" i="37"/>
  <c r="C170" i="37"/>
  <c r="D170" i="37" s="1"/>
  <c r="D223" i="37" s="1"/>
  <c r="C96" i="37"/>
  <c r="C262" i="37"/>
  <c r="C126" i="37"/>
  <c r="C94" i="37"/>
  <c r="C189" i="37"/>
  <c r="B94" i="37"/>
  <c r="C68" i="37"/>
  <c r="C33" i="37"/>
  <c r="C34" i="37" s="1"/>
  <c r="C177" i="37"/>
  <c r="D177" i="37" s="1"/>
  <c r="D230" i="37" s="1"/>
  <c r="C102" i="37"/>
  <c r="D213" i="37"/>
  <c r="B223" i="37"/>
  <c r="C159" i="37"/>
  <c r="D159" i="37" s="1"/>
  <c r="C82" i="37"/>
  <c r="F352" i="37"/>
  <c r="B320" i="37"/>
  <c r="B314" i="37"/>
  <c r="C90" i="37"/>
  <c r="C165" i="37"/>
  <c r="D165" i="37" s="1"/>
  <c r="D217" i="37" s="1"/>
  <c r="C261" i="37"/>
  <c r="B98" i="37"/>
  <c r="C125" i="37"/>
  <c r="D98" i="37"/>
  <c r="C67" i="37"/>
  <c r="C188" i="37"/>
  <c r="B224" i="37"/>
  <c r="C171" i="37"/>
  <c r="B214" i="37"/>
  <c r="C270" i="37"/>
  <c r="C196" i="37"/>
  <c r="C133" i="37"/>
  <c r="C72" i="37"/>
  <c r="C73" i="37" s="1"/>
  <c r="C493" i="36"/>
  <c r="C585" i="36"/>
  <c r="C582" i="36"/>
  <c r="C490" i="36"/>
  <c r="C497" i="36"/>
  <c r="C589" i="36"/>
  <c r="C499" i="36"/>
  <c r="C501" i="36" s="1"/>
  <c r="B513" i="36" s="1"/>
  <c r="D513" i="36" s="1"/>
  <c r="E513" i="36" s="1"/>
  <c r="C591" i="36"/>
  <c r="B438" i="36"/>
  <c r="B445" i="36"/>
  <c r="C548" i="36"/>
  <c r="C556" i="36"/>
  <c r="F474" i="36"/>
  <c r="C580" i="36"/>
  <c r="C488" i="36"/>
  <c r="B446" i="36"/>
  <c r="C336" i="36"/>
  <c r="C269" i="36"/>
  <c r="C254" i="36"/>
  <c r="B135" i="36"/>
  <c r="C109" i="36"/>
  <c r="C386" i="36"/>
  <c r="C352" i="36"/>
  <c r="C172" i="36"/>
  <c r="C183" i="36"/>
  <c r="C135" i="36"/>
  <c r="C99" i="36"/>
  <c r="C33" i="36"/>
  <c r="C34" i="36" s="1"/>
  <c r="C53" i="36"/>
  <c r="C40" i="36"/>
  <c r="B289" i="36"/>
  <c r="D303" i="36"/>
  <c r="B290" i="36"/>
  <c r="D298" i="36"/>
  <c r="C495" i="36"/>
  <c r="C587" i="36"/>
  <c r="B415" i="36"/>
  <c r="C327" i="36"/>
  <c r="C166" i="36"/>
  <c r="C167" i="36" s="1"/>
  <c r="C173" i="36"/>
  <c r="C338" i="36"/>
  <c r="C256" i="36"/>
  <c r="C216" i="36"/>
  <c r="D216" i="36" s="1"/>
  <c r="C245" i="36"/>
  <c r="C100" i="36"/>
  <c r="C123" i="36"/>
  <c r="C93" i="36"/>
  <c r="C94" i="36" s="1"/>
  <c r="C359" i="36"/>
  <c r="C170" i="36"/>
  <c r="C113" i="36"/>
  <c r="C114" i="36" s="1"/>
  <c r="C394" i="36"/>
  <c r="C276" i="36"/>
  <c r="C57" i="36"/>
  <c r="C44" i="36"/>
  <c r="C97" i="36"/>
  <c r="C190" i="36"/>
  <c r="B456" i="36"/>
  <c r="C46" i="36"/>
  <c r="B298" i="36"/>
  <c r="F472" i="36"/>
  <c r="C385" i="36"/>
  <c r="C351" i="36"/>
  <c r="C335" i="36"/>
  <c r="C182" i="36"/>
  <c r="C98" i="36"/>
  <c r="C39" i="36"/>
  <c r="C253" i="36"/>
  <c r="D139" i="36"/>
  <c r="C52" i="36"/>
  <c r="B139" i="36"/>
  <c r="C268" i="36"/>
  <c r="C108" i="36"/>
  <c r="C171" i="36"/>
  <c r="C291" i="36"/>
  <c r="B293" i="36"/>
  <c r="D228" i="36"/>
  <c r="D304" i="36" s="1"/>
  <c r="B294" i="36"/>
  <c r="B303" i="36"/>
  <c r="C220" i="36"/>
  <c r="D220" i="36" s="1"/>
  <c r="D295" i="36" s="1"/>
  <c r="C129" i="36"/>
  <c r="C299" i="36"/>
  <c r="B439" i="36"/>
  <c r="C590" i="36"/>
  <c r="C498" i="36"/>
  <c r="B617" i="36"/>
  <c r="E617" i="36" s="1"/>
  <c r="F480" i="36"/>
  <c r="C304" i="36"/>
  <c r="B297" i="36"/>
  <c r="B616" i="36"/>
  <c r="E616" i="36" s="1"/>
  <c r="F471" i="36"/>
  <c r="C503" i="36"/>
  <c r="C593" i="36"/>
  <c r="F476" i="36"/>
  <c r="C594" i="36"/>
  <c r="C504" i="36"/>
  <c r="C292" i="36"/>
  <c r="B442" i="36"/>
  <c r="C310" i="36"/>
  <c r="C59" i="36"/>
  <c r="C363" i="36"/>
  <c r="C342" i="36"/>
  <c r="C371" i="36"/>
  <c r="C398" i="36"/>
  <c r="C222" i="36"/>
  <c r="D222" i="36" s="1"/>
  <c r="D297" i="36" s="1"/>
  <c r="C131" i="36"/>
  <c r="D294" i="36"/>
  <c r="C42" i="36"/>
  <c r="B437" i="36"/>
  <c r="C300" i="36"/>
  <c r="C217" i="36"/>
  <c r="D217" i="36" s="1"/>
  <c r="D290" i="36" s="1"/>
  <c r="C124" i="36"/>
  <c r="C42" i="35"/>
  <c r="C521" i="35"/>
  <c r="C556" i="35" s="1"/>
  <c r="C581" i="35"/>
  <c r="C489" i="35"/>
  <c r="B445" i="35"/>
  <c r="C299" i="35"/>
  <c r="C504" i="35"/>
  <c r="C594" i="35"/>
  <c r="C588" i="35"/>
  <c r="C496" i="35"/>
  <c r="B446" i="35"/>
  <c r="C300" i="35"/>
  <c r="B417" i="35"/>
  <c r="C589" i="35"/>
  <c r="C497" i="35"/>
  <c r="C59" i="35"/>
  <c r="B297" i="35"/>
  <c r="F479" i="35"/>
  <c r="C593" i="35"/>
  <c r="C503" i="35"/>
  <c r="C582" i="35"/>
  <c r="C490" i="35"/>
  <c r="D293" i="35"/>
  <c r="C55" i="35"/>
  <c r="B437" i="35"/>
  <c r="D617" i="35"/>
  <c r="E617" i="35" s="1"/>
  <c r="C227" i="35"/>
  <c r="D227" i="35" s="1"/>
  <c r="D303" i="35" s="1"/>
  <c r="C137" i="35"/>
  <c r="B415" i="35"/>
  <c r="C338" i="35"/>
  <c r="C327" i="35"/>
  <c r="C166" i="35"/>
  <c r="C167" i="35" s="1"/>
  <c r="C245" i="35"/>
  <c r="C173" i="35"/>
  <c r="C216" i="35"/>
  <c r="D216" i="35" s="1"/>
  <c r="C100" i="35"/>
  <c r="C123" i="35"/>
  <c r="C256" i="35"/>
  <c r="C93" i="35"/>
  <c r="C94" i="35" s="1"/>
  <c r="B442" i="35"/>
  <c r="C291" i="35"/>
  <c r="F475" i="35"/>
  <c r="C580" i="35"/>
  <c r="C488" i="35"/>
  <c r="C220" i="35"/>
  <c r="D220" i="35" s="1"/>
  <c r="D295" i="35" s="1"/>
  <c r="C295" i="35" s="1"/>
  <c r="C129" i="35"/>
  <c r="B438" i="35"/>
  <c r="B409" i="35"/>
  <c r="B289" i="35"/>
  <c r="D294" i="35"/>
  <c r="C293" i="35"/>
  <c r="C590" i="35"/>
  <c r="C498" i="35"/>
  <c r="C385" i="35"/>
  <c r="C351" i="35"/>
  <c r="C335" i="35"/>
  <c r="C268" i="35"/>
  <c r="C253" i="35"/>
  <c r="D139" i="35"/>
  <c r="C182" i="35"/>
  <c r="C171" i="35"/>
  <c r="C52" i="35"/>
  <c r="B139" i="35"/>
  <c r="C98" i="35"/>
  <c r="C39" i="35"/>
  <c r="C108" i="35"/>
  <c r="B411" i="35"/>
  <c r="C46" i="35"/>
  <c r="C398" i="35"/>
  <c r="C371" i="35"/>
  <c r="C363" i="35"/>
  <c r="C342" i="35"/>
  <c r="B616" i="35"/>
  <c r="E616" i="35" s="1"/>
  <c r="F471" i="35"/>
  <c r="C502" i="35"/>
  <c r="C592" i="35"/>
  <c r="C585" i="35"/>
  <c r="C493" i="35"/>
  <c r="C584" i="35"/>
  <c r="C492" i="35"/>
  <c r="C386" i="35"/>
  <c r="C352" i="35"/>
  <c r="C336" i="35"/>
  <c r="C269" i="35"/>
  <c r="C254" i="35"/>
  <c r="C135" i="35"/>
  <c r="C136" i="35" s="1"/>
  <c r="C172" i="35"/>
  <c r="C99" i="35"/>
  <c r="C40" i="35"/>
  <c r="C33" i="35"/>
  <c r="C34" i="35" s="1"/>
  <c r="B135" i="35"/>
  <c r="C109" i="35"/>
  <c r="C183" i="35"/>
  <c r="C53" i="35"/>
  <c r="C394" i="35"/>
  <c r="C359" i="35"/>
  <c r="C170" i="35"/>
  <c r="C276" i="35"/>
  <c r="C190" i="35"/>
  <c r="C57" i="35"/>
  <c r="C44" i="35"/>
  <c r="C113" i="35"/>
  <c r="C114" i="35" s="1"/>
  <c r="C97" i="35"/>
  <c r="C143" i="35"/>
  <c r="C234" i="35"/>
  <c r="D234" i="35" s="1"/>
  <c r="D310" i="35" s="1"/>
  <c r="C222" i="35"/>
  <c r="D222" i="35" s="1"/>
  <c r="D297" i="35" s="1"/>
  <c r="C131" i="35"/>
  <c r="D228" i="35"/>
  <c r="D304" i="35" s="1"/>
  <c r="B444" i="35"/>
  <c r="B436" i="35"/>
  <c r="C457" i="30"/>
  <c r="C458" i="30"/>
  <c r="C410" i="25"/>
  <c r="G37" i="30"/>
  <c r="I37" i="30" s="1"/>
  <c r="D79" i="30" s="1"/>
  <c r="B167" i="30" s="1"/>
  <c r="G41" i="30"/>
  <c r="G45" i="30"/>
  <c r="I45" i="30" s="1"/>
  <c r="C487" i="30"/>
  <c r="G38" i="30"/>
  <c r="B80" i="30" s="1"/>
  <c r="G42" i="30"/>
  <c r="G46" i="30"/>
  <c r="G50" i="30"/>
  <c r="B94" i="30" s="1"/>
  <c r="G44" i="30"/>
  <c r="I44" i="30" s="1"/>
  <c r="D86" i="30" s="1"/>
  <c r="B174" i="30" s="1"/>
  <c r="C418" i="30" s="1"/>
  <c r="C511" i="30" s="1"/>
  <c r="C478" i="30"/>
  <c r="G48" i="30"/>
  <c r="B90" i="30" s="1"/>
  <c r="G43" i="30"/>
  <c r="I43" i="30" s="1"/>
  <c r="G47" i="30"/>
  <c r="H47" i="30" s="1"/>
  <c r="C89" i="30" s="1"/>
  <c r="B151" i="30" s="1"/>
  <c r="B278" i="30" s="1"/>
  <c r="G51" i="30"/>
  <c r="I51" i="30" s="1"/>
  <c r="D99" i="30" s="1"/>
  <c r="B187" i="30" s="1"/>
  <c r="G40" i="30"/>
  <c r="B82" i="30" s="1"/>
  <c r="G39" i="30"/>
  <c r="C488" i="30"/>
  <c r="D505" i="30"/>
  <c r="D517" i="30"/>
  <c r="C443" i="30"/>
  <c r="E515" i="30"/>
  <c r="G49" i="30"/>
  <c r="B93" i="30" s="1"/>
  <c r="C124" i="30"/>
  <c r="C23" i="30"/>
  <c r="C24" i="30"/>
  <c r="D518" i="30"/>
  <c r="D504" i="30"/>
  <c r="C436" i="30"/>
  <c r="C28" i="30"/>
  <c r="D94" i="30"/>
  <c r="C431" i="25"/>
  <c r="C24" i="25"/>
  <c r="G44" i="25"/>
  <c r="G48" i="25"/>
  <c r="B90" i="25" s="1"/>
  <c r="B198" i="25" s="1"/>
  <c r="G52" i="25"/>
  <c r="C425" i="25"/>
  <c r="G42" i="25"/>
  <c r="G46" i="25"/>
  <c r="I46" i="25" s="1"/>
  <c r="D88" i="25" s="1"/>
  <c r="C25" i="25"/>
  <c r="G47" i="25"/>
  <c r="B89" i="25" s="1"/>
  <c r="B197" i="25" s="1"/>
  <c r="G40" i="25"/>
  <c r="B82" i="25" s="1"/>
  <c r="G50" i="25"/>
  <c r="H50" i="25" s="1"/>
  <c r="G54" i="25"/>
  <c r="B102" i="25" s="1"/>
  <c r="G51" i="25"/>
  <c r="B93" i="25" s="1"/>
  <c r="B201" i="25" s="1"/>
  <c r="G41" i="25"/>
  <c r="I41" i="25" s="1"/>
  <c r="D83" i="25" s="1"/>
  <c r="G45" i="25"/>
  <c r="I45" i="25" s="1"/>
  <c r="D87" i="25" s="1"/>
  <c r="G49" i="25"/>
  <c r="G53" i="25"/>
  <c r="B97" i="25" s="1"/>
  <c r="G43" i="25"/>
  <c r="D97" i="25"/>
  <c r="C222" i="25"/>
  <c r="C223" i="25" s="1"/>
  <c r="C261" i="25"/>
  <c r="C227" i="25"/>
  <c r="C168" i="25"/>
  <c r="C30" i="25"/>
  <c r="C391" i="25"/>
  <c r="C398" i="25"/>
  <c r="F492" i="13"/>
  <c r="D514" i="13" s="1"/>
  <c r="F488" i="13"/>
  <c r="D508" i="13" s="1"/>
  <c r="F484" i="13"/>
  <c r="D504" i="13" s="1"/>
  <c r="F490" i="13"/>
  <c r="D512" i="13" s="1"/>
  <c r="D607" i="13" s="1"/>
  <c r="F482" i="13"/>
  <c r="D502" i="13" s="1"/>
  <c r="D599" i="13" s="1"/>
  <c r="F486" i="13"/>
  <c r="D506" i="13" s="1"/>
  <c r="F480" i="13"/>
  <c r="D500" i="13" s="1"/>
  <c r="D597" i="13" s="1"/>
  <c r="F489" i="13"/>
  <c r="D509" i="13" s="1"/>
  <c r="F481" i="13"/>
  <c r="D501" i="13" s="1"/>
  <c r="D598" i="13" s="1"/>
  <c r="F478" i="13"/>
  <c r="D498" i="13" s="1"/>
  <c r="F485" i="13"/>
  <c r="D505" i="13" s="1"/>
  <c r="F491" i="13"/>
  <c r="F487" i="13"/>
  <c r="D507" i="13" s="1"/>
  <c r="D604" i="13" s="1"/>
  <c r="F483" i="13"/>
  <c r="D503" i="13" s="1"/>
  <c r="F479" i="13"/>
  <c r="D499" i="13" s="1"/>
  <c r="B117" i="1" l="1"/>
  <c r="D109" i="1"/>
  <c r="C123" i="1"/>
  <c r="D139" i="1"/>
  <c r="C506" i="50"/>
  <c r="C507" i="50" s="1"/>
  <c r="K131" i="1"/>
  <c r="F115" i="1"/>
  <c r="C460" i="40"/>
  <c r="C538" i="40"/>
  <c r="B318" i="37"/>
  <c r="C216" i="37"/>
  <c r="B291" i="37" s="1"/>
  <c r="C437" i="54"/>
  <c r="C443" i="54"/>
  <c r="C446" i="54" s="1"/>
  <c r="C558" i="50"/>
  <c r="H541" i="50"/>
  <c r="B592" i="50"/>
  <c r="F480" i="54"/>
  <c r="G480" i="54" s="1"/>
  <c r="H480" i="54" s="1"/>
  <c r="F479" i="54"/>
  <c r="G479" i="54" s="1"/>
  <c r="H479" i="54" s="1"/>
  <c r="F472" i="54"/>
  <c r="G472" i="54" s="1"/>
  <c r="H472" i="54" s="1"/>
  <c r="C517" i="54"/>
  <c r="F473" i="54"/>
  <c r="G473" i="54" s="1"/>
  <c r="H473" i="54" s="1"/>
  <c r="F477" i="54"/>
  <c r="G477" i="54" s="1"/>
  <c r="H477" i="54" s="1"/>
  <c r="C516" i="54" s="1"/>
  <c r="F474" i="54"/>
  <c r="G474" i="54" s="1"/>
  <c r="H474" i="54" s="1"/>
  <c r="F471" i="54"/>
  <c r="G471" i="54" s="1"/>
  <c r="H471" i="54" s="1"/>
  <c r="F470" i="54"/>
  <c r="G470" i="54" s="1"/>
  <c r="H470" i="54" s="1"/>
  <c r="F478" i="54"/>
  <c r="G478" i="54" s="1"/>
  <c r="F476" i="54"/>
  <c r="G476" i="54" s="1"/>
  <c r="H476" i="54" s="1"/>
  <c r="F466" i="54"/>
  <c r="G466" i="54" s="1"/>
  <c r="H466" i="54" s="1"/>
  <c r="F469" i="54"/>
  <c r="G469" i="54" s="1"/>
  <c r="H469" i="54" s="1"/>
  <c r="D405" i="54"/>
  <c r="E405" i="54" s="1"/>
  <c r="B593" i="50"/>
  <c r="B588" i="50"/>
  <c r="H539" i="50"/>
  <c r="H534" i="50"/>
  <c r="C498" i="50"/>
  <c r="C580" i="50"/>
  <c r="C581" i="50" s="1"/>
  <c r="C583" i="50" s="1"/>
  <c r="B589" i="50" s="1"/>
  <c r="C575" i="50"/>
  <c r="C519" i="50"/>
  <c r="C521" i="50" s="1"/>
  <c r="F475" i="54"/>
  <c r="G475" i="54" s="1"/>
  <c r="H475" i="54" s="1"/>
  <c r="C491" i="54"/>
  <c r="C493" i="54" s="1"/>
  <c r="F467" i="54"/>
  <c r="G467" i="54" s="1"/>
  <c r="B525" i="54" s="1"/>
  <c r="D302" i="54"/>
  <c r="G302" i="54" s="1"/>
  <c r="H302" i="54" s="1"/>
  <c r="D306" i="54"/>
  <c r="G306" i="54" s="1"/>
  <c r="H306" i="54" s="1"/>
  <c r="D310" i="54"/>
  <c r="G310" i="54" s="1"/>
  <c r="H310" i="54" s="1"/>
  <c r="D314" i="54"/>
  <c r="G314" i="54" s="1"/>
  <c r="H314" i="54" s="1"/>
  <c r="D318" i="54"/>
  <c r="G318" i="54" s="1"/>
  <c r="H318" i="54" s="1"/>
  <c r="D322" i="54"/>
  <c r="G322" i="54" s="1"/>
  <c r="H322" i="54" s="1"/>
  <c r="D309" i="54"/>
  <c r="G309" i="54" s="1"/>
  <c r="H309" i="54" s="1"/>
  <c r="D321" i="54"/>
  <c r="G321" i="54" s="1"/>
  <c r="H321" i="54" s="1"/>
  <c r="D303" i="54"/>
  <c r="G303" i="54" s="1"/>
  <c r="H303" i="54" s="1"/>
  <c r="D307" i="54"/>
  <c r="G307" i="54" s="1"/>
  <c r="H307" i="54" s="1"/>
  <c r="D311" i="54"/>
  <c r="G311" i="54" s="1"/>
  <c r="H311" i="54" s="1"/>
  <c r="D315" i="54"/>
  <c r="G315" i="54" s="1"/>
  <c r="H315" i="54" s="1"/>
  <c r="D319" i="54"/>
  <c r="G319" i="54" s="1"/>
  <c r="H319" i="54" s="1"/>
  <c r="D301" i="54"/>
  <c r="G301" i="54" s="1"/>
  <c r="H301" i="54" s="1"/>
  <c r="D305" i="54"/>
  <c r="G305" i="54" s="1"/>
  <c r="H305" i="54" s="1"/>
  <c r="D317" i="54"/>
  <c r="G317" i="54" s="1"/>
  <c r="H317" i="54" s="1"/>
  <c r="D304" i="54"/>
  <c r="G304" i="54" s="1"/>
  <c r="H304" i="54" s="1"/>
  <c r="D308" i="54"/>
  <c r="G308" i="54" s="1"/>
  <c r="H308" i="54" s="1"/>
  <c r="D312" i="54"/>
  <c r="G312" i="54" s="1"/>
  <c r="H312" i="54" s="1"/>
  <c r="D316" i="54"/>
  <c r="G316" i="54" s="1"/>
  <c r="H316" i="54" s="1"/>
  <c r="D320" i="54"/>
  <c r="G320" i="54" s="1"/>
  <c r="H320" i="54" s="1"/>
  <c r="D313" i="54"/>
  <c r="G313" i="54" s="1"/>
  <c r="H313" i="54" s="1"/>
  <c r="C283" i="54"/>
  <c r="C284" i="54" s="1"/>
  <c r="C294" i="54"/>
  <c r="C295" i="54" s="1"/>
  <c r="C262" i="54"/>
  <c r="A229" i="54" s="1"/>
  <c r="C431" i="54"/>
  <c r="C407" i="56"/>
  <c r="C419" i="56" s="1"/>
  <c r="C409" i="56"/>
  <c r="C58" i="46"/>
  <c r="B226" i="45"/>
  <c r="C324" i="45" s="1"/>
  <c r="C136" i="45"/>
  <c r="C54" i="45"/>
  <c r="C56" i="45" s="1"/>
  <c r="C69" i="40"/>
  <c r="E84" i="40" s="1"/>
  <c r="G84" i="40" s="1"/>
  <c r="H84" i="40" s="1"/>
  <c r="C47" i="46"/>
  <c r="C41" i="45"/>
  <c r="C43" i="45" s="1"/>
  <c r="C43" i="44"/>
  <c r="C94" i="40"/>
  <c r="C28" i="45"/>
  <c r="C29" i="45" s="1"/>
  <c r="C111" i="45"/>
  <c r="E134" i="45" s="1"/>
  <c r="G134" i="45" s="1"/>
  <c r="H134" i="45" s="1"/>
  <c r="C67" i="25"/>
  <c r="C60" i="25"/>
  <c r="C72" i="25"/>
  <c r="C73" i="25" s="1"/>
  <c r="C59" i="25"/>
  <c r="C65" i="30"/>
  <c r="C58" i="30"/>
  <c r="C69" i="30"/>
  <c r="C70" i="30" s="1"/>
  <c r="C56" i="30"/>
  <c r="C88" i="46"/>
  <c r="C68" i="25"/>
  <c r="C61" i="25"/>
  <c r="C64" i="30"/>
  <c r="C57" i="30"/>
  <c r="C162" i="42"/>
  <c r="B252" i="45"/>
  <c r="B253" i="45" s="1"/>
  <c r="B461" i="45"/>
  <c r="B101" i="40"/>
  <c r="E603" i="39"/>
  <c r="C218" i="39"/>
  <c r="D218" i="39" s="1"/>
  <c r="D292" i="39" s="1"/>
  <c r="C173" i="39"/>
  <c r="C245" i="39"/>
  <c r="E604" i="39"/>
  <c r="C504" i="38"/>
  <c r="E616" i="38"/>
  <c r="C295" i="38"/>
  <c r="C368" i="37"/>
  <c r="C424" i="37"/>
  <c r="C500" i="37"/>
  <c r="C493" i="37"/>
  <c r="C466" i="37"/>
  <c r="C489" i="36"/>
  <c r="C101" i="44"/>
  <c r="E616" i="46"/>
  <c r="C532" i="40"/>
  <c r="D98" i="40"/>
  <c r="D99" i="40" s="1"/>
  <c r="C28" i="40"/>
  <c r="C27" i="40" s="1"/>
  <c r="C457" i="37"/>
  <c r="C463" i="37"/>
  <c r="C461" i="37"/>
  <c r="C215" i="37"/>
  <c r="B290" i="37" s="1"/>
  <c r="B370" i="37" s="1"/>
  <c r="C367" i="37"/>
  <c r="B321" i="37"/>
  <c r="C465" i="37"/>
  <c r="C129" i="48"/>
  <c r="C137" i="48"/>
  <c r="B73" i="48"/>
  <c r="D73" i="48" s="1"/>
  <c r="C101" i="46"/>
  <c r="C43" i="46"/>
  <c r="C34" i="46"/>
  <c r="C34" i="44"/>
  <c r="B408" i="46"/>
  <c r="B141" i="46"/>
  <c r="B142" i="46"/>
  <c r="B301" i="46"/>
  <c r="C225" i="46"/>
  <c r="D225" i="46" s="1"/>
  <c r="D301" i="46" s="1"/>
  <c r="C296" i="46"/>
  <c r="B182" i="40"/>
  <c r="B183" i="40" s="1"/>
  <c r="D141" i="46"/>
  <c r="D142" i="46"/>
  <c r="B440" i="46"/>
  <c r="C294" i="46"/>
  <c r="C556" i="46"/>
  <c r="C548" i="46"/>
  <c r="B451" i="46"/>
  <c r="C230" i="46"/>
  <c r="D228" i="46"/>
  <c r="D304" i="46" s="1"/>
  <c r="B429" i="46"/>
  <c r="B438" i="46"/>
  <c r="C295" i="46"/>
  <c r="B416" i="46"/>
  <c r="B422" i="46"/>
  <c r="C305" i="46"/>
  <c r="B306" i="46"/>
  <c r="C304" i="46"/>
  <c r="C27" i="46"/>
  <c r="C29" i="46"/>
  <c r="B136" i="46"/>
  <c r="C583" i="46"/>
  <c r="C491" i="46"/>
  <c r="B441" i="46"/>
  <c r="B497" i="46"/>
  <c r="C495" i="46"/>
  <c r="C587" i="46"/>
  <c r="C136" i="46"/>
  <c r="C499" i="46"/>
  <c r="C501" i="46" s="1"/>
  <c r="B513" i="46" s="1"/>
  <c r="D513" i="46" s="1"/>
  <c r="E513" i="46" s="1"/>
  <c r="C591" i="46"/>
  <c r="E131" i="46"/>
  <c r="G131" i="46" s="1"/>
  <c r="H131" i="46" s="1"/>
  <c r="E127" i="46"/>
  <c r="G127" i="46" s="1"/>
  <c r="H127" i="46" s="1"/>
  <c r="E142" i="46"/>
  <c r="E140" i="46"/>
  <c r="G140" i="46" s="1"/>
  <c r="H140" i="46" s="1"/>
  <c r="E138" i="46"/>
  <c r="G138" i="46" s="1"/>
  <c r="H138" i="46" s="1"/>
  <c r="E135" i="46"/>
  <c r="G135" i="46" s="1"/>
  <c r="H135" i="46" s="1"/>
  <c r="E130" i="46"/>
  <c r="G130" i="46" s="1"/>
  <c r="H130" i="46" s="1"/>
  <c r="E129" i="46"/>
  <c r="G129" i="46" s="1"/>
  <c r="H129" i="46" s="1"/>
  <c r="E128" i="46"/>
  <c r="G128" i="46" s="1"/>
  <c r="H128" i="46" s="1"/>
  <c r="E123" i="46"/>
  <c r="G123" i="46" s="1"/>
  <c r="H123" i="46" s="1"/>
  <c r="E143" i="46"/>
  <c r="G143" i="46" s="1"/>
  <c r="H143" i="46" s="1"/>
  <c r="E136" i="46"/>
  <c r="E141" i="46"/>
  <c r="E137" i="46"/>
  <c r="G137" i="46" s="1"/>
  <c r="H137" i="46" s="1"/>
  <c r="E126" i="46"/>
  <c r="G126" i="46" s="1"/>
  <c r="H126" i="46" s="1"/>
  <c r="E124" i="46"/>
  <c r="G124" i="46" s="1"/>
  <c r="H124" i="46" s="1"/>
  <c r="E125" i="46"/>
  <c r="G125" i="46" s="1"/>
  <c r="H125" i="46" s="1"/>
  <c r="E133" i="46"/>
  <c r="G133" i="46" s="1"/>
  <c r="H133" i="46" s="1"/>
  <c r="E132" i="46"/>
  <c r="G132" i="46" s="1"/>
  <c r="H132" i="46" s="1"/>
  <c r="E139" i="46"/>
  <c r="G139" i="46" s="1"/>
  <c r="H139" i="46" s="1"/>
  <c r="E134" i="46"/>
  <c r="G134" i="46" s="1"/>
  <c r="H134" i="46" s="1"/>
  <c r="C292" i="46"/>
  <c r="B95" i="40"/>
  <c r="B492" i="46"/>
  <c r="B442" i="46"/>
  <c r="C291" i="46"/>
  <c r="D224" i="46"/>
  <c r="C592" i="46"/>
  <c r="C502" i="46"/>
  <c r="C299" i="46"/>
  <c r="B445" i="46"/>
  <c r="B436" i="46"/>
  <c r="C290" i="46"/>
  <c r="C185" i="45"/>
  <c r="C167" i="45"/>
  <c r="C160" i="45"/>
  <c r="C161" i="45" s="1"/>
  <c r="C153" i="45"/>
  <c r="F142" i="45"/>
  <c r="I142" i="45" s="1"/>
  <c r="J142" i="45" s="1"/>
  <c r="F140" i="45"/>
  <c r="I140" i="45" s="1"/>
  <c r="J140" i="45" s="1"/>
  <c r="F138" i="45"/>
  <c r="F136" i="45"/>
  <c r="K136" i="45" s="1"/>
  <c r="L136" i="45" s="1"/>
  <c r="C176" i="45"/>
  <c r="C177" i="45" s="1"/>
  <c r="F144" i="45"/>
  <c r="F141" i="45"/>
  <c r="I141" i="45" s="1"/>
  <c r="J141" i="45" s="1"/>
  <c r="F137" i="45"/>
  <c r="F128" i="45"/>
  <c r="F126" i="45"/>
  <c r="C116" i="45"/>
  <c r="C117" i="45" s="1"/>
  <c r="C112" i="45"/>
  <c r="F143" i="45"/>
  <c r="I143" i="45" s="1"/>
  <c r="J143" i="45" s="1"/>
  <c r="F129" i="45"/>
  <c r="C96" i="45"/>
  <c r="C97" i="45" s="1"/>
  <c r="C180" i="45"/>
  <c r="C181" i="45" s="1"/>
  <c r="F130" i="45"/>
  <c r="F127" i="45"/>
  <c r="F124" i="45"/>
  <c r="C103" i="45"/>
  <c r="F134" i="45"/>
  <c r="F132" i="45"/>
  <c r="F135" i="45"/>
  <c r="F131" i="45"/>
  <c r="F125" i="45"/>
  <c r="F133" i="45"/>
  <c r="F139" i="45"/>
  <c r="C362" i="45"/>
  <c r="B442" i="45"/>
  <c r="C31" i="42"/>
  <c r="B460" i="45"/>
  <c r="B459" i="45"/>
  <c r="C360" i="45"/>
  <c r="C102" i="45"/>
  <c r="C166" i="45"/>
  <c r="B368" i="45"/>
  <c r="C322" i="45"/>
  <c r="D322" i="45" s="1"/>
  <c r="D368" i="45" s="1"/>
  <c r="C516" i="45"/>
  <c r="C611" i="45" s="1"/>
  <c r="B143" i="45"/>
  <c r="B142" i="45"/>
  <c r="D140" i="45"/>
  <c r="C365" i="45"/>
  <c r="B358" i="45"/>
  <c r="C315" i="45"/>
  <c r="D315" i="45" s="1"/>
  <c r="D358" i="45" s="1"/>
  <c r="B469" i="45"/>
  <c r="C505" i="45"/>
  <c r="C602" i="45" s="1"/>
  <c r="B464" i="45"/>
  <c r="B445" i="45"/>
  <c r="C359" i="45"/>
  <c r="B367" i="45"/>
  <c r="C374" i="45"/>
  <c r="C45" i="45"/>
  <c r="C47" i="45"/>
  <c r="C58" i="45"/>
  <c r="C60" i="45" s="1"/>
  <c r="B361" i="45"/>
  <c r="C317" i="45"/>
  <c r="D317" i="45" s="1"/>
  <c r="D361" i="45" s="1"/>
  <c r="B454" i="45"/>
  <c r="C507" i="45"/>
  <c r="C604" i="45" s="1"/>
  <c r="C511" i="45"/>
  <c r="C608" i="45" s="1"/>
  <c r="C564" i="45"/>
  <c r="C573" i="45"/>
  <c r="C364" i="45"/>
  <c r="B363" i="45"/>
  <c r="C318" i="45"/>
  <c r="D318" i="45" s="1"/>
  <c r="D363" i="45" s="1"/>
  <c r="C512" i="45"/>
  <c r="C609" i="45" s="1"/>
  <c r="B510" i="45"/>
  <c r="B504" i="40"/>
  <c r="F504" i="40" s="1"/>
  <c r="E407" i="40"/>
  <c r="B278" i="40"/>
  <c r="C233" i="40"/>
  <c r="D233" i="40" s="1"/>
  <c r="D278" i="40" s="1"/>
  <c r="B282" i="40"/>
  <c r="C236" i="40"/>
  <c r="C231" i="40"/>
  <c r="D231" i="40" s="1"/>
  <c r="D276" i="40" s="1"/>
  <c r="B276" i="40"/>
  <c r="C235" i="40"/>
  <c r="D235" i="40" s="1"/>
  <c r="D281" i="40" s="1"/>
  <c r="B281" i="40"/>
  <c r="B274" i="40"/>
  <c r="C230" i="40"/>
  <c r="D230" i="40" s="1"/>
  <c r="D274" i="40" s="1"/>
  <c r="B352" i="40" s="1"/>
  <c r="C548" i="44"/>
  <c r="E142" i="44"/>
  <c r="E140" i="44"/>
  <c r="G140" i="44" s="1"/>
  <c r="H140" i="44" s="1"/>
  <c r="E138" i="44"/>
  <c r="G138" i="44" s="1"/>
  <c r="H138" i="44" s="1"/>
  <c r="E135" i="44"/>
  <c r="G135" i="44" s="1"/>
  <c r="H135" i="44" s="1"/>
  <c r="E132" i="44"/>
  <c r="G132" i="44" s="1"/>
  <c r="H132" i="44" s="1"/>
  <c r="E128" i="44"/>
  <c r="G128" i="44" s="1"/>
  <c r="H128" i="44" s="1"/>
  <c r="E124" i="44"/>
  <c r="G124" i="44" s="1"/>
  <c r="H124" i="44" s="1"/>
  <c r="E139" i="44"/>
  <c r="G139" i="44" s="1"/>
  <c r="H139" i="44" s="1"/>
  <c r="E131" i="44"/>
  <c r="G131" i="44" s="1"/>
  <c r="H131" i="44" s="1"/>
  <c r="E130" i="44"/>
  <c r="G130" i="44" s="1"/>
  <c r="H130" i="44" s="1"/>
  <c r="E129" i="44"/>
  <c r="G129" i="44" s="1"/>
  <c r="H129" i="44" s="1"/>
  <c r="E143" i="44"/>
  <c r="G143" i="44" s="1"/>
  <c r="H143" i="44" s="1"/>
  <c r="E141" i="44"/>
  <c r="E127" i="44"/>
  <c r="G127" i="44" s="1"/>
  <c r="H127" i="44" s="1"/>
  <c r="E126" i="44"/>
  <c r="G126" i="44" s="1"/>
  <c r="H126" i="44" s="1"/>
  <c r="E125" i="44"/>
  <c r="G125" i="44" s="1"/>
  <c r="H125" i="44" s="1"/>
  <c r="E136" i="44"/>
  <c r="E134" i="44"/>
  <c r="G134" i="44" s="1"/>
  <c r="H134" i="44" s="1"/>
  <c r="E123" i="44"/>
  <c r="G123" i="44" s="1"/>
  <c r="H123" i="44" s="1"/>
  <c r="E137" i="44"/>
  <c r="G137" i="44" s="1"/>
  <c r="H137" i="44" s="1"/>
  <c r="E133" i="44"/>
  <c r="G133" i="44" s="1"/>
  <c r="H133" i="44" s="1"/>
  <c r="B419" i="44"/>
  <c r="B436" i="44"/>
  <c r="B440" i="44"/>
  <c r="C294" i="44"/>
  <c r="B306" i="44"/>
  <c r="C110" i="36"/>
  <c r="E141" i="36" s="1"/>
  <c r="C38" i="42"/>
  <c r="C40" i="42" s="1"/>
  <c r="B456" i="44"/>
  <c r="B451" i="44"/>
  <c r="C299" i="44"/>
  <c r="B141" i="44"/>
  <c r="B142" i="44"/>
  <c r="C295" i="44"/>
  <c r="C303" i="44"/>
  <c r="B411" i="44"/>
  <c r="B437" i="44"/>
  <c r="C584" i="44"/>
  <c r="C492" i="44"/>
  <c r="C290" i="44"/>
  <c r="B441" i="44"/>
  <c r="B444" i="44"/>
  <c r="C305" i="44"/>
  <c r="C29" i="44"/>
  <c r="C27" i="44"/>
  <c r="B301" i="44"/>
  <c r="C225" i="44"/>
  <c r="B136" i="44"/>
  <c r="D289" i="44"/>
  <c r="C291" i="44"/>
  <c r="B415" i="44"/>
  <c r="B492" i="44"/>
  <c r="B429" i="44"/>
  <c r="C298" i="44"/>
  <c r="B446" i="44"/>
  <c r="D228" i="44"/>
  <c r="D304" i="44" s="1"/>
  <c r="C230" i="44"/>
  <c r="D142" i="44"/>
  <c r="D141" i="44"/>
  <c r="B445" i="44"/>
  <c r="C503" i="44"/>
  <c r="C593" i="44"/>
  <c r="B416" i="44"/>
  <c r="C108" i="42"/>
  <c r="E135" i="42" s="1"/>
  <c r="G135" i="42" s="1"/>
  <c r="H135" i="42" s="1"/>
  <c r="C27" i="42"/>
  <c r="C25" i="42"/>
  <c r="C369" i="42"/>
  <c r="D137" i="42"/>
  <c r="B138" i="42"/>
  <c r="B362" i="42"/>
  <c r="C317" i="42"/>
  <c r="D317" i="42" s="1"/>
  <c r="D362" i="42" s="1"/>
  <c r="C325" i="42"/>
  <c r="D325" i="42" s="1"/>
  <c r="D371" i="42" s="1"/>
  <c r="B371" i="42"/>
  <c r="C505" i="42"/>
  <c r="C598" i="42" s="1"/>
  <c r="B365" i="42"/>
  <c r="C319" i="42"/>
  <c r="D319" i="42" s="1"/>
  <c r="D365" i="42" s="1"/>
  <c r="C51" i="42"/>
  <c r="C172" i="42"/>
  <c r="C504" i="42"/>
  <c r="C597" i="42" s="1"/>
  <c r="B355" i="42"/>
  <c r="C312" i="42"/>
  <c r="D312" i="42" s="1"/>
  <c r="D355" i="42" s="1"/>
  <c r="B357" i="42"/>
  <c r="B363" i="42"/>
  <c r="C318" i="42"/>
  <c r="D318" i="42" s="1"/>
  <c r="D363" i="42" s="1"/>
  <c r="C133" i="42"/>
  <c r="B223" i="42"/>
  <c r="B249" i="42"/>
  <c r="B134" i="42"/>
  <c r="C506" i="42"/>
  <c r="C599" i="42" s="1"/>
  <c r="B464" i="42"/>
  <c r="B356" i="42"/>
  <c r="C313" i="42"/>
  <c r="D313" i="42" s="1"/>
  <c r="D356" i="42" s="1"/>
  <c r="C315" i="42"/>
  <c r="D315" i="42" s="1"/>
  <c r="D360" i="42" s="1"/>
  <c r="B360" i="42"/>
  <c r="C499" i="42"/>
  <c r="C592" i="42" s="1"/>
  <c r="C501" i="42"/>
  <c r="C594" i="42" s="1"/>
  <c r="C507" i="42"/>
  <c r="C600" i="42" s="1"/>
  <c r="B359" i="42"/>
  <c r="C55" i="42"/>
  <c r="C44" i="42"/>
  <c r="C42" i="42"/>
  <c r="C99" i="42"/>
  <c r="C498" i="42"/>
  <c r="C591" i="42" s="1"/>
  <c r="C502" i="42"/>
  <c r="C595" i="42" s="1"/>
  <c r="B364" i="42"/>
  <c r="C314" i="42"/>
  <c r="D314" i="42" s="1"/>
  <c r="D358" i="42" s="1"/>
  <c r="B358" i="42"/>
  <c r="C503" i="42"/>
  <c r="C596" i="42" s="1"/>
  <c r="C500" i="42"/>
  <c r="C593" i="42" s="1"/>
  <c r="B361" i="42"/>
  <c r="C316" i="42"/>
  <c r="D316" i="42" s="1"/>
  <c r="D361" i="42" s="1"/>
  <c r="C514" i="42"/>
  <c r="C605" i="42" s="1"/>
  <c r="D320" i="42"/>
  <c r="D366" i="42" s="1"/>
  <c r="C366" i="42"/>
  <c r="C163" i="42"/>
  <c r="C34" i="39"/>
  <c r="C28" i="36"/>
  <c r="C29" i="36" s="1"/>
  <c r="C41" i="38"/>
  <c r="C43" i="38" s="1"/>
  <c r="B157" i="40"/>
  <c r="B283" i="40"/>
  <c r="C463" i="30"/>
  <c r="C492" i="30"/>
  <c r="C444" i="30"/>
  <c r="B144" i="30"/>
  <c r="B170" i="30"/>
  <c r="C414" i="30" s="1"/>
  <c r="C507" i="30" s="1"/>
  <c r="D85" i="30"/>
  <c r="I46" i="30"/>
  <c r="D88" i="30" s="1"/>
  <c r="B176" i="30" s="1"/>
  <c r="C420" i="30" s="1"/>
  <c r="C513" i="30" s="1"/>
  <c r="B88" i="30"/>
  <c r="D87" i="30"/>
  <c r="B178" i="30"/>
  <c r="B152" i="30"/>
  <c r="I42" i="30"/>
  <c r="B84" i="30"/>
  <c r="H41" i="30"/>
  <c r="C83" i="30" s="1"/>
  <c r="B145" i="30" s="1"/>
  <c r="B272" i="30" s="1"/>
  <c r="B83" i="30"/>
  <c r="I39" i="30"/>
  <c r="D81" i="30" s="1"/>
  <c r="B169" i="30" s="1"/>
  <c r="C413" i="30" s="1"/>
  <c r="C506" i="30" s="1"/>
  <c r="B81" i="30"/>
  <c r="C30" i="30"/>
  <c r="C26" i="30" s="1"/>
  <c r="B357" i="40"/>
  <c r="C279" i="40"/>
  <c r="B333" i="40"/>
  <c r="C272" i="40"/>
  <c r="C239" i="40"/>
  <c r="B285" i="40"/>
  <c r="B350" i="40"/>
  <c r="C34" i="38"/>
  <c r="C110" i="38"/>
  <c r="E138" i="38" s="1"/>
  <c r="G138" i="38" s="1"/>
  <c r="H138" i="38" s="1"/>
  <c r="C54" i="39"/>
  <c r="B287" i="40"/>
  <c r="C241" i="40"/>
  <c r="D241" i="40" s="1"/>
  <c r="D287" i="40" s="1"/>
  <c r="C501" i="40"/>
  <c r="C273" i="40"/>
  <c r="C412" i="40"/>
  <c r="C507" i="40" s="1"/>
  <c r="C54" i="36"/>
  <c r="C399" i="40"/>
  <c r="C496" i="40" s="1"/>
  <c r="B144" i="40"/>
  <c r="C500" i="40"/>
  <c r="C29" i="39"/>
  <c r="C27" i="39"/>
  <c r="B456" i="39"/>
  <c r="B438" i="39"/>
  <c r="C297" i="39"/>
  <c r="C291" i="39"/>
  <c r="B440" i="39"/>
  <c r="C292" i="39"/>
  <c r="C293" i="39"/>
  <c r="B441" i="39"/>
  <c r="D228" i="39"/>
  <c r="D304" i="39" s="1"/>
  <c r="B445" i="39"/>
  <c r="B302" i="39"/>
  <c r="C296" i="39"/>
  <c r="B443" i="39"/>
  <c r="C303" i="39"/>
  <c r="C225" i="39"/>
  <c r="D225" i="39" s="1"/>
  <c r="D301" i="39" s="1"/>
  <c r="B301" i="39"/>
  <c r="D140" i="39"/>
  <c r="B439" i="39"/>
  <c r="C304" i="39"/>
  <c r="C41" i="39"/>
  <c r="C43" i="39" s="1"/>
  <c r="C298" i="39"/>
  <c r="B290" i="39"/>
  <c r="C93" i="39"/>
  <c r="C94" i="39" s="1"/>
  <c r="C338" i="39"/>
  <c r="B142" i="39"/>
  <c r="B141" i="39"/>
  <c r="C229" i="39"/>
  <c r="D229" i="39" s="1"/>
  <c r="D305" i="39" s="1"/>
  <c r="B305" i="39"/>
  <c r="C136" i="39"/>
  <c r="C54" i="38"/>
  <c r="C29" i="38"/>
  <c r="C299" i="39"/>
  <c r="D289" i="39"/>
  <c r="C310" i="39"/>
  <c r="C110" i="39"/>
  <c r="C295" i="39"/>
  <c r="B437" i="39"/>
  <c r="C217" i="39"/>
  <c r="D217" i="39" s="1"/>
  <c r="C124" i="39"/>
  <c r="D224" i="39"/>
  <c r="D300" i="39" s="1"/>
  <c r="B449" i="39"/>
  <c r="C100" i="39"/>
  <c r="C101" i="39" s="1"/>
  <c r="C256" i="39"/>
  <c r="C327" i="39"/>
  <c r="C294" i="39"/>
  <c r="C45" i="39"/>
  <c r="C47" i="39"/>
  <c r="C58" i="39"/>
  <c r="B443" i="38"/>
  <c r="B449" i="38"/>
  <c r="B442" i="38"/>
  <c r="C296" i="38"/>
  <c r="C298" i="38"/>
  <c r="C297" i="38"/>
  <c r="B440" i="38"/>
  <c r="B141" i="38"/>
  <c r="B142" i="38"/>
  <c r="C289" i="38"/>
  <c r="C497" i="38"/>
  <c r="C589" i="38"/>
  <c r="B438" i="38"/>
  <c r="C292" i="38"/>
  <c r="B436" i="38"/>
  <c r="C101" i="38"/>
  <c r="C58" i="38"/>
  <c r="C47" i="38"/>
  <c r="C45" i="38"/>
  <c r="E617" i="38"/>
  <c r="B490" i="38"/>
  <c r="C588" i="38"/>
  <c r="C496" i="38"/>
  <c r="C582" i="38"/>
  <c r="C490" i="38"/>
  <c r="C294" i="38"/>
  <c r="C290" i="38"/>
  <c r="C304" i="38"/>
  <c r="B414" i="38"/>
  <c r="B456" i="38"/>
  <c r="D140" i="38"/>
  <c r="B301" i="38"/>
  <c r="C225" i="38"/>
  <c r="B136" i="38"/>
  <c r="C293" i="38"/>
  <c r="C503" i="38"/>
  <c r="C593" i="38"/>
  <c r="C586" i="38"/>
  <c r="C494" i="38"/>
  <c r="B418" i="38"/>
  <c r="B419" i="38"/>
  <c r="C592" i="38"/>
  <c r="C502" i="38"/>
  <c r="C28" i="37"/>
  <c r="C27" i="37" s="1"/>
  <c r="C69" i="37"/>
  <c r="E97" i="37" s="1"/>
  <c r="G97" i="37" s="1"/>
  <c r="H97" i="37" s="1"/>
  <c r="C303" i="38"/>
  <c r="B435" i="38"/>
  <c r="C310" i="38"/>
  <c r="B439" i="38"/>
  <c r="D228" i="38"/>
  <c r="D304" i="38" s="1"/>
  <c r="C136" i="38"/>
  <c r="C491" i="38"/>
  <c r="C583" i="38"/>
  <c r="B305" i="38"/>
  <c r="C229" i="38"/>
  <c r="D229" i="38" s="1"/>
  <c r="D305" i="38" s="1"/>
  <c r="C493" i="38"/>
  <c r="C585" i="38"/>
  <c r="C489" i="38"/>
  <c r="C581" i="38"/>
  <c r="C379" i="25"/>
  <c r="C456" i="25" s="1"/>
  <c r="C375" i="25"/>
  <c r="C454" i="25" s="1"/>
  <c r="C373" i="25"/>
  <c r="C452" i="25" s="1"/>
  <c r="C372" i="25"/>
  <c r="C451" i="25" s="1"/>
  <c r="C371" i="25"/>
  <c r="C450" i="25" s="1"/>
  <c r="C370" i="25"/>
  <c r="C449" i="25" s="1"/>
  <c r="C368" i="25"/>
  <c r="C447" i="25" s="1"/>
  <c r="C366" i="25"/>
  <c r="C445" i="25" s="1"/>
  <c r="C365" i="25"/>
  <c r="C444" i="25" s="1"/>
  <c r="C381" i="25"/>
  <c r="C458" i="25" s="1"/>
  <c r="C380" i="25"/>
  <c r="C457" i="25" s="1"/>
  <c r="H43" i="25"/>
  <c r="C142" i="25" s="1"/>
  <c r="D142" i="25" s="1"/>
  <c r="B85" i="25"/>
  <c r="B193" i="25" s="1"/>
  <c r="I52" i="25"/>
  <c r="D96" i="25" s="1"/>
  <c r="D204" i="25" s="1"/>
  <c r="B326" i="25" s="1"/>
  <c r="B96" i="25"/>
  <c r="B204" i="25" s="1"/>
  <c r="I49" i="25"/>
  <c r="D91" i="25" s="1"/>
  <c r="D199" i="25" s="1"/>
  <c r="B321" i="25" s="1"/>
  <c r="B91" i="25"/>
  <c r="I42" i="25"/>
  <c r="D84" i="25" s="1"/>
  <c r="D192" i="25" s="1"/>
  <c r="B314" i="25" s="1"/>
  <c r="B84" i="25"/>
  <c r="B192" i="25" s="1"/>
  <c r="I44" i="25"/>
  <c r="D86" i="25" s="1"/>
  <c r="D194" i="25" s="1"/>
  <c r="B316" i="25" s="1"/>
  <c r="B86" i="25"/>
  <c r="B194" i="25" s="1"/>
  <c r="C33" i="25"/>
  <c r="C28" i="25" s="1"/>
  <c r="C432" i="37"/>
  <c r="B374" i="37"/>
  <c r="B225" i="37"/>
  <c r="B226" i="37" s="1"/>
  <c r="C172" i="37"/>
  <c r="D172" i="37" s="1"/>
  <c r="D225" i="37" s="1"/>
  <c r="B325" i="37"/>
  <c r="C456" i="37"/>
  <c r="C364" i="37"/>
  <c r="B366" i="37"/>
  <c r="C213" i="37"/>
  <c r="B295" i="37"/>
  <c r="B322" i="37"/>
  <c r="C462" i="37"/>
  <c r="C370" i="37"/>
  <c r="C214" i="37"/>
  <c r="C468" i="37"/>
  <c r="C378" i="37"/>
  <c r="B319" i="37"/>
  <c r="C41" i="36"/>
  <c r="C43" i="36" s="1"/>
  <c r="C101" i="36"/>
  <c r="B332" i="37"/>
  <c r="B99" i="37"/>
  <c r="C223" i="37"/>
  <c r="C458" i="37"/>
  <c r="C366" i="37"/>
  <c r="C217" i="37"/>
  <c r="C210" i="37"/>
  <c r="C230" i="37"/>
  <c r="D171" i="37"/>
  <c r="D224" i="37" s="1"/>
  <c r="C464" i="37"/>
  <c r="C372" i="37"/>
  <c r="B315" i="37"/>
  <c r="B221" i="37"/>
  <c r="C168" i="37"/>
  <c r="B95" i="37"/>
  <c r="C95" i="37"/>
  <c r="D209" i="37"/>
  <c r="C209" i="37" s="1"/>
  <c r="C379" i="37"/>
  <c r="C469" i="37"/>
  <c r="D99" i="37"/>
  <c r="B367" i="37"/>
  <c r="B441" i="36"/>
  <c r="C295" i="36"/>
  <c r="B419" i="36"/>
  <c r="B443" i="36"/>
  <c r="B429" i="36"/>
  <c r="C297" i="36"/>
  <c r="B410" i="36"/>
  <c r="C584" i="36"/>
  <c r="C492" i="36"/>
  <c r="D289" i="36"/>
  <c r="C289" i="36" s="1"/>
  <c r="C491" i="36"/>
  <c r="C583" i="36"/>
  <c r="B423" i="36"/>
  <c r="C303" i="36"/>
  <c r="C294" i="36"/>
  <c r="C58" i="36"/>
  <c r="C47" i="36"/>
  <c r="C45" i="36"/>
  <c r="C290" i="36"/>
  <c r="C136" i="36"/>
  <c r="D140" i="36"/>
  <c r="C586" i="36"/>
  <c r="C494" i="36"/>
  <c r="B418" i="36"/>
  <c r="B440" i="36"/>
  <c r="C588" i="36"/>
  <c r="C496" i="36"/>
  <c r="C592" i="36"/>
  <c r="C502" i="36"/>
  <c r="B450" i="36"/>
  <c r="C298" i="36"/>
  <c r="B444" i="36"/>
  <c r="B449" i="36"/>
  <c r="B436" i="36"/>
  <c r="B411" i="36"/>
  <c r="C293" i="36"/>
  <c r="B305" i="36"/>
  <c r="C229" i="36"/>
  <c r="B140" i="36"/>
  <c r="B495" i="36"/>
  <c r="C225" i="36"/>
  <c r="B136" i="36"/>
  <c r="B301" i="36"/>
  <c r="C548" i="35"/>
  <c r="C41" i="35"/>
  <c r="C43" i="35" s="1"/>
  <c r="C110" i="35"/>
  <c r="E133" i="35" s="1"/>
  <c r="G133" i="35" s="1"/>
  <c r="H133" i="35" s="1"/>
  <c r="C54" i="35"/>
  <c r="B456" i="35"/>
  <c r="C310" i="35"/>
  <c r="D140" i="35"/>
  <c r="B495" i="35"/>
  <c r="B419" i="35"/>
  <c r="C28" i="35"/>
  <c r="C225" i="35"/>
  <c r="B301" i="35"/>
  <c r="B136" i="35"/>
  <c r="C583" i="35"/>
  <c r="C491" i="35"/>
  <c r="B441" i="35"/>
  <c r="C587" i="35"/>
  <c r="C495" i="35"/>
  <c r="D289" i="35"/>
  <c r="C289" i="35" s="1"/>
  <c r="C297" i="35"/>
  <c r="B412" i="35"/>
  <c r="B450" i="35"/>
  <c r="B443" i="35"/>
  <c r="C45" i="35"/>
  <c r="C58" i="35"/>
  <c r="C47" i="35"/>
  <c r="B491" i="35"/>
  <c r="B414" i="35"/>
  <c r="B440" i="35"/>
  <c r="B489" i="35"/>
  <c r="B410" i="35"/>
  <c r="C304" i="35"/>
  <c r="B449" i="35"/>
  <c r="C303" i="35"/>
  <c r="C294" i="35"/>
  <c r="C101" i="35"/>
  <c r="B305" i="35"/>
  <c r="C229" i="35"/>
  <c r="B140" i="35"/>
  <c r="B439" i="35"/>
  <c r="C591" i="35"/>
  <c r="C499" i="35"/>
  <c r="C501" i="35" s="1"/>
  <c r="B513" i="35" s="1"/>
  <c r="D513" i="35" s="1"/>
  <c r="E513" i="35" s="1"/>
  <c r="B497" i="35"/>
  <c r="B418" i="35"/>
  <c r="D513" i="13"/>
  <c r="D608" i="13" s="1"/>
  <c r="I38" i="30"/>
  <c r="D80" i="30" s="1"/>
  <c r="B168" i="30" s="1"/>
  <c r="H52" i="25"/>
  <c r="C151" i="25" s="1"/>
  <c r="D151" i="25" s="1"/>
  <c r="H51" i="25"/>
  <c r="C93" i="25" s="1"/>
  <c r="H48" i="25"/>
  <c r="C90" i="25" s="1"/>
  <c r="H40" i="25"/>
  <c r="C140" i="25" s="1"/>
  <c r="D140" i="25" s="1"/>
  <c r="I51" i="25"/>
  <c r="D93" i="25" s="1"/>
  <c r="I48" i="25"/>
  <c r="D90" i="25" s="1"/>
  <c r="H44" i="25"/>
  <c r="C86" i="25" s="1"/>
  <c r="H51" i="30"/>
  <c r="C99" i="30" s="1"/>
  <c r="B161" i="30" s="1"/>
  <c r="C238" i="30" s="1"/>
  <c r="D238" i="30" s="1"/>
  <c r="D284" i="30" s="1"/>
  <c r="B379" i="30" s="1"/>
  <c r="B79" i="30"/>
  <c r="H37" i="30"/>
  <c r="C79" i="30" s="1"/>
  <c r="B141" i="30" s="1"/>
  <c r="C225" i="30" s="1"/>
  <c r="D225" i="30" s="1"/>
  <c r="D268" i="30" s="1"/>
  <c r="H38" i="30"/>
  <c r="C80" i="30" s="1"/>
  <c r="B142" i="30" s="1"/>
  <c r="I47" i="30"/>
  <c r="D89" i="30" s="1"/>
  <c r="C131" i="30"/>
  <c r="H45" i="30"/>
  <c r="I41" i="30"/>
  <c r="D83" i="30" s="1"/>
  <c r="B171" i="30" s="1"/>
  <c r="C415" i="30" s="1"/>
  <c r="C508" i="30" s="1"/>
  <c r="B87" i="30"/>
  <c r="H42" i="30"/>
  <c r="B86" i="30"/>
  <c r="H46" i="30"/>
  <c r="C88" i="30" s="1"/>
  <c r="B150" i="30" s="1"/>
  <c r="H44" i="30"/>
  <c r="D98" i="25"/>
  <c r="D99" i="25" s="1"/>
  <c r="B95" i="30"/>
  <c r="B85" i="30"/>
  <c r="H43" i="30"/>
  <c r="B89" i="30"/>
  <c r="B99" i="30"/>
  <c r="H39" i="30"/>
  <c r="C81" i="30" s="1"/>
  <c r="B143" i="30" s="1"/>
  <c r="B270" i="30" s="1"/>
  <c r="I49" i="30"/>
  <c r="D93" i="30" s="1"/>
  <c r="B181" i="30" s="1"/>
  <c r="C425" i="30" s="1"/>
  <c r="C516" i="30" s="1"/>
  <c r="H49" i="30"/>
  <c r="C93" i="30" s="1"/>
  <c r="B155" i="30" s="1"/>
  <c r="C125" i="30"/>
  <c r="B91" i="30"/>
  <c r="C411" i="30"/>
  <c r="C504" i="30" s="1"/>
  <c r="B182" i="30"/>
  <c r="C427" i="30"/>
  <c r="C518" i="30" s="1"/>
  <c r="B436" i="30"/>
  <c r="D436" i="30" s="1"/>
  <c r="E436" i="30" s="1"/>
  <c r="D424" i="30"/>
  <c r="D515" i="30" s="1"/>
  <c r="C271" i="25"/>
  <c r="C126" i="30"/>
  <c r="C177" i="25"/>
  <c r="C236" i="25"/>
  <c r="B88" i="25"/>
  <c r="B196" i="25" s="1"/>
  <c r="H42" i="25"/>
  <c r="C84" i="25" s="1"/>
  <c r="H47" i="25"/>
  <c r="I47" i="25"/>
  <c r="D89" i="25" s="1"/>
  <c r="H54" i="25"/>
  <c r="C102" i="25" s="1"/>
  <c r="H49" i="25"/>
  <c r="C91" i="25" s="1"/>
  <c r="I54" i="25"/>
  <c r="D102" i="25" s="1"/>
  <c r="H46" i="25"/>
  <c r="C88" i="25" s="1"/>
  <c r="C262" i="25"/>
  <c r="B98" i="25"/>
  <c r="B206" i="25" s="1"/>
  <c r="C228" i="25"/>
  <c r="C169" i="25"/>
  <c r="B92" i="25"/>
  <c r="B200" i="25" s="1"/>
  <c r="I50" i="25"/>
  <c r="D92" i="25" s="1"/>
  <c r="B87" i="25"/>
  <c r="B195" i="25" s="1"/>
  <c r="I40" i="25"/>
  <c r="D82" i="25" s="1"/>
  <c r="H41" i="25"/>
  <c r="C141" i="25" s="1"/>
  <c r="D141" i="25" s="1"/>
  <c r="D191" i="25" s="1"/>
  <c r="H45" i="25"/>
  <c r="C87" i="25" s="1"/>
  <c r="I43" i="25"/>
  <c r="D85" i="25" s="1"/>
  <c r="B83" i="25"/>
  <c r="B94" i="25"/>
  <c r="B95" i="25" s="1"/>
  <c r="B190" i="25"/>
  <c r="B205" i="25"/>
  <c r="C152" i="25"/>
  <c r="C147" i="25"/>
  <c r="D147" i="25" s="1"/>
  <c r="C92" i="25"/>
  <c r="B211" i="25"/>
  <c r="C263" i="25"/>
  <c r="C229" i="25"/>
  <c r="C170" i="25"/>
  <c r="C94" i="25"/>
  <c r="C275" i="25"/>
  <c r="C240" i="25"/>
  <c r="C248" i="25"/>
  <c r="B225" i="17"/>
  <c r="C548" i="50" l="1"/>
  <c r="B123" i="1"/>
  <c r="G115" i="1"/>
  <c r="H478" i="54"/>
  <c r="B529" i="54"/>
  <c r="C27" i="45"/>
  <c r="C495" i="54"/>
  <c r="C496" i="54" s="1"/>
  <c r="C125" i="1"/>
  <c r="D141" i="1"/>
  <c r="B125" i="1"/>
  <c r="G117" i="1"/>
  <c r="E100" i="40"/>
  <c r="G100" i="40" s="1"/>
  <c r="H100" i="40" s="1"/>
  <c r="B186" i="40"/>
  <c r="C454" i="54"/>
  <c r="C455" i="54" s="1"/>
  <c r="C485" i="54"/>
  <c r="C459" i="54"/>
  <c r="C460" i="54" s="1"/>
  <c r="C559" i="50"/>
  <c r="B530" i="54"/>
  <c r="B527" i="54"/>
  <c r="C518" i="54"/>
  <c r="C520" i="54" s="1"/>
  <c r="B526" i="54" s="1"/>
  <c r="H467" i="54"/>
  <c r="B528" i="54"/>
  <c r="C516" i="50"/>
  <c r="C517" i="50" s="1"/>
  <c r="C522" i="50"/>
  <c r="C523" i="50" s="1"/>
  <c r="C426" i="56"/>
  <c r="C427" i="56" s="1"/>
  <c r="C554" i="56" s="1"/>
  <c r="C417" i="56"/>
  <c r="E99" i="40"/>
  <c r="G99" i="40" s="1"/>
  <c r="H99" i="40" s="1"/>
  <c r="E86" i="40"/>
  <c r="G86" i="40" s="1"/>
  <c r="H86" i="40" s="1"/>
  <c r="E83" i="40"/>
  <c r="G83" i="40" s="1"/>
  <c r="H83" i="40" s="1"/>
  <c r="E95" i="40"/>
  <c r="G95" i="40" s="1"/>
  <c r="H95" i="40" s="1"/>
  <c r="E141" i="45"/>
  <c r="G141" i="45" s="1"/>
  <c r="H141" i="45" s="1"/>
  <c r="B370" i="45"/>
  <c r="B371" i="45" s="1"/>
  <c r="C476" i="56"/>
  <c r="E476" i="56" s="1"/>
  <c r="F476" i="56" s="1"/>
  <c r="C473" i="56"/>
  <c r="E473" i="56" s="1"/>
  <c r="F473" i="56" s="1"/>
  <c r="C465" i="56"/>
  <c r="E465" i="56" s="1"/>
  <c r="F465" i="56" s="1"/>
  <c r="C463" i="56"/>
  <c r="E463" i="56" s="1"/>
  <c r="F463" i="56" s="1"/>
  <c r="C474" i="56"/>
  <c r="E474" i="56" s="1"/>
  <c r="F474" i="56" s="1"/>
  <c r="C466" i="56"/>
  <c r="E466" i="56" s="1"/>
  <c r="F466" i="56" s="1"/>
  <c r="C475" i="56"/>
  <c r="E475" i="56" s="1"/>
  <c r="F475" i="56" s="1"/>
  <c r="C477" i="56"/>
  <c r="E477" i="56" s="1"/>
  <c r="F477" i="56" s="1"/>
  <c r="C467" i="56"/>
  <c r="E467" i="56" s="1"/>
  <c r="F467" i="56" s="1"/>
  <c r="C469" i="56"/>
  <c r="E469" i="56" s="1"/>
  <c r="F469" i="56" s="1"/>
  <c r="C472" i="56"/>
  <c r="E472" i="56" s="1"/>
  <c r="F472" i="56" s="1"/>
  <c r="C462" i="56"/>
  <c r="E462" i="56" s="1"/>
  <c r="F462" i="56" s="1"/>
  <c r="C478" i="56"/>
  <c r="E478" i="56" s="1"/>
  <c r="F478" i="56" s="1"/>
  <c r="C464" i="56"/>
  <c r="E464" i="56" s="1"/>
  <c r="F464" i="56" s="1"/>
  <c r="C470" i="56"/>
  <c r="E470" i="56" s="1"/>
  <c r="F470" i="56" s="1"/>
  <c r="C468" i="56"/>
  <c r="E468" i="56" s="1"/>
  <c r="F468" i="56" s="1"/>
  <c r="C471" i="56"/>
  <c r="E471" i="56" s="1"/>
  <c r="F471" i="56" s="1"/>
  <c r="E139" i="45"/>
  <c r="G139" i="45" s="1"/>
  <c r="H139" i="45" s="1"/>
  <c r="C66" i="30"/>
  <c r="E92" i="30" s="1"/>
  <c r="B227" i="45"/>
  <c r="E82" i="40"/>
  <c r="G82" i="40" s="1"/>
  <c r="H82" i="40" s="1"/>
  <c r="E93" i="40"/>
  <c r="G93" i="40" s="1"/>
  <c r="H93" i="40" s="1"/>
  <c r="E94" i="40"/>
  <c r="G94" i="40" s="1"/>
  <c r="H94" i="40" s="1"/>
  <c r="E91" i="40"/>
  <c r="G91" i="40" s="1"/>
  <c r="H91" i="40" s="1"/>
  <c r="E101" i="40"/>
  <c r="G101" i="40" s="1"/>
  <c r="H101" i="40" s="1"/>
  <c r="E90" i="40"/>
  <c r="G90" i="40" s="1"/>
  <c r="H90" i="40" s="1"/>
  <c r="C514" i="45"/>
  <c r="C515" i="45" s="1"/>
  <c r="C610" i="45" s="1"/>
  <c r="E87" i="40"/>
  <c r="G87" i="40" s="1"/>
  <c r="H87" i="40" s="1"/>
  <c r="E96" i="40"/>
  <c r="G96" i="40" s="1"/>
  <c r="H96" i="40" s="1"/>
  <c r="E88" i="40"/>
  <c r="G88" i="40" s="1"/>
  <c r="H88" i="40" s="1"/>
  <c r="E92" i="40"/>
  <c r="G92" i="40" s="1"/>
  <c r="H92" i="40" s="1"/>
  <c r="E102" i="40"/>
  <c r="G102" i="40" s="1"/>
  <c r="H102" i="40" s="1"/>
  <c r="E89" i="40"/>
  <c r="G89" i="40" s="1"/>
  <c r="H89" i="40" s="1"/>
  <c r="E97" i="40"/>
  <c r="G97" i="40" s="1"/>
  <c r="H97" i="40" s="1"/>
  <c r="E98" i="40"/>
  <c r="G98" i="40" s="1"/>
  <c r="H98" i="40" s="1"/>
  <c r="E85" i="40"/>
  <c r="G85" i="40" s="1"/>
  <c r="H85" i="40" s="1"/>
  <c r="E129" i="45"/>
  <c r="G129" i="45" s="1"/>
  <c r="H129" i="45" s="1"/>
  <c r="C113" i="45"/>
  <c r="E124" i="45"/>
  <c r="G124" i="45" s="1"/>
  <c r="H124" i="45" s="1"/>
  <c r="E137" i="45"/>
  <c r="G137" i="45" s="1"/>
  <c r="H137" i="45" s="1"/>
  <c r="E130" i="45"/>
  <c r="G130" i="45" s="1"/>
  <c r="H130" i="45" s="1"/>
  <c r="E125" i="45"/>
  <c r="G125" i="45" s="1"/>
  <c r="H125" i="45" s="1"/>
  <c r="E144" i="45"/>
  <c r="G144" i="45" s="1"/>
  <c r="H144" i="45" s="1"/>
  <c r="E138" i="45"/>
  <c r="G138" i="45" s="1"/>
  <c r="H138" i="45" s="1"/>
  <c r="E135" i="45"/>
  <c r="G135" i="45" s="1"/>
  <c r="H135" i="45" s="1"/>
  <c r="E142" i="36"/>
  <c r="E132" i="45"/>
  <c r="G132" i="45" s="1"/>
  <c r="H132" i="45" s="1"/>
  <c r="E136" i="45"/>
  <c r="G136" i="45" s="1"/>
  <c r="H136" i="45" s="1"/>
  <c r="E126" i="45"/>
  <c r="G126" i="45" s="1"/>
  <c r="H126" i="45" s="1"/>
  <c r="E127" i="45"/>
  <c r="G127" i="45" s="1"/>
  <c r="H127" i="45" s="1"/>
  <c r="E140" i="45"/>
  <c r="G140" i="45" s="1"/>
  <c r="H140" i="45" s="1"/>
  <c r="E142" i="45"/>
  <c r="G142" i="45" s="1"/>
  <c r="H142" i="45" s="1"/>
  <c r="C59" i="30"/>
  <c r="C62" i="25"/>
  <c r="E143" i="45"/>
  <c r="G143" i="45" s="1"/>
  <c r="H143" i="45" s="1"/>
  <c r="E133" i="45"/>
  <c r="G133" i="45" s="1"/>
  <c r="H133" i="45" s="1"/>
  <c r="E128" i="45"/>
  <c r="G128" i="45" s="1"/>
  <c r="H128" i="45" s="1"/>
  <c r="E131" i="45"/>
  <c r="G131" i="45" s="1"/>
  <c r="H131" i="45" s="1"/>
  <c r="E136" i="36"/>
  <c r="G136" i="36" s="1"/>
  <c r="H136" i="36" s="1"/>
  <c r="C29" i="40"/>
  <c r="C530" i="40" s="1"/>
  <c r="D193" i="25"/>
  <c r="B315" i="25" s="1"/>
  <c r="C56" i="44"/>
  <c r="C410" i="40"/>
  <c r="C411" i="40" s="1"/>
  <c r="C506" i="40" s="1"/>
  <c r="E141" i="35"/>
  <c r="E135" i="35"/>
  <c r="G135" i="35" s="1"/>
  <c r="H135" i="35" s="1"/>
  <c r="E134" i="42"/>
  <c r="G134" i="42" s="1"/>
  <c r="H134" i="42" s="1"/>
  <c r="E134" i="36"/>
  <c r="G134" i="36" s="1"/>
  <c r="H134" i="36" s="1"/>
  <c r="E136" i="42"/>
  <c r="G136" i="42" s="1"/>
  <c r="H136" i="42" s="1"/>
  <c r="C60" i="46"/>
  <c r="G142" i="46"/>
  <c r="H142" i="46" s="1"/>
  <c r="E86" i="37"/>
  <c r="G86" i="37" s="1"/>
  <c r="H86" i="37" s="1"/>
  <c r="C57" i="42"/>
  <c r="B418" i="46"/>
  <c r="B584" i="46"/>
  <c r="E584" i="46" s="1"/>
  <c r="D492" i="46"/>
  <c r="C231" i="46"/>
  <c r="D231" i="46" s="1"/>
  <c r="D307" i="46" s="1"/>
  <c r="C232" i="46"/>
  <c r="D232" i="46" s="1"/>
  <c r="D308" i="46" s="1"/>
  <c r="D230" i="46"/>
  <c r="D306" i="46" s="1"/>
  <c r="C306" i="46" s="1"/>
  <c r="B415" i="46"/>
  <c r="B504" i="46"/>
  <c r="E125" i="36"/>
  <c r="G125" i="36" s="1"/>
  <c r="H125" i="36" s="1"/>
  <c r="E129" i="42"/>
  <c r="G129" i="42" s="1"/>
  <c r="H129" i="42" s="1"/>
  <c r="B409" i="46"/>
  <c r="D300" i="46"/>
  <c r="B410" i="46"/>
  <c r="B589" i="46"/>
  <c r="E589" i="46" s="1"/>
  <c r="D497" i="46"/>
  <c r="B424" i="46"/>
  <c r="G141" i="46"/>
  <c r="H141" i="46" s="1"/>
  <c r="G136" i="46"/>
  <c r="H136" i="46" s="1"/>
  <c r="B302" i="46"/>
  <c r="B414" i="46"/>
  <c r="B413" i="46"/>
  <c r="B488" i="46"/>
  <c r="C168" i="45"/>
  <c r="F132" i="46"/>
  <c r="F126" i="46"/>
  <c r="F124" i="46"/>
  <c r="F133" i="46"/>
  <c r="B307" i="46"/>
  <c r="B308" i="46"/>
  <c r="B502" i="46"/>
  <c r="B496" i="46"/>
  <c r="B447" i="46"/>
  <c r="E127" i="36"/>
  <c r="G127" i="36" s="1"/>
  <c r="H127" i="36" s="1"/>
  <c r="E130" i="42"/>
  <c r="G130" i="42" s="1"/>
  <c r="H130" i="42" s="1"/>
  <c r="E137" i="42"/>
  <c r="G137" i="42" s="1"/>
  <c r="H137" i="42" s="1"/>
  <c r="C226" i="46"/>
  <c r="D226" i="46" s="1"/>
  <c r="B411" i="46"/>
  <c r="B423" i="46"/>
  <c r="B450" i="46"/>
  <c r="C301" i="46"/>
  <c r="B453" i="45"/>
  <c r="B438" i="45"/>
  <c r="C368" i="45"/>
  <c r="B433" i="45"/>
  <c r="B435" i="45"/>
  <c r="I131" i="45"/>
  <c r="J131" i="45" s="1"/>
  <c r="K131" i="45"/>
  <c r="L131" i="45" s="1"/>
  <c r="E133" i="36"/>
  <c r="G133" i="36" s="1"/>
  <c r="H133" i="36" s="1"/>
  <c r="E128" i="36"/>
  <c r="G128" i="36" s="1"/>
  <c r="H128" i="36" s="1"/>
  <c r="E123" i="36"/>
  <c r="G123" i="36" s="1"/>
  <c r="H123" i="36" s="1"/>
  <c r="E131" i="36"/>
  <c r="G131" i="36" s="1"/>
  <c r="H131" i="36" s="1"/>
  <c r="E137" i="36"/>
  <c r="G137" i="36" s="1"/>
  <c r="H137" i="36" s="1"/>
  <c r="E84" i="37"/>
  <c r="G84" i="37" s="1"/>
  <c r="H84" i="37" s="1"/>
  <c r="E133" i="38"/>
  <c r="G133" i="38" s="1"/>
  <c r="H133" i="38" s="1"/>
  <c r="B607" i="45"/>
  <c r="F607" i="45" s="1"/>
  <c r="E510" i="45"/>
  <c r="B458" i="45"/>
  <c r="B437" i="45"/>
  <c r="B456" i="45"/>
  <c r="B432" i="45"/>
  <c r="C358" i="45"/>
  <c r="I139" i="45"/>
  <c r="J139" i="45" s="1"/>
  <c r="K139" i="45"/>
  <c r="L139" i="45" s="1"/>
  <c r="K124" i="45"/>
  <c r="L124" i="45" s="1"/>
  <c r="I124" i="45"/>
  <c r="J124" i="45" s="1"/>
  <c r="I138" i="45"/>
  <c r="J138" i="45" s="1"/>
  <c r="K138" i="45"/>
  <c r="L138" i="45" s="1"/>
  <c r="E143" i="36"/>
  <c r="G143" i="36" s="1"/>
  <c r="H143" i="36" s="1"/>
  <c r="E124" i="36"/>
  <c r="G124" i="36" s="1"/>
  <c r="H124" i="36" s="1"/>
  <c r="E139" i="36"/>
  <c r="G139" i="36" s="1"/>
  <c r="H139" i="36" s="1"/>
  <c r="E87" i="37"/>
  <c r="G87" i="37" s="1"/>
  <c r="H87" i="37" s="1"/>
  <c r="C361" i="45"/>
  <c r="C367" i="45"/>
  <c r="I136" i="45"/>
  <c r="J136" i="45" s="1"/>
  <c r="K140" i="45"/>
  <c r="L140" i="45" s="1"/>
  <c r="B256" i="45"/>
  <c r="D141" i="45"/>
  <c r="B463" i="45"/>
  <c r="C104" i="45"/>
  <c r="I133" i="45"/>
  <c r="J133" i="45" s="1"/>
  <c r="K133" i="45"/>
  <c r="L133" i="45" s="1"/>
  <c r="K132" i="45"/>
  <c r="L132" i="45" s="1"/>
  <c r="I132" i="45"/>
  <c r="J132" i="45" s="1"/>
  <c r="I129" i="45"/>
  <c r="J129" i="45" s="1"/>
  <c r="K129" i="45"/>
  <c r="L129" i="45" s="1"/>
  <c r="I126" i="45"/>
  <c r="J126" i="45" s="1"/>
  <c r="K126" i="45"/>
  <c r="L126" i="45" s="1"/>
  <c r="I144" i="45"/>
  <c r="J144" i="45" s="1"/>
  <c r="K144" i="45"/>
  <c r="L144" i="45" s="1"/>
  <c r="D324" i="45"/>
  <c r="D370" i="45" s="1"/>
  <c r="C325" i="45"/>
  <c r="D325" i="45" s="1"/>
  <c r="E140" i="36"/>
  <c r="G140" i="36" s="1"/>
  <c r="H140" i="36" s="1"/>
  <c r="E126" i="36"/>
  <c r="G126" i="36" s="1"/>
  <c r="H126" i="36" s="1"/>
  <c r="E135" i="36"/>
  <c r="G135" i="36" s="1"/>
  <c r="H135" i="36" s="1"/>
  <c r="E138" i="36"/>
  <c r="G138" i="36" s="1"/>
  <c r="H138" i="36" s="1"/>
  <c r="E132" i="36"/>
  <c r="G132" i="36" s="1"/>
  <c r="H132" i="36" s="1"/>
  <c r="E129" i="36"/>
  <c r="G129" i="36" s="1"/>
  <c r="H129" i="36" s="1"/>
  <c r="E130" i="36"/>
  <c r="G130" i="36" s="1"/>
  <c r="H130" i="36" s="1"/>
  <c r="C363" i="45"/>
  <c r="B447" i="45"/>
  <c r="B516" i="45"/>
  <c r="B513" i="45"/>
  <c r="K125" i="45"/>
  <c r="L125" i="45" s="1"/>
  <c r="I125" i="45"/>
  <c r="J125" i="45" s="1"/>
  <c r="K134" i="45"/>
  <c r="L134" i="45" s="1"/>
  <c r="I134" i="45"/>
  <c r="J134" i="45" s="1"/>
  <c r="K130" i="45"/>
  <c r="L130" i="45" s="1"/>
  <c r="I130" i="45"/>
  <c r="J130" i="45" s="1"/>
  <c r="I128" i="45"/>
  <c r="J128" i="45" s="1"/>
  <c r="K128" i="45"/>
  <c r="L128" i="45" s="1"/>
  <c r="C189" i="45"/>
  <c r="C187" i="45"/>
  <c r="B284" i="40"/>
  <c r="D236" i="40"/>
  <c r="D282" i="40" s="1"/>
  <c r="C282" i="40" s="1"/>
  <c r="B338" i="40" s="1"/>
  <c r="B409" i="40" s="1"/>
  <c r="E409" i="40" s="1"/>
  <c r="D239" i="40"/>
  <c r="D285" i="40" s="1"/>
  <c r="C274" i="40"/>
  <c r="B330" i="40" s="1"/>
  <c r="B401" i="40" s="1"/>
  <c r="E128" i="35"/>
  <c r="G128" i="35" s="1"/>
  <c r="H128" i="35" s="1"/>
  <c r="E121" i="42"/>
  <c r="G121" i="42" s="1"/>
  <c r="H121" i="42" s="1"/>
  <c r="E140" i="42"/>
  <c r="E139" i="42"/>
  <c r="B450" i="44"/>
  <c r="B504" i="44"/>
  <c r="F143" i="44"/>
  <c r="F136" i="44"/>
  <c r="F133" i="44"/>
  <c r="F129" i="44"/>
  <c r="F125" i="44"/>
  <c r="F141" i="44"/>
  <c r="I141" i="44" s="1"/>
  <c r="J141" i="44" s="1"/>
  <c r="F140" i="44"/>
  <c r="F128" i="44"/>
  <c r="F127" i="44"/>
  <c r="F126" i="44"/>
  <c r="C102" i="44"/>
  <c r="C103" i="44" s="1"/>
  <c r="F142" i="44"/>
  <c r="I142" i="44" s="1"/>
  <c r="J142" i="44" s="1"/>
  <c r="F124" i="44"/>
  <c r="F123" i="44"/>
  <c r="F137" i="44"/>
  <c r="F134" i="44"/>
  <c r="F138" i="44"/>
  <c r="C95" i="44"/>
  <c r="C96" i="44" s="1"/>
  <c r="C155" i="44"/>
  <c r="F132" i="44"/>
  <c r="C111" i="44"/>
  <c r="C112" i="44" s="1"/>
  <c r="F139" i="44"/>
  <c r="F135" i="44"/>
  <c r="F130" i="44"/>
  <c r="F131" i="44"/>
  <c r="C115" i="44"/>
  <c r="C116" i="44" s="1"/>
  <c r="C60" i="44"/>
  <c r="B409" i="44"/>
  <c r="B422" i="44"/>
  <c r="G142" i="44"/>
  <c r="H142" i="44" s="1"/>
  <c r="D230" i="44"/>
  <c r="D306" i="44" s="1"/>
  <c r="C232" i="44"/>
  <c r="D232" i="44" s="1"/>
  <c r="D308" i="44" s="1"/>
  <c r="C231" i="44"/>
  <c r="D231" i="44" s="1"/>
  <c r="D307" i="44" s="1"/>
  <c r="G136" i="44"/>
  <c r="H136" i="44" s="1"/>
  <c r="B302" i="44"/>
  <c r="B417" i="44"/>
  <c r="D225" i="44"/>
  <c r="C226" i="44"/>
  <c r="D226" i="44" s="1"/>
  <c r="D302" i="44" s="1"/>
  <c r="B424" i="44"/>
  <c r="B413" i="44"/>
  <c r="B410" i="44"/>
  <c r="B435" i="44"/>
  <c r="C289" i="44"/>
  <c r="B491" i="44"/>
  <c r="B308" i="44"/>
  <c r="B307" i="44"/>
  <c r="E127" i="42"/>
  <c r="G127" i="42" s="1"/>
  <c r="H127" i="42" s="1"/>
  <c r="E138" i="42"/>
  <c r="G138" i="42" s="1"/>
  <c r="H138" i="42" s="1"/>
  <c r="E128" i="42"/>
  <c r="G128" i="42" s="1"/>
  <c r="H128" i="42" s="1"/>
  <c r="B496" i="44"/>
  <c r="D492" i="44"/>
  <c r="B584" i="44"/>
  <c r="E584" i="44" s="1"/>
  <c r="B495" i="44"/>
  <c r="B414" i="44"/>
  <c r="G141" i="44"/>
  <c r="H141" i="44" s="1"/>
  <c r="B418" i="44"/>
  <c r="C304" i="44"/>
  <c r="B499" i="44"/>
  <c r="D499" i="44" s="1"/>
  <c r="C27" i="36"/>
  <c r="E90" i="37"/>
  <c r="G90" i="37" s="1"/>
  <c r="H90" i="37" s="1"/>
  <c r="E141" i="42"/>
  <c r="G141" i="42" s="1"/>
  <c r="H141" i="42" s="1"/>
  <c r="E122" i="42"/>
  <c r="G122" i="42" s="1"/>
  <c r="H122" i="42" s="1"/>
  <c r="E126" i="42"/>
  <c r="G126" i="42" s="1"/>
  <c r="H126" i="42" s="1"/>
  <c r="E123" i="42"/>
  <c r="G123" i="42" s="1"/>
  <c r="H123" i="42" s="1"/>
  <c r="E133" i="42"/>
  <c r="G133" i="42" s="1"/>
  <c r="H133" i="42" s="1"/>
  <c r="C56" i="39"/>
  <c r="E124" i="42"/>
  <c r="G124" i="42" s="1"/>
  <c r="H124" i="42" s="1"/>
  <c r="E131" i="42"/>
  <c r="G131" i="42" s="1"/>
  <c r="H131" i="42" s="1"/>
  <c r="E132" i="42"/>
  <c r="G132" i="42" s="1"/>
  <c r="H132" i="42" s="1"/>
  <c r="E125" i="42"/>
  <c r="G125" i="42" s="1"/>
  <c r="H125" i="42" s="1"/>
  <c r="F131" i="36"/>
  <c r="K131" i="36" s="1"/>
  <c r="L131" i="36" s="1"/>
  <c r="F124" i="36"/>
  <c r="K124" i="36" s="1"/>
  <c r="L124" i="36" s="1"/>
  <c r="C56" i="36"/>
  <c r="B451" i="42"/>
  <c r="C510" i="42"/>
  <c r="C511" i="42" s="1"/>
  <c r="C602" i="42" s="1"/>
  <c r="B250" i="42"/>
  <c r="C357" i="42"/>
  <c r="B457" i="42"/>
  <c r="B253" i="42"/>
  <c r="D138" i="42"/>
  <c r="E140" i="35"/>
  <c r="G140" i="35" s="1"/>
  <c r="H140" i="35" s="1"/>
  <c r="E96" i="37"/>
  <c r="G96" i="37" s="1"/>
  <c r="H96" i="37" s="1"/>
  <c r="E91" i="37"/>
  <c r="G91" i="37" s="1"/>
  <c r="H91" i="37" s="1"/>
  <c r="E125" i="38"/>
  <c r="G125" i="38" s="1"/>
  <c r="H125" i="38" s="1"/>
  <c r="B461" i="42"/>
  <c r="B456" i="42"/>
  <c r="C358" i="42"/>
  <c r="C364" i="42"/>
  <c r="C360" i="42"/>
  <c r="C356" i="42"/>
  <c r="C321" i="42"/>
  <c r="B367" i="42"/>
  <c r="B224" i="42"/>
  <c r="C365" i="42"/>
  <c r="B466" i="42"/>
  <c r="C362" i="42"/>
  <c r="E137" i="38"/>
  <c r="G137" i="38" s="1"/>
  <c r="H137" i="38" s="1"/>
  <c r="E98" i="37"/>
  <c r="G98" i="37" s="1"/>
  <c r="H98" i="37" s="1"/>
  <c r="E101" i="37"/>
  <c r="E132" i="38"/>
  <c r="G132" i="38" s="1"/>
  <c r="H132" i="38" s="1"/>
  <c r="C361" i="42"/>
  <c r="B453" i="42"/>
  <c r="C359" i="42"/>
  <c r="B458" i="42"/>
  <c r="B450" i="42"/>
  <c r="C371" i="42"/>
  <c r="B140" i="42"/>
  <c r="B139" i="42"/>
  <c r="B442" i="42"/>
  <c r="B439" i="42"/>
  <c r="B455" i="42"/>
  <c r="C363" i="42"/>
  <c r="C355" i="42"/>
  <c r="B460" i="42"/>
  <c r="F131" i="42"/>
  <c r="C60" i="36"/>
  <c r="C111" i="36"/>
  <c r="C112" i="36" s="1"/>
  <c r="F140" i="36"/>
  <c r="I140" i="36" s="1"/>
  <c r="J140" i="36" s="1"/>
  <c r="E85" i="37"/>
  <c r="G85" i="37" s="1"/>
  <c r="H85" i="37" s="1"/>
  <c r="E92" i="37"/>
  <c r="G92" i="37" s="1"/>
  <c r="H92" i="37" s="1"/>
  <c r="E123" i="38"/>
  <c r="G123" i="38" s="1"/>
  <c r="H123" i="38" s="1"/>
  <c r="F135" i="38"/>
  <c r="C230" i="39"/>
  <c r="C232" i="39" s="1"/>
  <c r="D232" i="39" s="1"/>
  <c r="D308" i="39" s="1"/>
  <c r="F141" i="36"/>
  <c r="I141" i="36" s="1"/>
  <c r="J141" i="36" s="1"/>
  <c r="C155" i="36"/>
  <c r="C157" i="36" s="1"/>
  <c r="C159" i="36" s="1"/>
  <c r="C161" i="36" s="1"/>
  <c r="C479" i="30"/>
  <c r="C471" i="30"/>
  <c r="C227" i="30"/>
  <c r="D227" i="30" s="1"/>
  <c r="D271" i="30" s="1"/>
  <c r="B366" i="30" s="1"/>
  <c r="B271" i="30"/>
  <c r="C270" i="30"/>
  <c r="B343" i="30" s="1"/>
  <c r="B413" i="30" s="1"/>
  <c r="C236" i="30"/>
  <c r="D236" i="30" s="1"/>
  <c r="D282" i="30" s="1"/>
  <c r="B377" i="30" s="1"/>
  <c r="B282" i="30"/>
  <c r="C272" i="30"/>
  <c r="B345" i="30" s="1"/>
  <c r="B415" i="30" s="1"/>
  <c r="B175" i="30"/>
  <c r="B173" i="30"/>
  <c r="C232" i="30"/>
  <c r="B96" i="30"/>
  <c r="B97" i="30" s="1"/>
  <c r="B177" i="30"/>
  <c r="C421" i="30" s="1"/>
  <c r="C514" i="30" s="1"/>
  <c r="B92" i="30"/>
  <c r="C91" i="30"/>
  <c r="B179" i="30"/>
  <c r="B153" i="30"/>
  <c r="C85" i="30"/>
  <c r="B147" i="30" s="1"/>
  <c r="B274" i="30" s="1"/>
  <c r="C86" i="30"/>
  <c r="B148" i="30" s="1"/>
  <c r="B275" i="30" s="1"/>
  <c r="C84" i="30"/>
  <c r="B146" i="30" s="1"/>
  <c r="B273" i="30" s="1"/>
  <c r="C87" i="30"/>
  <c r="B149" i="30" s="1"/>
  <c r="B276" i="30" s="1"/>
  <c r="C31" i="30"/>
  <c r="D84" i="30"/>
  <c r="C27" i="30"/>
  <c r="C25" i="30"/>
  <c r="B356" i="40"/>
  <c r="C278" i="40"/>
  <c r="B335" i="40"/>
  <c r="B404" i="40"/>
  <c r="B354" i="40"/>
  <c r="C276" i="40"/>
  <c r="B359" i="40"/>
  <c r="C281" i="40"/>
  <c r="F135" i="36"/>
  <c r="K135" i="36" s="1"/>
  <c r="L135" i="36" s="1"/>
  <c r="F123" i="36"/>
  <c r="K123" i="36" s="1"/>
  <c r="L123" i="36" s="1"/>
  <c r="C173" i="37"/>
  <c r="D173" i="37" s="1"/>
  <c r="D226" i="37" s="1"/>
  <c r="C226" i="37" s="1"/>
  <c r="E131" i="38"/>
  <c r="G131" i="38" s="1"/>
  <c r="H131" i="38" s="1"/>
  <c r="E142" i="38"/>
  <c r="G142" i="38" s="1"/>
  <c r="H142" i="38" s="1"/>
  <c r="E139" i="38"/>
  <c r="G139" i="38" s="1"/>
  <c r="H139" i="38" s="1"/>
  <c r="E135" i="38"/>
  <c r="G135" i="38" s="1"/>
  <c r="H135" i="38" s="1"/>
  <c r="E130" i="38"/>
  <c r="G130" i="38" s="1"/>
  <c r="H130" i="38" s="1"/>
  <c r="C226" i="39"/>
  <c r="D226" i="39" s="1"/>
  <c r="D302" i="39" s="1"/>
  <c r="C302" i="39" s="1"/>
  <c r="C287" i="40"/>
  <c r="D100" i="40"/>
  <c r="D101" i="40"/>
  <c r="B187" i="40"/>
  <c r="F130" i="36"/>
  <c r="K130" i="36" s="1"/>
  <c r="L130" i="36" s="1"/>
  <c r="F125" i="36"/>
  <c r="K125" i="36" s="1"/>
  <c r="L125" i="36" s="1"/>
  <c r="C115" i="36"/>
  <c r="C116" i="36" s="1"/>
  <c r="F128" i="36"/>
  <c r="I128" i="36" s="1"/>
  <c r="J128" i="36" s="1"/>
  <c r="C102" i="36"/>
  <c r="C103" i="36" s="1"/>
  <c r="E128" i="38"/>
  <c r="G128" i="38" s="1"/>
  <c r="H128" i="38" s="1"/>
  <c r="E141" i="38"/>
  <c r="G141" i="38" s="1"/>
  <c r="H141" i="38" s="1"/>
  <c r="E127" i="38"/>
  <c r="G127" i="38" s="1"/>
  <c r="H127" i="38" s="1"/>
  <c r="E134" i="38"/>
  <c r="G134" i="38" s="1"/>
  <c r="H134" i="38" s="1"/>
  <c r="E126" i="38"/>
  <c r="G126" i="38" s="1"/>
  <c r="H126" i="38" s="1"/>
  <c r="E129" i="38"/>
  <c r="G129" i="38" s="1"/>
  <c r="H129" i="38" s="1"/>
  <c r="B329" i="40"/>
  <c r="C237" i="40"/>
  <c r="C238" i="40" s="1"/>
  <c r="D238" i="40" s="1"/>
  <c r="B365" i="40"/>
  <c r="F129" i="36"/>
  <c r="K129" i="36" s="1"/>
  <c r="L129" i="36" s="1"/>
  <c r="F133" i="36"/>
  <c r="I133" i="36" s="1"/>
  <c r="J133" i="36" s="1"/>
  <c r="F126" i="36"/>
  <c r="K126" i="36" s="1"/>
  <c r="L126" i="36" s="1"/>
  <c r="F139" i="36"/>
  <c r="I139" i="36" s="1"/>
  <c r="J139" i="36" s="1"/>
  <c r="F136" i="36"/>
  <c r="K136" i="36" s="1"/>
  <c r="L136" i="36" s="1"/>
  <c r="F137" i="36"/>
  <c r="I137" i="36" s="1"/>
  <c r="J137" i="36" s="1"/>
  <c r="F138" i="36"/>
  <c r="I138" i="36" s="1"/>
  <c r="J138" i="36" s="1"/>
  <c r="F127" i="36"/>
  <c r="K127" i="36" s="1"/>
  <c r="L127" i="36" s="1"/>
  <c r="E124" i="38"/>
  <c r="G124" i="38" s="1"/>
  <c r="H124" i="38" s="1"/>
  <c r="E143" i="38"/>
  <c r="G143" i="38" s="1"/>
  <c r="H143" i="38" s="1"/>
  <c r="E140" i="38"/>
  <c r="G140" i="38" s="1"/>
  <c r="H140" i="38" s="1"/>
  <c r="E136" i="38"/>
  <c r="G136" i="38" s="1"/>
  <c r="H136" i="38" s="1"/>
  <c r="C228" i="40"/>
  <c r="D228" i="40" s="1"/>
  <c r="D271" i="40" s="1"/>
  <c r="B271" i="40"/>
  <c r="B328" i="40"/>
  <c r="E141" i="39"/>
  <c r="G141" i="39" s="1"/>
  <c r="H141" i="39" s="1"/>
  <c r="E139" i="39"/>
  <c r="G139" i="39" s="1"/>
  <c r="H139" i="39" s="1"/>
  <c r="E137" i="39"/>
  <c r="G137" i="39" s="1"/>
  <c r="H137" i="39" s="1"/>
  <c r="E134" i="39"/>
  <c r="G134" i="39" s="1"/>
  <c r="H134" i="39" s="1"/>
  <c r="E130" i="39"/>
  <c r="G130" i="39" s="1"/>
  <c r="H130" i="39" s="1"/>
  <c r="E126" i="39"/>
  <c r="G126" i="39" s="1"/>
  <c r="H126" i="39" s="1"/>
  <c r="E142" i="39"/>
  <c r="G142" i="39" s="1"/>
  <c r="H142" i="39" s="1"/>
  <c r="E140" i="39"/>
  <c r="G140" i="39" s="1"/>
  <c r="H140" i="39" s="1"/>
  <c r="E143" i="39"/>
  <c r="G143" i="39" s="1"/>
  <c r="H143" i="39" s="1"/>
  <c r="E138" i="39"/>
  <c r="G138" i="39" s="1"/>
  <c r="H138" i="39" s="1"/>
  <c r="E136" i="39"/>
  <c r="G136" i="39" s="1"/>
  <c r="H136" i="39" s="1"/>
  <c r="E132" i="39"/>
  <c r="G132" i="39" s="1"/>
  <c r="H132" i="39" s="1"/>
  <c r="E129" i="39"/>
  <c r="G129" i="39" s="1"/>
  <c r="H129" i="39" s="1"/>
  <c r="E128" i="39"/>
  <c r="G128" i="39" s="1"/>
  <c r="H128" i="39" s="1"/>
  <c r="E127" i="39"/>
  <c r="G127" i="39" s="1"/>
  <c r="H127" i="39" s="1"/>
  <c r="E133" i="39"/>
  <c r="G133" i="39" s="1"/>
  <c r="H133" i="39" s="1"/>
  <c r="E124" i="39"/>
  <c r="G124" i="39" s="1"/>
  <c r="H124" i="39" s="1"/>
  <c r="E131" i="39"/>
  <c r="G131" i="39" s="1"/>
  <c r="H131" i="39" s="1"/>
  <c r="E125" i="39"/>
  <c r="G125" i="39" s="1"/>
  <c r="H125" i="39" s="1"/>
  <c r="E135" i="39"/>
  <c r="G135" i="39" s="1"/>
  <c r="H135" i="39" s="1"/>
  <c r="E123" i="39"/>
  <c r="G123" i="39" s="1"/>
  <c r="H123" i="39" s="1"/>
  <c r="B415" i="39"/>
  <c r="B435" i="39"/>
  <c r="C305" i="39"/>
  <c r="B447" i="39"/>
  <c r="B416" i="39"/>
  <c r="C95" i="36"/>
  <c r="C96" i="36" s="1"/>
  <c r="F143" i="36"/>
  <c r="K143" i="36" s="1"/>
  <c r="L143" i="36" s="1"/>
  <c r="F134" i="36"/>
  <c r="K134" i="36" s="1"/>
  <c r="L134" i="36" s="1"/>
  <c r="F132" i="36"/>
  <c r="K132" i="36" s="1"/>
  <c r="L132" i="36" s="1"/>
  <c r="F142" i="36"/>
  <c r="I142" i="36" s="1"/>
  <c r="J142" i="36" s="1"/>
  <c r="E82" i="37"/>
  <c r="G82" i="37" s="1"/>
  <c r="H82" i="37" s="1"/>
  <c r="E93" i="37"/>
  <c r="G93" i="37" s="1"/>
  <c r="H93" i="37" s="1"/>
  <c r="E88" i="37"/>
  <c r="G88" i="37" s="1"/>
  <c r="H88" i="37" s="1"/>
  <c r="E99" i="37"/>
  <c r="G99" i="37" s="1"/>
  <c r="H99" i="37" s="1"/>
  <c r="B413" i="39"/>
  <c r="B446" i="39"/>
  <c r="C300" i="39"/>
  <c r="B429" i="39"/>
  <c r="D290" i="39"/>
  <c r="C290" i="39" s="1"/>
  <c r="B306" i="39"/>
  <c r="D141" i="39"/>
  <c r="D142" i="39"/>
  <c r="B422" i="39"/>
  <c r="B412" i="39"/>
  <c r="B410" i="39"/>
  <c r="B417" i="39"/>
  <c r="C301" i="39"/>
  <c r="B414" i="39"/>
  <c r="B418" i="39"/>
  <c r="B451" i="39"/>
  <c r="B423" i="39"/>
  <c r="C289" i="39"/>
  <c r="B450" i="39"/>
  <c r="B411" i="39"/>
  <c r="B494" i="38"/>
  <c r="E83" i="37"/>
  <c r="G83" i="37" s="1"/>
  <c r="H83" i="37" s="1"/>
  <c r="E89" i="37"/>
  <c r="G89" i="37" s="1"/>
  <c r="H89" i="37" s="1"/>
  <c r="E100" i="37"/>
  <c r="E95" i="37"/>
  <c r="G95" i="37" s="1"/>
  <c r="H95" i="37" s="1"/>
  <c r="E94" i="37"/>
  <c r="G94" i="37" s="1"/>
  <c r="H94" i="37" s="1"/>
  <c r="C305" i="38"/>
  <c r="B450" i="38"/>
  <c r="B429" i="38"/>
  <c r="B498" i="38"/>
  <c r="B417" i="38"/>
  <c r="B415" i="38"/>
  <c r="C29" i="37"/>
  <c r="E102" i="37"/>
  <c r="G102" i="37" s="1"/>
  <c r="H102" i="37" s="1"/>
  <c r="C230" i="38"/>
  <c r="B422" i="38"/>
  <c r="B302" i="38"/>
  <c r="D141" i="38"/>
  <c r="D142" i="38"/>
  <c r="B306" i="38"/>
  <c r="B409" i="38"/>
  <c r="B411" i="38"/>
  <c r="D490" i="38"/>
  <c r="B582" i="38"/>
  <c r="E582" i="38" s="1"/>
  <c r="B451" i="38"/>
  <c r="B499" i="38"/>
  <c r="D499" i="38" s="1"/>
  <c r="B412" i="38"/>
  <c r="D225" i="38"/>
  <c r="C226" i="38"/>
  <c r="D226" i="38" s="1"/>
  <c r="D302" i="38" s="1"/>
  <c r="B423" i="38"/>
  <c r="B413" i="38"/>
  <c r="B408" i="38"/>
  <c r="B416" i="38"/>
  <c r="C194" i="25"/>
  <c r="B289" i="25" s="1"/>
  <c r="B369" i="25" s="1"/>
  <c r="C193" i="25"/>
  <c r="B288" i="25" s="1"/>
  <c r="B368" i="25" s="1"/>
  <c r="C192" i="25"/>
  <c r="B287" i="25" s="1"/>
  <c r="B367" i="25" s="1"/>
  <c r="C204" i="25"/>
  <c r="B299" i="25" s="1"/>
  <c r="B379" i="25" s="1"/>
  <c r="D95" i="25"/>
  <c r="C96" i="25"/>
  <c r="B191" i="25"/>
  <c r="C191" i="25" s="1"/>
  <c r="C34" i="25"/>
  <c r="C85" i="25"/>
  <c r="C29" i="25"/>
  <c r="C27" i="25"/>
  <c r="B228" i="37"/>
  <c r="B227" i="37"/>
  <c r="B284" i="37"/>
  <c r="B222" i="37"/>
  <c r="B292" i="37"/>
  <c r="B288" i="37"/>
  <c r="B458" i="37"/>
  <c r="E458" i="37" s="1"/>
  <c r="D366" i="37"/>
  <c r="B459" i="37"/>
  <c r="E459" i="37" s="1"/>
  <c r="D367" i="37"/>
  <c r="B311" i="37"/>
  <c r="B326" i="37"/>
  <c r="C224" i="37"/>
  <c r="B305" i="37"/>
  <c r="D168" i="37"/>
  <c r="C169" i="37"/>
  <c r="D169" i="37" s="1"/>
  <c r="D222" i="37" s="1"/>
  <c r="B289" i="37"/>
  <c r="B375" i="37"/>
  <c r="D375" i="37" s="1"/>
  <c r="D370" i="37"/>
  <c r="B462" i="37"/>
  <c r="E462" i="37" s="1"/>
  <c r="B371" i="37"/>
  <c r="D374" i="37"/>
  <c r="B466" i="37"/>
  <c r="E466" i="37" s="1"/>
  <c r="C225" i="37"/>
  <c r="D101" i="37"/>
  <c r="D100" i="37"/>
  <c r="B285" i="37"/>
  <c r="B298" i="37"/>
  <c r="B100" i="37"/>
  <c r="B101" i="37"/>
  <c r="B327" i="37"/>
  <c r="D225" i="36"/>
  <c r="C226" i="36"/>
  <c r="D226" i="36" s="1"/>
  <c r="D302" i="36" s="1"/>
  <c r="D141" i="36"/>
  <c r="D142" i="36"/>
  <c r="B422" i="36"/>
  <c r="E123" i="35"/>
  <c r="G123" i="35" s="1"/>
  <c r="H123" i="35" s="1"/>
  <c r="E125" i="35"/>
  <c r="G125" i="35" s="1"/>
  <c r="H125" i="35" s="1"/>
  <c r="E139" i="35"/>
  <c r="G139" i="35" s="1"/>
  <c r="H139" i="35" s="1"/>
  <c r="E129" i="35"/>
  <c r="G129" i="35" s="1"/>
  <c r="H129" i="35" s="1"/>
  <c r="B587" i="36"/>
  <c r="E587" i="36" s="1"/>
  <c r="D495" i="36"/>
  <c r="B142" i="36"/>
  <c r="B141" i="36"/>
  <c r="G141" i="36" s="1"/>
  <c r="H141" i="36" s="1"/>
  <c r="B412" i="36"/>
  <c r="B498" i="36"/>
  <c r="B409" i="36"/>
  <c r="B490" i="36"/>
  <c r="B504" i="36"/>
  <c r="B499" i="36"/>
  <c r="D499" i="36" s="1"/>
  <c r="B306" i="36"/>
  <c r="B408" i="36"/>
  <c r="E126" i="35"/>
  <c r="G126" i="35" s="1"/>
  <c r="H126" i="35" s="1"/>
  <c r="E130" i="35"/>
  <c r="G130" i="35" s="1"/>
  <c r="H130" i="35" s="1"/>
  <c r="E124" i="35"/>
  <c r="G124" i="35" s="1"/>
  <c r="H124" i="35" s="1"/>
  <c r="E136" i="35"/>
  <c r="G136" i="35" s="1"/>
  <c r="H136" i="35" s="1"/>
  <c r="B302" i="36"/>
  <c r="B491" i="36"/>
  <c r="B435" i="36"/>
  <c r="B414" i="36"/>
  <c r="E127" i="35"/>
  <c r="G127" i="35" s="1"/>
  <c r="H127" i="35" s="1"/>
  <c r="E131" i="35"/>
  <c r="G131" i="35" s="1"/>
  <c r="H131" i="35" s="1"/>
  <c r="E137" i="35"/>
  <c r="G137" i="35" s="1"/>
  <c r="H137" i="35" s="1"/>
  <c r="E143" i="35"/>
  <c r="G143" i="35" s="1"/>
  <c r="H143" i="35" s="1"/>
  <c r="D229" i="36"/>
  <c r="D305" i="36" s="1"/>
  <c r="C305" i="36" s="1"/>
  <c r="C230" i="36"/>
  <c r="B417" i="36"/>
  <c r="B413" i="36"/>
  <c r="B503" i="36"/>
  <c r="B416" i="36"/>
  <c r="E142" i="35"/>
  <c r="E138" i="35"/>
  <c r="G138" i="35" s="1"/>
  <c r="H138" i="35" s="1"/>
  <c r="E132" i="35"/>
  <c r="G132" i="35" s="1"/>
  <c r="H132" i="35" s="1"/>
  <c r="E134" i="35"/>
  <c r="G134" i="35" s="1"/>
  <c r="H134" i="35" s="1"/>
  <c r="B408" i="35"/>
  <c r="B490" i="35"/>
  <c r="B499" i="35"/>
  <c r="D499" i="35" s="1"/>
  <c r="D497" i="35"/>
  <c r="B589" i="35"/>
  <c r="E589" i="35" s="1"/>
  <c r="D229" i="35"/>
  <c r="D305" i="35" s="1"/>
  <c r="C305" i="35" s="1"/>
  <c r="C230" i="35"/>
  <c r="B492" i="35"/>
  <c r="D225" i="35"/>
  <c r="C226" i="35"/>
  <c r="D226" i="35" s="1"/>
  <c r="D302" i="35" s="1"/>
  <c r="B429" i="35"/>
  <c r="B498" i="35"/>
  <c r="B413" i="35"/>
  <c r="B423" i="35"/>
  <c r="D491" i="35"/>
  <c r="B583" i="35"/>
  <c r="E583" i="35" s="1"/>
  <c r="B416" i="35"/>
  <c r="B306" i="35"/>
  <c r="B142" i="35"/>
  <c r="B141" i="35"/>
  <c r="B422" i="35"/>
  <c r="D489" i="35"/>
  <c r="B581" i="35"/>
  <c r="E581" i="35" s="1"/>
  <c r="B494" i="35"/>
  <c r="B435" i="35"/>
  <c r="B302" i="35"/>
  <c r="C29" i="35"/>
  <c r="C27" i="35"/>
  <c r="D495" i="35"/>
  <c r="B587" i="35"/>
  <c r="E587" i="35" s="1"/>
  <c r="D141" i="35"/>
  <c r="D142" i="35"/>
  <c r="C95" i="25"/>
  <c r="C143" i="25"/>
  <c r="C82" i="25"/>
  <c r="C148" i="25"/>
  <c r="C158" i="25"/>
  <c r="D158" i="25" s="1"/>
  <c r="D211" i="25" s="1"/>
  <c r="C146" i="25"/>
  <c r="D190" i="25"/>
  <c r="B312" i="25" s="1"/>
  <c r="B284" i="30"/>
  <c r="C284" i="30" s="1"/>
  <c r="B357" i="30" s="1"/>
  <c r="B268" i="30"/>
  <c r="C268" i="30" s="1"/>
  <c r="D95" i="30"/>
  <c r="C144" i="25"/>
  <c r="C412" i="30"/>
  <c r="C505" i="30" s="1"/>
  <c r="B363" i="30"/>
  <c r="C422" i="30"/>
  <c r="B279" i="30"/>
  <c r="C233" i="30"/>
  <c r="D233" i="30" s="1"/>
  <c r="B269" i="30"/>
  <c r="C226" i="30"/>
  <c r="D226" i="30" s="1"/>
  <c r="D269" i="30" s="1"/>
  <c r="C69" i="25"/>
  <c r="C153" i="25"/>
  <c r="D153" i="25" s="1"/>
  <c r="D206" i="25" s="1"/>
  <c r="B328" i="25" s="1"/>
  <c r="B99" i="25"/>
  <c r="B391" i="25"/>
  <c r="D391" i="25" s="1"/>
  <c r="E391" i="25" s="1"/>
  <c r="C455" i="25"/>
  <c r="C145" i="25"/>
  <c r="C89" i="25"/>
  <c r="D200" i="25"/>
  <c r="B322" i="25" s="1"/>
  <c r="C83" i="25"/>
  <c r="B207" i="25"/>
  <c r="D152" i="25"/>
  <c r="D205" i="25" s="1"/>
  <c r="B327" i="25" s="1"/>
  <c r="B202" i="25"/>
  <c r="C149" i="25"/>
  <c r="D149" i="25" s="1"/>
  <c r="B313" i="25"/>
  <c r="D101" i="25"/>
  <c r="D100" i="25"/>
  <c r="C190" i="13"/>
  <c r="D125" i="1" l="1"/>
  <c r="E141" i="1"/>
  <c r="C116" i="2"/>
  <c r="D88" i="2"/>
  <c r="G142" i="36"/>
  <c r="H142" i="36" s="1"/>
  <c r="D123" i="1"/>
  <c r="E139" i="1"/>
  <c r="E89" i="30"/>
  <c r="G89" i="30" s="1"/>
  <c r="H89" i="30" s="1"/>
  <c r="E87" i="30"/>
  <c r="G87" i="30" s="1"/>
  <c r="H87" i="30" s="1"/>
  <c r="C416" i="56"/>
  <c r="C415" i="56"/>
  <c r="D464" i="56"/>
  <c r="G464" i="56" s="1"/>
  <c r="H464" i="56" s="1"/>
  <c r="D468" i="56"/>
  <c r="G468" i="56" s="1"/>
  <c r="H468" i="56" s="1"/>
  <c r="D472" i="56"/>
  <c r="G472" i="56" s="1"/>
  <c r="H472" i="56" s="1"/>
  <c r="D476" i="56"/>
  <c r="G476" i="56" s="1"/>
  <c r="H476" i="56" s="1"/>
  <c r="D465" i="56"/>
  <c r="G465" i="56" s="1"/>
  <c r="H465" i="56" s="1"/>
  <c r="D470" i="56"/>
  <c r="G470" i="56" s="1"/>
  <c r="H470" i="56" s="1"/>
  <c r="D475" i="56"/>
  <c r="G475" i="56" s="1"/>
  <c r="H475" i="56" s="1"/>
  <c r="D466" i="56"/>
  <c r="G466" i="56" s="1"/>
  <c r="H466" i="56" s="1"/>
  <c r="D473" i="56"/>
  <c r="G473" i="56" s="1"/>
  <c r="H473" i="56" s="1"/>
  <c r="D462" i="56"/>
  <c r="G462" i="56" s="1"/>
  <c r="H462" i="56" s="1"/>
  <c r="D467" i="56"/>
  <c r="G467" i="56" s="1"/>
  <c r="H467" i="56" s="1"/>
  <c r="D477" i="56"/>
  <c r="G477" i="56" s="1"/>
  <c r="H477" i="56" s="1"/>
  <c r="D463" i="56"/>
  <c r="G463" i="56" s="1"/>
  <c r="H463" i="56" s="1"/>
  <c r="D471" i="56"/>
  <c r="G471" i="56" s="1"/>
  <c r="H471" i="56" s="1"/>
  <c r="D478" i="56"/>
  <c r="G478" i="56" s="1"/>
  <c r="H478" i="56" s="1"/>
  <c r="D474" i="56"/>
  <c r="G474" i="56" s="1"/>
  <c r="H474" i="56" s="1"/>
  <c r="D469" i="56"/>
  <c r="G469" i="56" s="1"/>
  <c r="H469" i="56" s="1"/>
  <c r="C421" i="56"/>
  <c r="C431" i="56" s="1"/>
  <c r="C432" i="56" s="1"/>
  <c r="C560" i="56" s="1"/>
  <c r="B376" i="56"/>
  <c r="C584" i="56"/>
  <c r="C588" i="56" s="1"/>
  <c r="C558" i="56"/>
  <c r="C559" i="56" s="1"/>
  <c r="F510" i="56"/>
  <c r="G510" i="56" s="1"/>
  <c r="H510" i="56" s="1"/>
  <c r="C534" i="56"/>
  <c r="F513" i="56"/>
  <c r="G513" i="56" s="1"/>
  <c r="H513" i="56" s="1"/>
  <c r="F524" i="56"/>
  <c r="G524" i="56" s="1"/>
  <c r="H524" i="56" s="1"/>
  <c r="F512" i="56"/>
  <c r="G512" i="56" s="1"/>
  <c r="H512" i="56" s="1"/>
  <c r="C442" i="56"/>
  <c r="E442" i="56" s="1"/>
  <c r="F442" i="56" s="1"/>
  <c r="F523" i="56"/>
  <c r="G523" i="56" s="1"/>
  <c r="H523" i="56" s="1"/>
  <c r="C446" i="56"/>
  <c r="E446" i="56" s="1"/>
  <c r="F446" i="56" s="1"/>
  <c r="C441" i="56"/>
  <c r="E441" i="56" s="1"/>
  <c r="F441" i="56" s="1"/>
  <c r="F517" i="56"/>
  <c r="G517" i="56" s="1"/>
  <c r="H517" i="56" s="1"/>
  <c r="F525" i="56"/>
  <c r="G525" i="56" s="1"/>
  <c r="H525" i="56" s="1"/>
  <c r="C456" i="56"/>
  <c r="E456" i="56" s="1"/>
  <c r="F456" i="56" s="1"/>
  <c r="C447" i="56"/>
  <c r="E447" i="56" s="1"/>
  <c r="F447" i="56" s="1"/>
  <c r="F521" i="56"/>
  <c r="G521" i="56" s="1"/>
  <c r="H521" i="56" s="1"/>
  <c r="F519" i="56"/>
  <c r="G519" i="56" s="1"/>
  <c r="H519" i="56" s="1"/>
  <c r="F515" i="56"/>
  <c r="G515" i="56" s="1"/>
  <c r="H515" i="56" s="1"/>
  <c r="C450" i="56"/>
  <c r="E450" i="56" s="1"/>
  <c r="F450" i="56" s="1"/>
  <c r="F518" i="56"/>
  <c r="G518" i="56" s="1"/>
  <c r="H518" i="56" s="1"/>
  <c r="C449" i="56"/>
  <c r="E449" i="56" s="1"/>
  <c r="F449" i="56" s="1"/>
  <c r="C455" i="56"/>
  <c r="E455" i="56" s="1"/>
  <c r="F455" i="56" s="1"/>
  <c r="C440" i="56"/>
  <c r="E440" i="56" s="1"/>
  <c r="F440" i="56" s="1"/>
  <c r="C448" i="56"/>
  <c r="E448" i="56" s="1"/>
  <c r="F448" i="56" s="1"/>
  <c r="C453" i="56"/>
  <c r="E453" i="56" s="1"/>
  <c r="F453" i="56" s="1"/>
  <c r="F511" i="56"/>
  <c r="G511" i="56" s="1"/>
  <c r="H511" i="56" s="1"/>
  <c r="C451" i="56"/>
  <c r="E451" i="56" s="1"/>
  <c r="F451" i="56" s="1"/>
  <c r="F520" i="56"/>
  <c r="G520" i="56" s="1"/>
  <c r="H520" i="56" s="1"/>
  <c r="F516" i="56"/>
  <c r="G516" i="56" s="1"/>
  <c r="H516" i="56" s="1"/>
  <c r="C443" i="56"/>
  <c r="E443" i="56" s="1"/>
  <c r="F443" i="56" s="1"/>
  <c r="F526" i="56"/>
  <c r="G526" i="56" s="1"/>
  <c r="H526" i="56" s="1"/>
  <c r="C454" i="56"/>
  <c r="E454" i="56" s="1"/>
  <c r="F454" i="56" s="1"/>
  <c r="F514" i="56"/>
  <c r="G514" i="56" s="1"/>
  <c r="H514" i="56" s="1"/>
  <c r="C445" i="56"/>
  <c r="E445" i="56" s="1"/>
  <c r="F445" i="56" s="1"/>
  <c r="C452" i="56"/>
  <c r="E452" i="56" s="1"/>
  <c r="F452" i="56" s="1"/>
  <c r="C444" i="56"/>
  <c r="E444" i="56" s="1"/>
  <c r="F444" i="56" s="1"/>
  <c r="F522" i="56"/>
  <c r="G522" i="56" s="1"/>
  <c r="H522" i="56" s="1"/>
  <c r="E83" i="30"/>
  <c r="G83" i="30" s="1"/>
  <c r="H83" i="30" s="1"/>
  <c r="E94" i="30"/>
  <c r="G94" i="30" s="1"/>
  <c r="H94" i="30" s="1"/>
  <c r="E81" i="30"/>
  <c r="G81" i="30" s="1"/>
  <c r="H81" i="30" s="1"/>
  <c r="E82" i="30"/>
  <c r="G82" i="30" s="1"/>
  <c r="H82" i="30" s="1"/>
  <c r="E85" i="30"/>
  <c r="G85" i="30" s="1"/>
  <c r="H85" i="30" s="1"/>
  <c r="E86" i="30"/>
  <c r="G86" i="30" s="1"/>
  <c r="H86" i="30" s="1"/>
  <c r="E91" i="30"/>
  <c r="G91" i="30" s="1"/>
  <c r="H91" i="30" s="1"/>
  <c r="E88" i="30"/>
  <c r="G88" i="30" s="1"/>
  <c r="H88" i="30" s="1"/>
  <c r="C370" i="45"/>
  <c r="B443" i="45" s="1"/>
  <c r="E93" i="30"/>
  <c r="G93" i="30" s="1"/>
  <c r="H93" i="30" s="1"/>
  <c r="E95" i="30"/>
  <c r="G95" i="30" s="1"/>
  <c r="H95" i="30" s="1"/>
  <c r="E90" i="30"/>
  <c r="G90" i="30" s="1"/>
  <c r="H90" i="30" s="1"/>
  <c r="E84" i="30"/>
  <c r="G84" i="30" s="1"/>
  <c r="H84" i="30" s="1"/>
  <c r="C113" i="42"/>
  <c r="C114" i="42" s="1"/>
  <c r="F135" i="42"/>
  <c r="K135" i="42" s="1"/>
  <c r="L135" i="42" s="1"/>
  <c r="F126" i="42"/>
  <c r="I126" i="42" s="1"/>
  <c r="J126" i="42" s="1"/>
  <c r="C150" i="42"/>
  <c r="F138" i="42"/>
  <c r="I138" i="42" s="1"/>
  <c r="J138" i="42" s="1"/>
  <c r="C109" i="42"/>
  <c r="C110" i="42" s="1"/>
  <c r="C164" i="42"/>
  <c r="C165" i="42" s="1"/>
  <c r="G140" i="42"/>
  <c r="H140" i="42" s="1"/>
  <c r="E415" i="30"/>
  <c r="B508" i="30"/>
  <c r="F508" i="30" s="1"/>
  <c r="E413" i="30"/>
  <c r="B506" i="30"/>
  <c r="F506" i="30" s="1"/>
  <c r="F101" i="40"/>
  <c r="I101" i="40" s="1"/>
  <c r="J101" i="40" s="1"/>
  <c r="F91" i="40"/>
  <c r="K91" i="40" s="1"/>
  <c r="L91" i="40" s="1"/>
  <c r="F90" i="40"/>
  <c r="K90" i="40" s="1"/>
  <c r="L90" i="40" s="1"/>
  <c r="F102" i="40"/>
  <c r="K102" i="40" s="1"/>
  <c r="L102" i="40" s="1"/>
  <c r="C74" i="40"/>
  <c r="C75" i="40" s="1"/>
  <c r="C70" i="40"/>
  <c r="C71" i="40" s="1"/>
  <c r="F99" i="40"/>
  <c r="I99" i="40" s="1"/>
  <c r="J99" i="40" s="1"/>
  <c r="F87" i="40"/>
  <c r="K87" i="40" s="1"/>
  <c r="L87" i="40" s="1"/>
  <c r="F94" i="40"/>
  <c r="K94" i="40" s="1"/>
  <c r="L94" i="40" s="1"/>
  <c r="F89" i="40"/>
  <c r="K89" i="40" s="1"/>
  <c r="L89" i="40" s="1"/>
  <c r="F100" i="40"/>
  <c r="I100" i="40" s="1"/>
  <c r="J100" i="40" s="1"/>
  <c r="C111" i="40"/>
  <c r="F97" i="40"/>
  <c r="I97" i="40" s="1"/>
  <c r="J97" i="40" s="1"/>
  <c r="C115" i="40"/>
  <c r="C117" i="40" s="1"/>
  <c r="F88" i="40"/>
  <c r="I88" i="40" s="1"/>
  <c r="J88" i="40" s="1"/>
  <c r="F86" i="40"/>
  <c r="K86" i="40" s="1"/>
  <c r="L86" i="40" s="1"/>
  <c r="F98" i="40"/>
  <c r="I98" i="40" s="1"/>
  <c r="J98" i="40" s="1"/>
  <c r="F85" i="40"/>
  <c r="F95" i="40"/>
  <c r="F93" i="40"/>
  <c r="F92" i="40"/>
  <c r="K92" i="40" s="1"/>
  <c r="L92" i="40" s="1"/>
  <c r="F96" i="40"/>
  <c r="K96" i="40" s="1"/>
  <c r="L96" i="40" s="1"/>
  <c r="F82" i="40"/>
  <c r="K82" i="40" s="1"/>
  <c r="L82" i="40" s="1"/>
  <c r="F84" i="40"/>
  <c r="I84" i="40" s="1"/>
  <c r="J84" i="40" s="1"/>
  <c r="F83" i="40"/>
  <c r="I83" i="40" s="1"/>
  <c r="J83" i="40" s="1"/>
  <c r="F143" i="39"/>
  <c r="K143" i="39" s="1"/>
  <c r="L143" i="39" s="1"/>
  <c r="D367" i="25"/>
  <c r="B446" i="25"/>
  <c r="E446" i="25" s="1"/>
  <c r="D379" i="25"/>
  <c r="B456" i="25"/>
  <c r="E456" i="25" s="1"/>
  <c r="D368" i="25"/>
  <c r="B447" i="25"/>
  <c r="E447" i="25" s="1"/>
  <c r="C481" i="25" s="1"/>
  <c r="D369" i="25"/>
  <c r="B448" i="25"/>
  <c r="E448" i="25" s="1"/>
  <c r="F92" i="37"/>
  <c r="K92" i="37" s="1"/>
  <c r="L92" i="37" s="1"/>
  <c r="C491" i="37"/>
  <c r="C238" i="36"/>
  <c r="F134" i="46"/>
  <c r="I134" i="46" s="1"/>
  <c r="J134" i="46" s="1"/>
  <c r="F135" i="46"/>
  <c r="I135" i="46" s="1"/>
  <c r="J135" i="46" s="1"/>
  <c r="G141" i="35"/>
  <c r="H141" i="35" s="1"/>
  <c r="F130" i="46"/>
  <c r="I130" i="46" s="1"/>
  <c r="J130" i="46" s="1"/>
  <c r="F125" i="46"/>
  <c r="K125" i="46" s="1"/>
  <c r="L125" i="46" s="1"/>
  <c r="F141" i="46"/>
  <c r="I141" i="46" s="1"/>
  <c r="J141" i="46" s="1"/>
  <c r="F142" i="46"/>
  <c r="I142" i="46" s="1"/>
  <c r="J142" i="46" s="1"/>
  <c r="F129" i="46"/>
  <c r="K129" i="46" s="1"/>
  <c r="L129" i="46" s="1"/>
  <c r="C95" i="46"/>
  <c r="C96" i="46" s="1"/>
  <c r="F136" i="46"/>
  <c r="K136" i="46" s="1"/>
  <c r="L136" i="46" s="1"/>
  <c r="F124" i="42"/>
  <c r="F141" i="42"/>
  <c r="I141" i="42" s="1"/>
  <c r="J141" i="42" s="1"/>
  <c r="F121" i="42"/>
  <c r="K121" i="42" s="1"/>
  <c r="L121" i="42" s="1"/>
  <c r="F134" i="42"/>
  <c r="F130" i="42"/>
  <c r="K130" i="42" s="1"/>
  <c r="L130" i="42" s="1"/>
  <c r="F140" i="42"/>
  <c r="I140" i="42" s="1"/>
  <c r="J140" i="42" s="1"/>
  <c r="C182" i="42"/>
  <c r="C186" i="42" s="1"/>
  <c r="I136" i="46"/>
  <c r="J136" i="46" s="1"/>
  <c r="F128" i="42"/>
  <c r="I128" i="42" s="1"/>
  <c r="J128" i="42" s="1"/>
  <c r="C157" i="42"/>
  <c r="C158" i="42" s="1"/>
  <c r="C173" i="42"/>
  <c r="C174" i="42" s="1"/>
  <c r="F122" i="42"/>
  <c r="K122" i="42" s="1"/>
  <c r="L122" i="42" s="1"/>
  <c r="C177" i="42"/>
  <c r="C178" i="42" s="1"/>
  <c r="F132" i="42"/>
  <c r="F125" i="42"/>
  <c r="K125" i="42" s="1"/>
  <c r="L125" i="42" s="1"/>
  <c r="C102" i="46"/>
  <c r="C103" i="46" s="1"/>
  <c r="C111" i="46"/>
  <c r="C112" i="46" s="1"/>
  <c r="F139" i="46"/>
  <c r="I139" i="46" s="1"/>
  <c r="J139" i="46" s="1"/>
  <c r="F127" i="46"/>
  <c r="I127" i="46" s="1"/>
  <c r="J127" i="46" s="1"/>
  <c r="F143" i="46"/>
  <c r="I143" i="46" s="1"/>
  <c r="J143" i="46" s="1"/>
  <c r="F138" i="46"/>
  <c r="I138" i="46" s="1"/>
  <c r="J138" i="46" s="1"/>
  <c r="F139" i="42"/>
  <c r="I139" i="42" s="1"/>
  <c r="J139" i="42" s="1"/>
  <c r="F127" i="42"/>
  <c r="I127" i="42" s="1"/>
  <c r="J127" i="42" s="1"/>
  <c r="F133" i="42"/>
  <c r="K133" i="42" s="1"/>
  <c r="L133" i="42" s="1"/>
  <c r="F137" i="42"/>
  <c r="I137" i="42" s="1"/>
  <c r="J137" i="42" s="1"/>
  <c r="C100" i="42"/>
  <c r="C101" i="42" s="1"/>
  <c r="F123" i="42"/>
  <c r="K123" i="42" s="1"/>
  <c r="L123" i="42" s="1"/>
  <c r="C93" i="42"/>
  <c r="C94" i="42" s="1"/>
  <c r="F136" i="42"/>
  <c r="K136" i="42" s="1"/>
  <c r="L136" i="42" s="1"/>
  <c r="F129" i="42"/>
  <c r="I129" i="42" s="1"/>
  <c r="J129" i="42" s="1"/>
  <c r="C53" i="42"/>
  <c r="C56" i="46"/>
  <c r="F123" i="46"/>
  <c r="K123" i="46" s="1"/>
  <c r="L123" i="46" s="1"/>
  <c r="F131" i="46"/>
  <c r="K131" i="46" s="1"/>
  <c r="L131" i="46" s="1"/>
  <c r="C115" i="46"/>
  <c r="C116" i="46" s="1"/>
  <c r="C155" i="46"/>
  <c r="C238" i="46" s="1"/>
  <c r="F137" i="46"/>
  <c r="K137" i="46" s="1"/>
  <c r="L137" i="46" s="1"/>
  <c r="F128" i="46"/>
  <c r="K128" i="46" s="1"/>
  <c r="L128" i="46" s="1"/>
  <c r="F140" i="46"/>
  <c r="I140" i="46" s="1"/>
  <c r="J140" i="46" s="1"/>
  <c r="K140" i="36"/>
  <c r="L140" i="36" s="1"/>
  <c r="F124" i="39"/>
  <c r="K124" i="39" s="1"/>
  <c r="L124" i="39" s="1"/>
  <c r="K130" i="46"/>
  <c r="L130" i="46" s="1"/>
  <c r="K133" i="46"/>
  <c r="L133" i="46" s="1"/>
  <c r="I133" i="46"/>
  <c r="J133" i="46" s="1"/>
  <c r="K124" i="46"/>
  <c r="L124" i="46" s="1"/>
  <c r="I124" i="46"/>
  <c r="J124" i="46" s="1"/>
  <c r="B580" i="46"/>
  <c r="E580" i="46" s="1"/>
  <c r="D488" i="46"/>
  <c r="B493" i="46"/>
  <c r="B594" i="46"/>
  <c r="E594" i="46" s="1"/>
  <c r="D504" i="46"/>
  <c r="B452" i="46"/>
  <c r="B503" i="46"/>
  <c r="D302" i="46"/>
  <c r="C302" i="46" s="1"/>
  <c r="B592" i="46"/>
  <c r="E592" i="46" s="1"/>
  <c r="D502" i="46"/>
  <c r="C307" i="46"/>
  <c r="B494" i="46"/>
  <c r="B495" i="46"/>
  <c r="B453" i="46"/>
  <c r="F136" i="39"/>
  <c r="K136" i="39" s="1"/>
  <c r="L136" i="39" s="1"/>
  <c r="C95" i="38"/>
  <c r="C96" i="38" s="1"/>
  <c r="F130" i="38"/>
  <c r="K130" i="38" s="1"/>
  <c r="L130" i="38" s="1"/>
  <c r="B420" i="46"/>
  <c r="D496" i="46"/>
  <c r="B588" i="46"/>
  <c r="E588" i="46" s="1"/>
  <c r="B425" i="46"/>
  <c r="K132" i="46"/>
  <c r="L132" i="46" s="1"/>
  <c r="I132" i="46"/>
  <c r="J132" i="46" s="1"/>
  <c r="B490" i="46"/>
  <c r="B498" i="46"/>
  <c r="F123" i="39"/>
  <c r="K123" i="39" s="1"/>
  <c r="L123" i="39" s="1"/>
  <c r="F123" i="38"/>
  <c r="K123" i="38" s="1"/>
  <c r="L123" i="38" s="1"/>
  <c r="F131" i="38"/>
  <c r="K131" i="38" s="1"/>
  <c r="L131" i="38" s="1"/>
  <c r="B491" i="46"/>
  <c r="C308" i="46"/>
  <c r="K134" i="46"/>
  <c r="L134" i="46" s="1"/>
  <c r="K126" i="46"/>
  <c r="L126" i="46" s="1"/>
  <c r="I126" i="46"/>
  <c r="J126" i="46" s="1"/>
  <c r="B446" i="46"/>
  <c r="C300" i="46"/>
  <c r="B489" i="46"/>
  <c r="B454" i="46"/>
  <c r="B360" i="40"/>
  <c r="E516" i="45"/>
  <c r="B611" i="45"/>
  <c r="F611" i="45" s="1"/>
  <c r="B434" i="45"/>
  <c r="B504" i="45"/>
  <c r="K138" i="36"/>
  <c r="L138" i="36" s="1"/>
  <c r="I130" i="36"/>
  <c r="J130" i="36" s="1"/>
  <c r="I143" i="36"/>
  <c r="J143" i="36" s="1"/>
  <c r="G101" i="37"/>
  <c r="H101" i="37" s="1"/>
  <c r="C155" i="39"/>
  <c r="C157" i="39" s="1"/>
  <c r="C159" i="39" s="1"/>
  <c r="C161" i="39" s="1"/>
  <c r="C60" i="39"/>
  <c r="C272" i="45"/>
  <c r="D233" i="45"/>
  <c r="G233" i="45" s="1"/>
  <c r="H233" i="45" s="1"/>
  <c r="D229" i="45"/>
  <c r="G229" i="45" s="1"/>
  <c r="H229" i="45" s="1"/>
  <c r="D225" i="45"/>
  <c r="G225" i="45" s="1"/>
  <c r="H225" i="45" s="1"/>
  <c r="D221" i="45"/>
  <c r="G221" i="45" s="1"/>
  <c r="H221" i="45" s="1"/>
  <c r="D217" i="45"/>
  <c r="G217" i="45" s="1"/>
  <c r="H217" i="45" s="1"/>
  <c r="D232" i="45"/>
  <c r="G232" i="45" s="1"/>
  <c r="H232" i="45" s="1"/>
  <c r="D228" i="45"/>
  <c r="G228" i="45" s="1"/>
  <c r="H228" i="45" s="1"/>
  <c r="D224" i="45"/>
  <c r="G224" i="45" s="1"/>
  <c r="H224" i="45" s="1"/>
  <c r="D220" i="45"/>
  <c r="G220" i="45" s="1"/>
  <c r="H220" i="45" s="1"/>
  <c r="D216" i="45"/>
  <c r="G216" i="45" s="1"/>
  <c r="H216" i="45" s="1"/>
  <c r="D223" i="45"/>
  <c r="G223" i="45" s="1"/>
  <c r="H223" i="45" s="1"/>
  <c r="D215" i="45"/>
  <c r="G215" i="45" s="1"/>
  <c r="H215" i="45" s="1"/>
  <c r="C202" i="45"/>
  <c r="D226" i="45"/>
  <c r="G226" i="45" s="1"/>
  <c r="H226" i="45" s="1"/>
  <c r="D218" i="45"/>
  <c r="G218" i="45" s="1"/>
  <c r="H218" i="45" s="1"/>
  <c r="C207" i="45"/>
  <c r="D234" i="45"/>
  <c r="G234" i="45" s="1"/>
  <c r="H234" i="45" s="1"/>
  <c r="D230" i="45"/>
  <c r="G230" i="45" s="1"/>
  <c r="H230" i="45" s="1"/>
  <c r="D227" i="45"/>
  <c r="G227" i="45" s="1"/>
  <c r="H227" i="45" s="1"/>
  <c r="D219" i="45"/>
  <c r="G219" i="45" s="1"/>
  <c r="H219" i="45" s="1"/>
  <c r="D222" i="45"/>
  <c r="G222" i="45" s="1"/>
  <c r="H222" i="45" s="1"/>
  <c r="D231" i="45"/>
  <c r="G231" i="45" s="1"/>
  <c r="H231" i="45" s="1"/>
  <c r="D214" i="45"/>
  <c r="G214" i="45" s="1"/>
  <c r="H214" i="45" s="1"/>
  <c r="B518" i="45"/>
  <c r="B431" i="45"/>
  <c r="B506" i="45"/>
  <c r="B441" i="45"/>
  <c r="B509" i="45"/>
  <c r="E513" i="45"/>
  <c r="K141" i="45"/>
  <c r="L141" i="45" s="1"/>
  <c r="D143" i="45"/>
  <c r="B257" i="45"/>
  <c r="D142" i="45"/>
  <c r="G100" i="37"/>
  <c r="H100" i="37" s="1"/>
  <c r="C561" i="45"/>
  <c r="D260" i="45"/>
  <c r="G260" i="45" s="1"/>
  <c r="H260" i="45" s="1"/>
  <c r="D256" i="45"/>
  <c r="G256" i="45" s="1"/>
  <c r="H256" i="45" s="1"/>
  <c r="D252" i="45"/>
  <c r="G252" i="45" s="1"/>
  <c r="H252" i="45" s="1"/>
  <c r="D248" i="45"/>
  <c r="G248" i="45" s="1"/>
  <c r="H248" i="45" s="1"/>
  <c r="D253" i="45"/>
  <c r="G253" i="45" s="1"/>
  <c r="H253" i="45" s="1"/>
  <c r="D250" i="45"/>
  <c r="G250" i="45" s="1"/>
  <c r="H250" i="45" s="1"/>
  <c r="D247" i="45"/>
  <c r="G247" i="45" s="1"/>
  <c r="H247" i="45" s="1"/>
  <c r="D242" i="45"/>
  <c r="G242" i="45" s="1"/>
  <c r="H242" i="45" s="1"/>
  <c r="C193" i="45"/>
  <c r="C570" i="45"/>
  <c r="D257" i="45"/>
  <c r="D254" i="45"/>
  <c r="G254" i="45" s="1"/>
  <c r="H254" i="45" s="1"/>
  <c r="D251" i="45"/>
  <c r="G251" i="45" s="1"/>
  <c r="H251" i="45" s="1"/>
  <c r="D245" i="45"/>
  <c r="G245" i="45" s="1"/>
  <c r="H245" i="45" s="1"/>
  <c r="D241" i="45"/>
  <c r="G241" i="45" s="1"/>
  <c r="H241" i="45" s="1"/>
  <c r="D258" i="45"/>
  <c r="D255" i="45"/>
  <c r="G255" i="45" s="1"/>
  <c r="H255" i="45" s="1"/>
  <c r="D240" i="45"/>
  <c r="G240" i="45" s="1"/>
  <c r="H240" i="45" s="1"/>
  <c r="C191" i="45"/>
  <c r="D259" i="45"/>
  <c r="D243" i="45"/>
  <c r="G243" i="45" s="1"/>
  <c r="H243" i="45" s="1"/>
  <c r="D249" i="45"/>
  <c r="G249" i="45" s="1"/>
  <c r="H249" i="45" s="1"/>
  <c r="D246" i="45"/>
  <c r="G246" i="45" s="1"/>
  <c r="H246" i="45" s="1"/>
  <c r="D244" i="45"/>
  <c r="G244" i="45" s="1"/>
  <c r="H244" i="45" s="1"/>
  <c r="B465" i="45"/>
  <c r="D371" i="45"/>
  <c r="B503" i="45"/>
  <c r="B436" i="45"/>
  <c r="B440" i="45"/>
  <c r="C371" i="45"/>
  <c r="B508" i="45"/>
  <c r="B363" i="40"/>
  <c r="C285" i="40"/>
  <c r="B341" i="40" s="1"/>
  <c r="B498" i="40"/>
  <c r="F498" i="40" s="1"/>
  <c r="C553" i="40" s="1"/>
  <c r="E401" i="40"/>
  <c r="K137" i="36"/>
  <c r="L137" i="36" s="1"/>
  <c r="C174" i="37"/>
  <c r="D174" i="37" s="1"/>
  <c r="D227" i="37" s="1"/>
  <c r="C227" i="37" s="1"/>
  <c r="C95" i="39"/>
  <c r="C96" i="39" s="1"/>
  <c r="F137" i="39"/>
  <c r="K137" i="39" s="1"/>
  <c r="L137" i="39" s="1"/>
  <c r="F128" i="39"/>
  <c r="K128" i="39" s="1"/>
  <c r="L128" i="39" s="1"/>
  <c r="F126" i="39"/>
  <c r="K126" i="39" s="1"/>
  <c r="L126" i="39" s="1"/>
  <c r="F127" i="39"/>
  <c r="I127" i="39" s="1"/>
  <c r="J127" i="39" s="1"/>
  <c r="G139" i="42"/>
  <c r="H139" i="42" s="1"/>
  <c r="B494" i="44"/>
  <c r="C308" i="44"/>
  <c r="B408" i="44"/>
  <c r="B497" i="44"/>
  <c r="K141" i="44"/>
  <c r="L141" i="44" s="1"/>
  <c r="B502" i="44"/>
  <c r="B489" i="44"/>
  <c r="K135" i="44"/>
  <c r="L135" i="44" s="1"/>
  <c r="I135" i="44"/>
  <c r="J135" i="44" s="1"/>
  <c r="C238" i="44"/>
  <c r="C157" i="44"/>
  <c r="C159" i="44" s="1"/>
  <c r="C161" i="44" s="1"/>
  <c r="K137" i="44"/>
  <c r="L137" i="44" s="1"/>
  <c r="I137" i="44"/>
  <c r="J137" i="44" s="1"/>
  <c r="I140" i="44"/>
  <c r="J140" i="44" s="1"/>
  <c r="K140" i="44"/>
  <c r="L140" i="44" s="1"/>
  <c r="K129" i="44"/>
  <c r="L129" i="44" s="1"/>
  <c r="I129" i="44"/>
  <c r="J129" i="44" s="1"/>
  <c r="C307" i="44"/>
  <c r="B583" i="44"/>
  <c r="E583" i="44" s="1"/>
  <c r="D491" i="44"/>
  <c r="B490" i="44"/>
  <c r="K130" i="44"/>
  <c r="L130" i="44" s="1"/>
  <c r="I130" i="44"/>
  <c r="J130" i="44" s="1"/>
  <c r="I132" i="44"/>
  <c r="J132" i="44" s="1"/>
  <c r="K132" i="44"/>
  <c r="L132" i="44" s="1"/>
  <c r="K134" i="44"/>
  <c r="L134" i="44" s="1"/>
  <c r="I134" i="44"/>
  <c r="J134" i="44" s="1"/>
  <c r="K128" i="44"/>
  <c r="L128" i="44" s="1"/>
  <c r="I128" i="44"/>
  <c r="J128" i="44" s="1"/>
  <c r="I125" i="44"/>
  <c r="J125" i="44" s="1"/>
  <c r="K125" i="44"/>
  <c r="L125" i="44" s="1"/>
  <c r="K143" i="44"/>
  <c r="L143" i="44" s="1"/>
  <c r="I143" i="44"/>
  <c r="J143" i="44" s="1"/>
  <c r="C115" i="39"/>
  <c r="C116" i="39" s="1"/>
  <c r="F138" i="39"/>
  <c r="I138" i="39" s="1"/>
  <c r="J138" i="39" s="1"/>
  <c r="F132" i="39"/>
  <c r="K132" i="39" s="1"/>
  <c r="L132" i="39" s="1"/>
  <c r="F140" i="39"/>
  <c r="I140" i="39" s="1"/>
  <c r="J140" i="39" s="1"/>
  <c r="F131" i="39"/>
  <c r="K131" i="39" s="1"/>
  <c r="L131" i="39" s="1"/>
  <c r="B498" i="44"/>
  <c r="D496" i="44"/>
  <c r="B588" i="44"/>
  <c r="E588" i="44" s="1"/>
  <c r="B493" i="44"/>
  <c r="B448" i="44"/>
  <c r="B453" i="44"/>
  <c r="I139" i="44"/>
  <c r="J139" i="44" s="1"/>
  <c r="K139" i="44"/>
  <c r="L139" i="44" s="1"/>
  <c r="K123" i="44"/>
  <c r="L123" i="44" s="1"/>
  <c r="I123" i="44"/>
  <c r="J123" i="44" s="1"/>
  <c r="K126" i="44"/>
  <c r="L126" i="44" s="1"/>
  <c r="I126" i="44"/>
  <c r="J126" i="44" s="1"/>
  <c r="K133" i="44"/>
  <c r="L133" i="44" s="1"/>
  <c r="I133" i="44"/>
  <c r="J133" i="44" s="1"/>
  <c r="B594" i="44"/>
  <c r="E594" i="44" s="1"/>
  <c r="D504" i="44"/>
  <c r="C302" i="44"/>
  <c r="B452" i="44"/>
  <c r="F134" i="39"/>
  <c r="K134" i="39" s="1"/>
  <c r="L134" i="39" s="1"/>
  <c r="F129" i="39"/>
  <c r="K129" i="39" s="1"/>
  <c r="L129" i="39" s="1"/>
  <c r="F141" i="39"/>
  <c r="I141" i="39" s="1"/>
  <c r="J141" i="39" s="1"/>
  <c r="C111" i="39"/>
  <c r="C112" i="39" s="1"/>
  <c r="F142" i="39"/>
  <c r="I142" i="39" s="1"/>
  <c r="J142" i="39" s="1"/>
  <c r="B423" i="44"/>
  <c r="B587" i="44"/>
  <c r="E587" i="44" s="1"/>
  <c r="D495" i="44"/>
  <c r="C306" i="44"/>
  <c r="D301" i="44"/>
  <c r="B454" i="44"/>
  <c r="K131" i="44"/>
  <c r="L131" i="44" s="1"/>
  <c r="I131" i="44"/>
  <c r="J131" i="44" s="1"/>
  <c r="I138" i="44"/>
  <c r="J138" i="44" s="1"/>
  <c r="K138" i="44"/>
  <c r="L138" i="44" s="1"/>
  <c r="K124" i="44"/>
  <c r="L124" i="44" s="1"/>
  <c r="I124" i="44"/>
  <c r="J124" i="44" s="1"/>
  <c r="K127" i="44"/>
  <c r="L127" i="44" s="1"/>
  <c r="I127" i="44"/>
  <c r="J127" i="44" s="1"/>
  <c r="K136" i="44"/>
  <c r="L136" i="44" s="1"/>
  <c r="I136" i="44"/>
  <c r="J136" i="44" s="1"/>
  <c r="K142" i="44"/>
  <c r="L142" i="44" s="1"/>
  <c r="I132" i="36"/>
  <c r="J132" i="36" s="1"/>
  <c r="I131" i="36"/>
  <c r="J131" i="36" s="1"/>
  <c r="I135" i="36"/>
  <c r="J135" i="36" s="1"/>
  <c r="K139" i="36"/>
  <c r="L139" i="36" s="1"/>
  <c r="F133" i="39"/>
  <c r="K133" i="39" s="1"/>
  <c r="L133" i="39" s="1"/>
  <c r="F135" i="39"/>
  <c r="K135" i="39" s="1"/>
  <c r="L135" i="39" s="1"/>
  <c r="F139" i="39"/>
  <c r="I139" i="39" s="1"/>
  <c r="J139" i="39" s="1"/>
  <c r="F130" i="39"/>
  <c r="K130" i="39" s="1"/>
  <c r="L130" i="39" s="1"/>
  <c r="F125" i="39"/>
  <c r="I125" i="39" s="1"/>
  <c r="J125" i="39" s="1"/>
  <c r="C102" i="39"/>
  <c r="C103" i="39" s="1"/>
  <c r="I125" i="36"/>
  <c r="J125" i="36" s="1"/>
  <c r="F85" i="37"/>
  <c r="K85" i="37" s="1"/>
  <c r="L85" i="37" s="1"/>
  <c r="B448" i="39"/>
  <c r="B434" i="42"/>
  <c r="B368" i="42"/>
  <c r="B433" i="42"/>
  <c r="I134" i="36"/>
  <c r="J134" i="36" s="1"/>
  <c r="D230" i="39"/>
  <c r="D306" i="39" s="1"/>
  <c r="B452" i="39" s="1"/>
  <c r="I124" i="36"/>
  <c r="J124" i="36" s="1"/>
  <c r="K131" i="42"/>
  <c r="L131" i="42" s="1"/>
  <c r="I131" i="42"/>
  <c r="J131" i="42" s="1"/>
  <c r="B512" i="42"/>
  <c r="B444" i="42"/>
  <c r="D321" i="42"/>
  <c r="D367" i="42" s="1"/>
  <c r="C322" i="42"/>
  <c r="D322" i="42" s="1"/>
  <c r="D368" i="42" s="1"/>
  <c r="B431" i="42"/>
  <c r="K129" i="42"/>
  <c r="L129" i="42" s="1"/>
  <c r="C231" i="39"/>
  <c r="D231" i="39" s="1"/>
  <c r="D307" i="39" s="1"/>
  <c r="B453" i="39" s="1"/>
  <c r="B428" i="42"/>
  <c r="B435" i="42"/>
  <c r="B438" i="42"/>
  <c r="B429" i="42"/>
  <c r="B430" i="42"/>
  <c r="K128" i="36"/>
  <c r="L128" i="36" s="1"/>
  <c r="I126" i="36"/>
  <c r="J126" i="36" s="1"/>
  <c r="B436" i="42"/>
  <c r="B509" i="42"/>
  <c r="B432" i="42"/>
  <c r="B437" i="42"/>
  <c r="B254" i="42"/>
  <c r="D139" i="42"/>
  <c r="D140" i="42"/>
  <c r="F140" i="38"/>
  <c r="F124" i="38"/>
  <c r="F137" i="38"/>
  <c r="C155" i="38"/>
  <c r="C238" i="38" s="1"/>
  <c r="K133" i="36"/>
  <c r="L133" i="36" s="1"/>
  <c r="I136" i="36"/>
  <c r="J136" i="36" s="1"/>
  <c r="F136" i="38"/>
  <c r="K136" i="38" s="1"/>
  <c r="L136" i="38" s="1"/>
  <c r="F128" i="38"/>
  <c r="K128" i="38" s="1"/>
  <c r="L128" i="38" s="1"/>
  <c r="F132" i="38"/>
  <c r="F138" i="38"/>
  <c r="F141" i="38"/>
  <c r="I141" i="38" s="1"/>
  <c r="J141" i="38" s="1"/>
  <c r="F142" i="38"/>
  <c r="I142" i="38" s="1"/>
  <c r="J142" i="38" s="1"/>
  <c r="F127" i="38"/>
  <c r="D237" i="40"/>
  <c r="D283" i="40" s="1"/>
  <c r="D284" i="40" s="1"/>
  <c r="B362" i="40" s="1"/>
  <c r="F143" i="38"/>
  <c r="K143" i="38" s="1"/>
  <c r="L143" i="38" s="1"/>
  <c r="F139" i="38"/>
  <c r="I139" i="38" s="1"/>
  <c r="J139" i="38" s="1"/>
  <c r="C111" i="38"/>
  <c r="C112" i="38" s="1"/>
  <c r="F129" i="38"/>
  <c r="I129" i="38" s="1"/>
  <c r="J129" i="38" s="1"/>
  <c r="K141" i="36"/>
  <c r="L141" i="36" s="1"/>
  <c r="I123" i="36"/>
  <c r="J123" i="36" s="1"/>
  <c r="F126" i="38"/>
  <c r="C115" i="38"/>
  <c r="C116" i="38" s="1"/>
  <c r="C56" i="38"/>
  <c r="C60" i="38"/>
  <c r="F134" i="38"/>
  <c r="F125" i="38"/>
  <c r="F133" i="38"/>
  <c r="I133" i="38" s="1"/>
  <c r="J133" i="38" s="1"/>
  <c r="C102" i="38"/>
  <c r="C103" i="38" s="1"/>
  <c r="C419" i="30"/>
  <c r="C512" i="30" s="1"/>
  <c r="C417" i="30"/>
  <c r="C510" i="30" s="1"/>
  <c r="C282" i="30"/>
  <c r="B355" i="30" s="1"/>
  <c r="B425" i="30" s="1"/>
  <c r="C271" i="30"/>
  <c r="B344" i="30" s="1"/>
  <c r="B414" i="30" s="1"/>
  <c r="D232" i="30"/>
  <c r="D278" i="30" s="1"/>
  <c r="B373" i="30" s="1"/>
  <c r="B172" i="30"/>
  <c r="C416" i="30" s="1"/>
  <c r="C509" i="30" s="1"/>
  <c r="B180" i="30"/>
  <c r="B154" i="30"/>
  <c r="C112" i="30"/>
  <c r="C116" i="30" s="1"/>
  <c r="C231" i="30"/>
  <c r="C228" i="30"/>
  <c r="G92" i="30"/>
  <c r="H92" i="30" s="1"/>
  <c r="D96" i="30"/>
  <c r="B184" i="30" s="1"/>
  <c r="B98" i="30"/>
  <c r="E404" i="40"/>
  <c r="B501" i="40"/>
  <c r="F501" i="40" s="1"/>
  <c r="B337" i="40"/>
  <c r="B406" i="40"/>
  <c r="B332" i="40"/>
  <c r="B334" i="40"/>
  <c r="B189" i="40"/>
  <c r="I129" i="36"/>
  <c r="J129" i="36" s="1"/>
  <c r="F97" i="37"/>
  <c r="K97" i="37" s="1"/>
  <c r="L97" i="37" s="1"/>
  <c r="F98" i="37"/>
  <c r="K98" i="37" s="1"/>
  <c r="L98" i="37" s="1"/>
  <c r="B188" i="40"/>
  <c r="F99" i="37"/>
  <c r="I99" i="37" s="1"/>
  <c r="J99" i="37" s="1"/>
  <c r="B400" i="40"/>
  <c r="E400" i="40" s="1"/>
  <c r="B343" i="40"/>
  <c r="I127" i="36"/>
  <c r="J127" i="36" s="1"/>
  <c r="F88" i="37"/>
  <c r="I88" i="37" s="1"/>
  <c r="J88" i="37" s="1"/>
  <c r="C175" i="37"/>
  <c r="D175" i="37" s="1"/>
  <c r="D228" i="37" s="1"/>
  <c r="C228" i="37" s="1"/>
  <c r="B399" i="40"/>
  <c r="B349" i="40"/>
  <c r="F82" i="37"/>
  <c r="I82" i="37" s="1"/>
  <c r="J82" i="37" s="1"/>
  <c r="C271" i="40"/>
  <c r="C413" i="40"/>
  <c r="C508" i="40" s="1"/>
  <c r="B409" i="39"/>
  <c r="B491" i="39"/>
  <c r="B454" i="39"/>
  <c r="B492" i="39"/>
  <c r="F83" i="37"/>
  <c r="I83" i="37" s="1"/>
  <c r="J83" i="37" s="1"/>
  <c r="F89" i="37"/>
  <c r="I89" i="37" s="1"/>
  <c r="J89" i="37" s="1"/>
  <c r="F95" i="37"/>
  <c r="K95" i="37" s="1"/>
  <c r="L95" i="37" s="1"/>
  <c r="B503" i="39"/>
  <c r="B498" i="39"/>
  <c r="F90" i="37"/>
  <c r="K90" i="37" s="1"/>
  <c r="L90" i="37" s="1"/>
  <c r="F93" i="37"/>
  <c r="K93" i="37" s="1"/>
  <c r="L93" i="37" s="1"/>
  <c r="C114" i="37"/>
  <c r="C181" i="37" s="1"/>
  <c r="F102" i="37"/>
  <c r="K102" i="37" s="1"/>
  <c r="L102" i="37" s="1"/>
  <c r="B494" i="39"/>
  <c r="B504" i="39"/>
  <c r="B419" i="39"/>
  <c r="C70" i="37"/>
  <c r="C71" i="37" s="1"/>
  <c r="F86" i="37"/>
  <c r="I86" i="37" s="1"/>
  <c r="J86" i="37" s="1"/>
  <c r="F100" i="37"/>
  <c r="I100" i="37" s="1"/>
  <c r="J100" i="37" s="1"/>
  <c r="B420" i="39"/>
  <c r="B490" i="39"/>
  <c r="B502" i="39"/>
  <c r="B436" i="39"/>
  <c r="B496" i="39"/>
  <c r="F91" i="37"/>
  <c r="I91" i="37" s="1"/>
  <c r="J91" i="37" s="1"/>
  <c r="C74" i="37"/>
  <c r="C75" i="37" s="1"/>
  <c r="F101" i="37"/>
  <c r="I101" i="37" s="1"/>
  <c r="J101" i="37" s="1"/>
  <c r="K142" i="36"/>
  <c r="L142" i="36" s="1"/>
  <c r="F94" i="37"/>
  <c r="K94" i="37" s="1"/>
  <c r="L94" i="37" s="1"/>
  <c r="F87" i="37"/>
  <c r="I87" i="37" s="1"/>
  <c r="J87" i="37" s="1"/>
  <c r="F96" i="37"/>
  <c r="K96" i="37" s="1"/>
  <c r="L96" i="37" s="1"/>
  <c r="F84" i="37"/>
  <c r="I84" i="37" s="1"/>
  <c r="J84" i="37" s="1"/>
  <c r="B421" i="39"/>
  <c r="B408" i="39"/>
  <c r="K135" i="38"/>
  <c r="L135" i="38" s="1"/>
  <c r="I135" i="38"/>
  <c r="J135" i="38" s="1"/>
  <c r="B497" i="39"/>
  <c r="B307" i="39"/>
  <c r="B308" i="39"/>
  <c r="B493" i="39"/>
  <c r="B424" i="39"/>
  <c r="B495" i="39"/>
  <c r="B493" i="38"/>
  <c r="B488" i="38"/>
  <c r="B503" i="38"/>
  <c r="B307" i="38"/>
  <c r="B308" i="38"/>
  <c r="B497" i="38"/>
  <c r="B504" i="38"/>
  <c r="B424" i="38"/>
  <c r="B492" i="38"/>
  <c r="B502" i="38"/>
  <c r="B495" i="38"/>
  <c r="D498" i="38"/>
  <c r="B590" i="38"/>
  <c r="E590" i="38" s="1"/>
  <c r="D301" i="38"/>
  <c r="B491" i="38"/>
  <c r="B489" i="38"/>
  <c r="C232" i="38"/>
  <c r="D232" i="38" s="1"/>
  <c r="D308" i="38" s="1"/>
  <c r="C231" i="38"/>
  <c r="D231" i="38" s="1"/>
  <c r="D307" i="38" s="1"/>
  <c r="D230" i="38"/>
  <c r="D306" i="38" s="1"/>
  <c r="C306" i="38" s="1"/>
  <c r="B496" i="38"/>
  <c r="B448" i="38"/>
  <c r="C302" i="38"/>
  <c r="D494" i="38"/>
  <c r="B586" i="38"/>
  <c r="E586" i="38" s="1"/>
  <c r="C205" i="25"/>
  <c r="B300" i="25" s="1"/>
  <c r="C206" i="25"/>
  <c r="B301" i="25" s="1"/>
  <c r="C200" i="25"/>
  <c r="B295" i="25" s="1"/>
  <c r="B375" i="25" s="1"/>
  <c r="D375" i="25" s="1"/>
  <c r="D144" i="25"/>
  <c r="D196" i="25" s="1"/>
  <c r="B318" i="25" s="1"/>
  <c r="D146" i="25"/>
  <c r="D198" i="25" s="1"/>
  <c r="B320" i="25" s="1"/>
  <c r="D143" i="25"/>
  <c r="D195" i="25" s="1"/>
  <c r="B317" i="25" s="1"/>
  <c r="D145" i="25"/>
  <c r="D197" i="25" s="1"/>
  <c r="B319" i="25" s="1"/>
  <c r="D148" i="25"/>
  <c r="D201" i="25" s="1"/>
  <c r="B323" i="25" s="1"/>
  <c r="E83" i="25"/>
  <c r="E86" i="25"/>
  <c r="G86" i="25" s="1"/>
  <c r="H86" i="25" s="1"/>
  <c r="E98" i="25"/>
  <c r="G98" i="25" s="1"/>
  <c r="H98" i="25" s="1"/>
  <c r="E91" i="25"/>
  <c r="G91" i="25" s="1"/>
  <c r="H91" i="25" s="1"/>
  <c r="E84" i="25"/>
  <c r="G84" i="25" s="1"/>
  <c r="H84" i="25" s="1"/>
  <c r="E88" i="25"/>
  <c r="G88" i="25" s="1"/>
  <c r="H88" i="25" s="1"/>
  <c r="E92" i="25"/>
  <c r="G92" i="25" s="1"/>
  <c r="H92" i="25" s="1"/>
  <c r="E96" i="25"/>
  <c r="G96" i="25" s="1"/>
  <c r="H96" i="25" s="1"/>
  <c r="E90" i="25"/>
  <c r="G90" i="25" s="1"/>
  <c r="H90" i="25" s="1"/>
  <c r="E87" i="25"/>
  <c r="G87" i="25" s="1"/>
  <c r="H87" i="25" s="1"/>
  <c r="E85" i="25"/>
  <c r="G85" i="25" s="1"/>
  <c r="H85" i="25" s="1"/>
  <c r="E89" i="25"/>
  <c r="G89" i="25" s="1"/>
  <c r="H89" i="25" s="1"/>
  <c r="E93" i="25"/>
  <c r="G93" i="25" s="1"/>
  <c r="H93" i="25" s="1"/>
  <c r="E97" i="25"/>
  <c r="G97" i="25" s="1"/>
  <c r="H97" i="25" s="1"/>
  <c r="E94" i="25"/>
  <c r="G94" i="25" s="1"/>
  <c r="H94" i="25" s="1"/>
  <c r="E95" i="25"/>
  <c r="G95" i="25" s="1"/>
  <c r="H95" i="25" s="1"/>
  <c r="C222" i="37"/>
  <c r="B378" i="37"/>
  <c r="B300" i="37"/>
  <c r="B328" i="37"/>
  <c r="B365" i="37"/>
  <c r="B463" i="37"/>
  <c r="E463" i="37" s="1"/>
  <c r="D371" i="37"/>
  <c r="D221" i="37"/>
  <c r="B380" i="37"/>
  <c r="B299" i="37"/>
  <c r="G142" i="35"/>
  <c r="H142" i="35" s="1"/>
  <c r="C509" i="37"/>
  <c r="B301" i="37"/>
  <c r="B369" i="37"/>
  <c r="B324" i="37"/>
  <c r="B368" i="37"/>
  <c r="B372" i="37"/>
  <c r="B364" i="37"/>
  <c r="B424" i="36"/>
  <c r="B307" i="36"/>
  <c r="B308" i="36"/>
  <c r="B492" i="36"/>
  <c r="B493" i="36"/>
  <c r="B494" i="36"/>
  <c r="D490" i="36"/>
  <c r="B582" i="36"/>
  <c r="E582" i="36" s="1"/>
  <c r="B496" i="36"/>
  <c r="D503" i="36"/>
  <c r="B593" i="36"/>
  <c r="E593" i="36" s="1"/>
  <c r="C340" i="36"/>
  <c r="C341" i="36" s="1"/>
  <c r="C278" i="36"/>
  <c r="C279" i="36" s="1"/>
  <c r="C280" i="36" s="1"/>
  <c r="C247" i="36"/>
  <c r="C248" i="36" s="1"/>
  <c r="C396" i="36"/>
  <c r="C397" i="36" s="1"/>
  <c r="C388" i="36"/>
  <c r="C389" i="36" s="1"/>
  <c r="C354" i="36"/>
  <c r="C355" i="36" s="1"/>
  <c r="C356" i="36" s="1"/>
  <c r="C258" i="36"/>
  <c r="C239" i="36"/>
  <c r="C259" i="36" s="1"/>
  <c r="C185" i="36"/>
  <c r="C186" i="36" s="1"/>
  <c r="C187" i="36" s="1"/>
  <c r="C174" i="36"/>
  <c r="C175" i="36" s="1"/>
  <c r="C361" i="36"/>
  <c r="C362" i="36" s="1"/>
  <c r="C364" i="36" s="1"/>
  <c r="C329" i="36"/>
  <c r="C330" i="36" s="1"/>
  <c r="C271" i="36"/>
  <c r="C272" i="36" s="1"/>
  <c r="C273" i="36" s="1"/>
  <c r="C233" i="36"/>
  <c r="C192" i="36"/>
  <c r="C193" i="36" s="1"/>
  <c r="C194" i="36" s="1"/>
  <c r="C188" i="36"/>
  <c r="C195" i="36"/>
  <c r="C168" i="36"/>
  <c r="C169" i="36" s="1"/>
  <c r="C176" i="36"/>
  <c r="B497" i="36"/>
  <c r="C232" i="36"/>
  <c r="D232" i="36" s="1"/>
  <c r="D308" i="36" s="1"/>
  <c r="C231" i="36"/>
  <c r="D231" i="36" s="1"/>
  <c r="D307" i="36" s="1"/>
  <c r="D230" i="36"/>
  <c r="D306" i="36" s="1"/>
  <c r="C302" i="36"/>
  <c r="B488" i="36"/>
  <c r="B594" i="36"/>
  <c r="E594" i="36" s="1"/>
  <c r="D504" i="36"/>
  <c r="B489" i="36"/>
  <c r="B502" i="36"/>
  <c r="B448" i="36"/>
  <c r="B451" i="36"/>
  <c r="B583" i="36"/>
  <c r="E583" i="36" s="1"/>
  <c r="D491" i="36"/>
  <c r="D498" i="36"/>
  <c r="B590" i="36"/>
  <c r="E590" i="36" s="1"/>
  <c r="D301" i="36"/>
  <c r="B424" i="35"/>
  <c r="B496" i="35"/>
  <c r="F142" i="35"/>
  <c r="I142" i="35" s="1"/>
  <c r="J142" i="35" s="1"/>
  <c r="F140" i="35"/>
  <c r="F138" i="35"/>
  <c r="C155" i="35"/>
  <c r="F141" i="35"/>
  <c r="I141" i="35" s="1"/>
  <c r="J141" i="35" s="1"/>
  <c r="F139" i="35"/>
  <c r="F137" i="35"/>
  <c r="F134" i="35"/>
  <c r="F130" i="35"/>
  <c r="F126" i="35"/>
  <c r="F143" i="35"/>
  <c r="F136" i="35"/>
  <c r="F135" i="35"/>
  <c r="F133" i="35"/>
  <c r="F132" i="35"/>
  <c r="F131" i="35"/>
  <c r="F125" i="35"/>
  <c r="C115" i="35"/>
  <c r="C116" i="35" s="1"/>
  <c r="C111" i="35"/>
  <c r="C112" i="35" s="1"/>
  <c r="F129" i="35"/>
  <c r="F128" i="35"/>
  <c r="F127" i="35"/>
  <c r="C95" i="35"/>
  <c r="C96" i="35" s="1"/>
  <c r="F123" i="35"/>
  <c r="C102" i="35"/>
  <c r="C103" i="35" s="1"/>
  <c r="F124" i="35"/>
  <c r="C56" i="35"/>
  <c r="C60" i="35"/>
  <c r="B503" i="35"/>
  <c r="B448" i="35"/>
  <c r="B582" i="35"/>
  <c r="E582" i="35" s="1"/>
  <c r="D490" i="35"/>
  <c r="B308" i="35"/>
  <c r="B307" i="35"/>
  <c r="B586" i="35"/>
  <c r="E586" i="35" s="1"/>
  <c r="D494" i="35"/>
  <c r="B502" i="35"/>
  <c r="C623" i="35"/>
  <c r="B590" i="35"/>
  <c r="E590" i="35" s="1"/>
  <c r="D498" i="35"/>
  <c r="D301" i="35"/>
  <c r="B504" i="35"/>
  <c r="B451" i="35"/>
  <c r="C302" i="35"/>
  <c r="B493" i="35"/>
  <c r="B584" i="35"/>
  <c r="E584" i="35" s="1"/>
  <c r="D492" i="35"/>
  <c r="C232" i="35"/>
  <c r="D232" i="35" s="1"/>
  <c r="D308" i="35" s="1"/>
  <c r="D230" i="35"/>
  <c r="D306" i="35" s="1"/>
  <c r="C231" i="35"/>
  <c r="D231" i="35" s="1"/>
  <c r="D307" i="35" s="1"/>
  <c r="B488" i="35"/>
  <c r="C190" i="25"/>
  <c r="B285" i="25" s="1"/>
  <c r="D279" i="30"/>
  <c r="B374" i="30" s="1"/>
  <c r="C211" i="25"/>
  <c r="B306" i="25" s="1"/>
  <c r="B333" i="25"/>
  <c r="E99" i="25"/>
  <c r="G99" i="25" s="1"/>
  <c r="H99" i="25" s="1"/>
  <c r="E100" i="25"/>
  <c r="B183" i="30"/>
  <c r="E101" i="25"/>
  <c r="E82" i="25"/>
  <c r="G82" i="25" s="1"/>
  <c r="H82" i="25" s="1"/>
  <c r="E80" i="30"/>
  <c r="G80" i="30" s="1"/>
  <c r="H80" i="30" s="1"/>
  <c r="E99" i="30"/>
  <c r="G99" i="30" s="1"/>
  <c r="H99" i="30" s="1"/>
  <c r="E79" i="30"/>
  <c r="G79" i="30" s="1"/>
  <c r="H79" i="30" s="1"/>
  <c r="E98" i="30"/>
  <c r="E96" i="30"/>
  <c r="E97" i="30"/>
  <c r="G97" i="30" s="1"/>
  <c r="H97" i="30" s="1"/>
  <c r="B364" i="30"/>
  <c r="C154" i="25"/>
  <c r="B427" i="30"/>
  <c r="E427" i="30" s="1"/>
  <c r="B341" i="30"/>
  <c r="C269" i="30"/>
  <c r="E102" i="25"/>
  <c r="G102" i="25" s="1"/>
  <c r="H102" i="25" s="1"/>
  <c r="B100" i="25"/>
  <c r="B101" i="25"/>
  <c r="C150" i="25"/>
  <c r="B203" i="25"/>
  <c r="B286" i="25"/>
  <c r="K141" i="35" l="1"/>
  <c r="L141" i="35" s="1"/>
  <c r="K135" i="46"/>
  <c r="L135" i="46" s="1"/>
  <c r="B95" i="2"/>
  <c r="C88" i="2"/>
  <c r="I90" i="40"/>
  <c r="J90" i="40" s="1"/>
  <c r="I89" i="40"/>
  <c r="J89" i="40" s="1"/>
  <c r="I92" i="37"/>
  <c r="J92" i="37" s="1"/>
  <c r="C414" i="56"/>
  <c r="A376" i="56" s="1"/>
  <c r="C567" i="56"/>
  <c r="C563" i="56"/>
  <c r="C592" i="56"/>
  <c r="D441" i="56"/>
  <c r="G441" i="56" s="1"/>
  <c r="H441" i="56" s="1"/>
  <c r="D445" i="56"/>
  <c r="G445" i="56" s="1"/>
  <c r="H445" i="56" s="1"/>
  <c r="D449" i="56"/>
  <c r="G449" i="56" s="1"/>
  <c r="H449" i="56" s="1"/>
  <c r="D453" i="56"/>
  <c r="G453" i="56" s="1"/>
  <c r="H453" i="56" s="1"/>
  <c r="D440" i="56"/>
  <c r="G440" i="56" s="1"/>
  <c r="H440" i="56" s="1"/>
  <c r="D442" i="56"/>
  <c r="G442" i="56" s="1"/>
  <c r="H442" i="56" s="1"/>
  <c r="D447" i="56"/>
  <c r="G447" i="56" s="1"/>
  <c r="H447" i="56" s="1"/>
  <c r="D452" i="56"/>
  <c r="G452" i="56" s="1"/>
  <c r="H452" i="56" s="1"/>
  <c r="D448" i="56"/>
  <c r="G448" i="56" s="1"/>
  <c r="H448" i="56" s="1"/>
  <c r="D455" i="56"/>
  <c r="G455" i="56" s="1"/>
  <c r="H455" i="56" s="1"/>
  <c r="D443" i="56"/>
  <c r="G443" i="56" s="1"/>
  <c r="H443" i="56" s="1"/>
  <c r="D446" i="56"/>
  <c r="G446" i="56" s="1"/>
  <c r="H446" i="56" s="1"/>
  <c r="D454" i="56"/>
  <c r="G454" i="56" s="1"/>
  <c r="H454" i="56" s="1"/>
  <c r="D450" i="56"/>
  <c r="G450" i="56" s="1"/>
  <c r="H450" i="56" s="1"/>
  <c r="D456" i="56"/>
  <c r="G456" i="56" s="1"/>
  <c r="H456" i="56" s="1"/>
  <c r="D444" i="56"/>
  <c r="G444" i="56" s="1"/>
  <c r="H444" i="56" s="1"/>
  <c r="D451" i="56"/>
  <c r="G451" i="56" s="1"/>
  <c r="H451" i="56" s="1"/>
  <c r="C428" i="56"/>
  <c r="C429" i="56" s="1"/>
  <c r="C575" i="56"/>
  <c r="C433" i="56"/>
  <c r="C434" i="56" s="1"/>
  <c r="I129" i="46"/>
  <c r="J129" i="46" s="1"/>
  <c r="C537" i="56"/>
  <c r="D537" i="56" s="1"/>
  <c r="E537" i="56" s="1"/>
  <c r="D534" i="56"/>
  <c r="E534" i="56" s="1"/>
  <c r="I131" i="46"/>
  <c r="J131" i="46" s="1"/>
  <c r="G612" i="56"/>
  <c r="H612" i="56" s="1"/>
  <c r="I612" i="56" s="1"/>
  <c r="G608" i="56"/>
  <c r="H608" i="56" s="1"/>
  <c r="G604" i="56"/>
  <c r="H604" i="56" s="1"/>
  <c r="G617" i="56"/>
  <c r="H617" i="56" s="1"/>
  <c r="G606" i="56"/>
  <c r="H606" i="56" s="1"/>
  <c r="I606" i="56" s="1"/>
  <c r="G615" i="56"/>
  <c r="H615" i="56" s="1"/>
  <c r="B665" i="56" s="1"/>
  <c r="G603" i="56"/>
  <c r="H603" i="56" s="1"/>
  <c r="I603" i="56" s="1"/>
  <c r="G611" i="56"/>
  <c r="H611" i="56" s="1"/>
  <c r="I611" i="56" s="1"/>
  <c r="G605" i="56"/>
  <c r="H605" i="56" s="1"/>
  <c r="I605" i="56" s="1"/>
  <c r="G609" i="56"/>
  <c r="H609" i="56" s="1"/>
  <c r="I609" i="56" s="1"/>
  <c r="G613" i="56"/>
  <c r="H613" i="56" s="1"/>
  <c r="G614" i="56"/>
  <c r="H614" i="56" s="1"/>
  <c r="I614" i="56" s="1"/>
  <c r="G610" i="56"/>
  <c r="H610" i="56" s="1"/>
  <c r="I610" i="56" s="1"/>
  <c r="G616" i="56"/>
  <c r="H616" i="56" s="1"/>
  <c r="I616" i="56" s="1"/>
  <c r="G607" i="56"/>
  <c r="H607" i="56" s="1"/>
  <c r="I607" i="56" s="1"/>
  <c r="C628" i="56"/>
  <c r="I129" i="39"/>
  <c r="J129" i="39" s="1"/>
  <c r="I125" i="42"/>
  <c r="J125" i="42" s="1"/>
  <c r="K138" i="42"/>
  <c r="L138" i="42" s="1"/>
  <c r="K127" i="46"/>
  <c r="L127" i="46" s="1"/>
  <c r="K88" i="40"/>
  <c r="L88" i="40" s="1"/>
  <c r="K140" i="46"/>
  <c r="L140" i="46" s="1"/>
  <c r="I143" i="39"/>
  <c r="J143" i="39" s="1"/>
  <c r="I86" i="40"/>
  <c r="J86" i="40" s="1"/>
  <c r="I133" i="42"/>
  <c r="J133" i="42" s="1"/>
  <c r="K99" i="40"/>
  <c r="L99" i="40" s="1"/>
  <c r="K100" i="40"/>
  <c r="L100" i="40" s="1"/>
  <c r="I128" i="46"/>
  <c r="J128" i="46" s="1"/>
  <c r="I135" i="42"/>
  <c r="J135" i="42" s="1"/>
  <c r="C184" i="42"/>
  <c r="D222" i="42" s="1"/>
  <c r="G222" i="42" s="1"/>
  <c r="H222" i="42" s="1"/>
  <c r="I130" i="42"/>
  <c r="J130" i="42" s="1"/>
  <c r="I121" i="42"/>
  <c r="J121" i="42" s="1"/>
  <c r="K126" i="42"/>
  <c r="L126" i="42" s="1"/>
  <c r="K141" i="42"/>
  <c r="L141" i="42" s="1"/>
  <c r="K127" i="42"/>
  <c r="L127" i="42" s="1"/>
  <c r="E414" i="30"/>
  <c r="B507" i="30"/>
  <c r="F507" i="30" s="1"/>
  <c r="E425" i="30"/>
  <c r="B516" i="30"/>
  <c r="F516" i="30" s="1"/>
  <c r="I82" i="40"/>
  <c r="J82" i="40" s="1"/>
  <c r="I102" i="40"/>
  <c r="J102" i="40" s="1"/>
  <c r="I94" i="40"/>
  <c r="J94" i="40" s="1"/>
  <c r="K84" i="40"/>
  <c r="L84" i="40" s="1"/>
  <c r="C119" i="40"/>
  <c r="C466" i="40" s="1"/>
  <c r="I96" i="40"/>
  <c r="J96" i="40" s="1"/>
  <c r="K83" i="40"/>
  <c r="L83" i="40" s="1"/>
  <c r="I91" i="40"/>
  <c r="J91" i="40" s="1"/>
  <c r="I92" i="40"/>
  <c r="J92" i="40" s="1"/>
  <c r="I87" i="40"/>
  <c r="J87" i="40" s="1"/>
  <c r="K97" i="40"/>
  <c r="L97" i="40" s="1"/>
  <c r="K98" i="40"/>
  <c r="L98" i="40" s="1"/>
  <c r="K101" i="40"/>
  <c r="L101" i="40" s="1"/>
  <c r="K125" i="39"/>
  <c r="L125" i="39" s="1"/>
  <c r="K127" i="39"/>
  <c r="L127" i="39" s="1"/>
  <c r="K138" i="39"/>
  <c r="L138" i="39" s="1"/>
  <c r="K141" i="39"/>
  <c r="L141" i="39" s="1"/>
  <c r="K139" i="39"/>
  <c r="L139" i="39" s="1"/>
  <c r="I134" i="39"/>
  <c r="J134" i="39" s="1"/>
  <c r="I123" i="38"/>
  <c r="J123" i="38" s="1"/>
  <c r="I130" i="38"/>
  <c r="J130" i="38" s="1"/>
  <c r="C157" i="46"/>
  <c r="C159" i="46" s="1"/>
  <c r="C161" i="46" s="1"/>
  <c r="C340" i="46" s="1"/>
  <c r="C341" i="46" s="1"/>
  <c r="K142" i="46"/>
  <c r="L142" i="46" s="1"/>
  <c r="I137" i="46"/>
  <c r="J137" i="46" s="1"/>
  <c r="I97" i="37"/>
  <c r="J97" i="37" s="1"/>
  <c r="K83" i="37"/>
  <c r="L83" i="37" s="1"/>
  <c r="I131" i="38"/>
  <c r="J131" i="38" s="1"/>
  <c r="K128" i="42"/>
  <c r="L128" i="42" s="1"/>
  <c r="I136" i="42"/>
  <c r="J136" i="42" s="1"/>
  <c r="K138" i="46"/>
  <c r="L138" i="46" s="1"/>
  <c r="K139" i="46"/>
  <c r="L139" i="46" s="1"/>
  <c r="I125" i="46"/>
  <c r="J125" i="46" s="1"/>
  <c r="K141" i="46"/>
  <c r="L141" i="46" s="1"/>
  <c r="I123" i="46"/>
  <c r="J123" i="46" s="1"/>
  <c r="B330" i="37"/>
  <c r="I126" i="39"/>
  <c r="J126" i="39" s="1"/>
  <c r="K137" i="42"/>
  <c r="L137" i="42" s="1"/>
  <c r="K143" i="46"/>
  <c r="L143" i="46" s="1"/>
  <c r="K133" i="38"/>
  <c r="L133" i="38" s="1"/>
  <c r="I132" i="39"/>
  <c r="J132" i="39" s="1"/>
  <c r="I122" i="42"/>
  <c r="J122" i="42" s="1"/>
  <c r="I123" i="42"/>
  <c r="J123" i="42" s="1"/>
  <c r="K91" i="37"/>
  <c r="L91" i="37" s="1"/>
  <c r="I137" i="39"/>
  <c r="J137" i="39" s="1"/>
  <c r="B582" i="46"/>
  <c r="E582" i="46" s="1"/>
  <c r="D490" i="46"/>
  <c r="D494" i="46"/>
  <c r="B586" i="46"/>
  <c r="E586" i="46" s="1"/>
  <c r="B426" i="46"/>
  <c r="I85" i="37"/>
  <c r="J85" i="37" s="1"/>
  <c r="I123" i="39"/>
  <c r="J123" i="39" s="1"/>
  <c r="C238" i="39"/>
  <c r="I128" i="39"/>
  <c r="J128" i="39" s="1"/>
  <c r="K139" i="38"/>
  <c r="L139" i="38" s="1"/>
  <c r="I130" i="39"/>
  <c r="J130" i="39" s="1"/>
  <c r="B587" i="46"/>
  <c r="E587" i="46" s="1"/>
  <c r="D495" i="46"/>
  <c r="B581" i="46"/>
  <c r="E581" i="46" s="1"/>
  <c r="D489" i="46"/>
  <c r="B585" i="46"/>
  <c r="E585" i="46" s="1"/>
  <c r="D493" i="46"/>
  <c r="I131" i="39"/>
  <c r="J131" i="39" s="1"/>
  <c r="B419" i="46"/>
  <c r="B427" i="46"/>
  <c r="B583" i="46"/>
  <c r="E583" i="46" s="1"/>
  <c r="D491" i="46"/>
  <c r="B500" i="46"/>
  <c r="D500" i="46" s="1"/>
  <c r="B329" i="37"/>
  <c r="K99" i="37"/>
  <c r="L99" i="37" s="1"/>
  <c r="I136" i="39"/>
  <c r="J136" i="39" s="1"/>
  <c r="K142" i="39"/>
  <c r="L142" i="39" s="1"/>
  <c r="C157" i="38"/>
  <c r="C159" i="38" s="1"/>
  <c r="C161" i="38" s="1"/>
  <c r="C247" i="38" s="1"/>
  <c r="C248" i="38" s="1"/>
  <c r="I124" i="39"/>
  <c r="J124" i="39" s="1"/>
  <c r="D498" i="46"/>
  <c r="B590" i="46"/>
  <c r="E590" i="46" s="1"/>
  <c r="B421" i="46"/>
  <c r="B448" i="46"/>
  <c r="D503" i="46"/>
  <c r="B593" i="46"/>
  <c r="E593" i="46" s="1"/>
  <c r="C116" i="37"/>
  <c r="C118" i="37" s="1"/>
  <c r="C120" i="37" s="1"/>
  <c r="B218" i="37" s="1"/>
  <c r="C218" i="37" s="1"/>
  <c r="B293" i="37" s="1"/>
  <c r="B373" i="37" s="1"/>
  <c r="I133" i="39"/>
  <c r="J133" i="39" s="1"/>
  <c r="E508" i="45"/>
  <c r="B605" i="45"/>
  <c r="F605" i="45" s="1"/>
  <c r="B600" i="45"/>
  <c r="F600" i="45" s="1"/>
  <c r="E503" i="45"/>
  <c r="B258" i="45"/>
  <c r="K142" i="45"/>
  <c r="L142" i="45" s="1"/>
  <c r="B606" i="45"/>
  <c r="F606" i="45" s="1"/>
  <c r="E509" i="45"/>
  <c r="B502" i="45"/>
  <c r="B444" i="45"/>
  <c r="C589" i="45"/>
  <c r="C205" i="45"/>
  <c r="C206" i="45" s="1"/>
  <c r="C554" i="45"/>
  <c r="C517" i="45"/>
  <c r="C612" i="45" s="1"/>
  <c r="G257" i="45"/>
  <c r="H257" i="45" s="1"/>
  <c r="B603" i="45"/>
  <c r="F603" i="45" s="1"/>
  <c r="E506" i="45"/>
  <c r="B507" i="45"/>
  <c r="K143" i="45"/>
  <c r="L143" i="45" s="1"/>
  <c r="B259" i="45"/>
  <c r="E518" i="45"/>
  <c r="B613" i="45"/>
  <c r="F613" i="45" s="1"/>
  <c r="C332" i="45"/>
  <c r="C274" i="45"/>
  <c r="C276" i="45" s="1"/>
  <c r="C278" i="45" s="1"/>
  <c r="C294" i="45" s="1"/>
  <c r="B505" i="45"/>
  <c r="B512" i="45"/>
  <c r="B511" i="45"/>
  <c r="B466" i="45"/>
  <c r="C580" i="45"/>
  <c r="C259" i="45"/>
  <c r="C255" i="45"/>
  <c r="E255" i="45" s="1"/>
  <c r="F255" i="45" s="1"/>
  <c r="C251" i="45"/>
  <c r="E251" i="45" s="1"/>
  <c r="F251" i="45" s="1"/>
  <c r="C247" i="45"/>
  <c r="E247" i="45" s="1"/>
  <c r="F247" i="45" s="1"/>
  <c r="C547" i="45"/>
  <c r="C260" i="45"/>
  <c r="E260" i="45" s="1"/>
  <c r="F260" i="45" s="1"/>
  <c r="C257" i="45"/>
  <c r="E257" i="45" s="1"/>
  <c r="F257" i="45" s="1"/>
  <c r="C254" i="45"/>
  <c r="E254" i="45" s="1"/>
  <c r="F254" i="45" s="1"/>
  <c r="C245" i="45"/>
  <c r="E245" i="45" s="1"/>
  <c r="F245" i="45" s="1"/>
  <c r="C241" i="45"/>
  <c r="E241" i="45" s="1"/>
  <c r="F241" i="45" s="1"/>
  <c r="C200" i="45"/>
  <c r="C201" i="45" s="1"/>
  <c r="C258" i="45"/>
  <c r="C248" i="45"/>
  <c r="E248" i="45" s="1"/>
  <c r="F248" i="45" s="1"/>
  <c r="C244" i="45"/>
  <c r="E244" i="45" s="1"/>
  <c r="F244" i="45" s="1"/>
  <c r="C240" i="45"/>
  <c r="E240" i="45" s="1"/>
  <c r="F240" i="45" s="1"/>
  <c r="C252" i="45"/>
  <c r="E252" i="45" s="1"/>
  <c r="F252" i="45" s="1"/>
  <c r="C249" i="45"/>
  <c r="E249" i="45" s="1"/>
  <c r="F249" i="45" s="1"/>
  <c r="C246" i="45"/>
  <c r="E246" i="45" s="1"/>
  <c r="F246" i="45" s="1"/>
  <c r="C256" i="45"/>
  <c r="E256" i="45" s="1"/>
  <c r="F256" i="45" s="1"/>
  <c r="C253" i="45"/>
  <c r="E253" i="45" s="1"/>
  <c r="F253" i="45" s="1"/>
  <c r="C250" i="45"/>
  <c r="E250" i="45" s="1"/>
  <c r="F250" i="45" s="1"/>
  <c r="C242" i="45"/>
  <c r="E242" i="45" s="1"/>
  <c r="F242" i="45" s="1"/>
  <c r="C243" i="45"/>
  <c r="E243" i="45" s="1"/>
  <c r="F243" i="45" s="1"/>
  <c r="E504" i="45"/>
  <c r="B601" i="45"/>
  <c r="F601" i="45" s="1"/>
  <c r="B514" i="45"/>
  <c r="C284" i="40"/>
  <c r="B340" i="40" s="1"/>
  <c r="K140" i="39"/>
  <c r="L140" i="39" s="1"/>
  <c r="B425" i="44"/>
  <c r="B503" i="44"/>
  <c r="D490" i="44"/>
  <c r="B582" i="44"/>
  <c r="E582" i="44" s="1"/>
  <c r="B592" i="44"/>
  <c r="E592" i="44" s="1"/>
  <c r="D502" i="44"/>
  <c r="B589" i="44"/>
  <c r="E589" i="44" s="1"/>
  <c r="D497" i="44"/>
  <c r="B488" i="44"/>
  <c r="K82" i="37"/>
  <c r="L82" i="37" s="1"/>
  <c r="C306" i="39"/>
  <c r="B425" i="39" s="1"/>
  <c r="I128" i="38"/>
  <c r="J128" i="38" s="1"/>
  <c r="B447" i="44"/>
  <c r="C301" i="44"/>
  <c r="B421" i="44"/>
  <c r="B581" i="44"/>
  <c r="E581" i="44" s="1"/>
  <c r="D489" i="44"/>
  <c r="B427" i="44"/>
  <c r="D494" i="44"/>
  <c r="B586" i="44"/>
  <c r="E586" i="44" s="1"/>
  <c r="B585" i="44"/>
  <c r="E585" i="44" s="1"/>
  <c r="D493" i="44"/>
  <c r="C623" i="44"/>
  <c r="D498" i="44"/>
  <c r="B590" i="44"/>
  <c r="E590" i="44" s="1"/>
  <c r="B426" i="44"/>
  <c r="C361" i="44"/>
  <c r="C362" i="44" s="1"/>
  <c r="C364" i="44" s="1"/>
  <c r="C192" i="44"/>
  <c r="C193" i="44" s="1"/>
  <c r="C194" i="44" s="1"/>
  <c r="C340" i="44"/>
  <c r="C341" i="44" s="1"/>
  <c r="C329" i="44"/>
  <c r="C330" i="44" s="1"/>
  <c r="C247" i="44"/>
  <c r="C248" i="44" s="1"/>
  <c r="C239" i="44"/>
  <c r="C259" i="44" s="1"/>
  <c r="C233" i="44"/>
  <c r="C388" i="44"/>
  <c r="C389" i="44" s="1"/>
  <c r="C174" i="44"/>
  <c r="C175" i="44" s="1"/>
  <c r="C258" i="44"/>
  <c r="C271" i="44"/>
  <c r="C272" i="44" s="1"/>
  <c r="C273" i="44" s="1"/>
  <c r="C354" i="44"/>
  <c r="C355" i="44" s="1"/>
  <c r="C356" i="44" s="1"/>
  <c r="C278" i="44"/>
  <c r="C279" i="44" s="1"/>
  <c r="C280" i="44" s="1"/>
  <c r="C185" i="44"/>
  <c r="C186" i="44" s="1"/>
  <c r="C187" i="44" s="1"/>
  <c r="C396" i="44"/>
  <c r="C397" i="44" s="1"/>
  <c r="C188" i="44"/>
  <c r="C195" i="44"/>
  <c r="C176" i="44"/>
  <c r="C168" i="44"/>
  <c r="C169" i="44" s="1"/>
  <c r="C283" i="40"/>
  <c r="B339" i="40" s="1"/>
  <c r="B361" i="40"/>
  <c r="I135" i="39"/>
  <c r="J135" i="39" s="1"/>
  <c r="K142" i="38"/>
  <c r="L142" i="38" s="1"/>
  <c r="C192" i="38"/>
  <c r="C193" i="38" s="1"/>
  <c r="C194" i="38" s="1"/>
  <c r="I98" i="37"/>
  <c r="J98" i="37" s="1"/>
  <c r="I136" i="38"/>
  <c r="J136" i="38" s="1"/>
  <c r="K129" i="38"/>
  <c r="L129" i="38" s="1"/>
  <c r="C513" i="42"/>
  <c r="C604" i="42" s="1"/>
  <c r="B507" i="42"/>
  <c r="E509" i="42"/>
  <c r="B500" i="42"/>
  <c r="B508" i="42"/>
  <c r="C556" i="42"/>
  <c r="C564" i="42"/>
  <c r="D257" i="42"/>
  <c r="G257" i="42" s="1"/>
  <c r="H257" i="42" s="1"/>
  <c r="D253" i="42"/>
  <c r="G253" i="42" s="1"/>
  <c r="H253" i="42" s="1"/>
  <c r="D249" i="42"/>
  <c r="G249" i="42" s="1"/>
  <c r="H249" i="42" s="1"/>
  <c r="D245" i="42"/>
  <c r="G245" i="42" s="1"/>
  <c r="H245" i="42" s="1"/>
  <c r="D241" i="42"/>
  <c r="G241" i="42" s="1"/>
  <c r="H241" i="42" s="1"/>
  <c r="D254" i="42"/>
  <c r="G254" i="42" s="1"/>
  <c r="H254" i="42" s="1"/>
  <c r="D250" i="42"/>
  <c r="G250" i="42" s="1"/>
  <c r="H250" i="42" s="1"/>
  <c r="D246" i="42"/>
  <c r="G246" i="42" s="1"/>
  <c r="H246" i="42" s="1"/>
  <c r="D242" i="42"/>
  <c r="G242" i="42" s="1"/>
  <c r="H242" i="42" s="1"/>
  <c r="D238" i="42"/>
  <c r="G238" i="42" s="1"/>
  <c r="H238" i="42" s="1"/>
  <c r="D255" i="42"/>
  <c r="D247" i="42"/>
  <c r="G247" i="42" s="1"/>
  <c r="H247" i="42" s="1"/>
  <c r="C190" i="42"/>
  <c r="D256" i="42"/>
  <c r="D248" i="42"/>
  <c r="G248" i="42" s="1"/>
  <c r="H248" i="42" s="1"/>
  <c r="D240" i="42"/>
  <c r="G240" i="42" s="1"/>
  <c r="H240" i="42" s="1"/>
  <c r="D237" i="42"/>
  <c r="G237" i="42" s="1"/>
  <c r="H237" i="42" s="1"/>
  <c r="D252" i="42"/>
  <c r="G252" i="42" s="1"/>
  <c r="H252" i="42" s="1"/>
  <c r="D244" i="42"/>
  <c r="G244" i="42" s="1"/>
  <c r="H244" i="42" s="1"/>
  <c r="D243" i="42"/>
  <c r="G243" i="42" s="1"/>
  <c r="H243" i="42" s="1"/>
  <c r="D239" i="42"/>
  <c r="G239" i="42" s="1"/>
  <c r="H239" i="42" s="1"/>
  <c r="D251" i="42"/>
  <c r="G251" i="42" s="1"/>
  <c r="H251" i="42" s="1"/>
  <c r="C188" i="42"/>
  <c r="B501" i="42"/>
  <c r="B255" i="42"/>
  <c r="K139" i="42"/>
  <c r="L139" i="42" s="1"/>
  <c r="B502" i="42"/>
  <c r="D214" i="42"/>
  <c r="G214" i="42" s="1"/>
  <c r="H214" i="42" s="1"/>
  <c r="B462" i="42"/>
  <c r="B514" i="42"/>
  <c r="C367" i="42"/>
  <c r="K89" i="37"/>
  <c r="L89" i="37" s="1"/>
  <c r="K141" i="38"/>
  <c r="L141" i="38" s="1"/>
  <c r="B506" i="42"/>
  <c r="B499" i="42"/>
  <c r="B498" i="42"/>
  <c r="B503" i="42"/>
  <c r="B256" i="42"/>
  <c r="K140" i="42"/>
  <c r="L140" i="42" s="1"/>
  <c r="B505" i="42"/>
  <c r="B463" i="42"/>
  <c r="B603" i="42"/>
  <c r="F603" i="42" s="1"/>
  <c r="E512" i="42"/>
  <c r="C368" i="42"/>
  <c r="B504" i="42"/>
  <c r="I138" i="38"/>
  <c r="J138" i="38" s="1"/>
  <c r="K138" i="38"/>
  <c r="L138" i="38" s="1"/>
  <c r="I140" i="38"/>
  <c r="J140" i="38" s="1"/>
  <c r="K140" i="38"/>
  <c r="L140" i="38" s="1"/>
  <c r="I95" i="37"/>
  <c r="J95" i="37" s="1"/>
  <c r="I127" i="38"/>
  <c r="J127" i="38" s="1"/>
  <c r="K127" i="38"/>
  <c r="L127" i="38" s="1"/>
  <c r="K132" i="38"/>
  <c r="L132" i="38" s="1"/>
  <c r="I132" i="38"/>
  <c r="J132" i="38" s="1"/>
  <c r="K87" i="37"/>
  <c r="L87" i="37" s="1"/>
  <c r="K125" i="38"/>
  <c r="L125" i="38" s="1"/>
  <c r="I125" i="38"/>
  <c r="J125" i="38" s="1"/>
  <c r="K137" i="38"/>
  <c r="L137" i="38" s="1"/>
  <c r="I137" i="38"/>
  <c r="J137" i="38" s="1"/>
  <c r="I102" i="37"/>
  <c r="J102" i="37" s="1"/>
  <c r="I143" i="38"/>
  <c r="J143" i="38" s="1"/>
  <c r="I134" i="38"/>
  <c r="J134" i="38" s="1"/>
  <c r="K134" i="38"/>
  <c r="L134" i="38" s="1"/>
  <c r="K126" i="38"/>
  <c r="L126" i="38" s="1"/>
  <c r="I126" i="38"/>
  <c r="J126" i="38" s="1"/>
  <c r="K124" i="38"/>
  <c r="L124" i="38" s="1"/>
  <c r="I124" i="38"/>
  <c r="J124" i="38" s="1"/>
  <c r="C278" i="30"/>
  <c r="C279" i="30"/>
  <c r="B352" i="30" s="1"/>
  <c r="F97" i="30"/>
  <c r="I97" i="30" s="1"/>
  <c r="J97" i="30" s="1"/>
  <c r="D228" i="30"/>
  <c r="D273" i="30" s="1"/>
  <c r="B368" i="30" s="1"/>
  <c r="D231" i="30"/>
  <c r="D276" i="30" s="1"/>
  <c r="B371" i="30" s="1"/>
  <c r="F89" i="30"/>
  <c r="I89" i="30" s="1"/>
  <c r="J89" i="30" s="1"/>
  <c r="D172" i="30"/>
  <c r="G172" i="30" s="1"/>
  <c r="H172" i="30" s="1"/>
  <c r="D176" i="30"/>
  <c r="G176" i="30" s="1"/>
  <c r="H176" i="30" s="1"/>
  <c r="D180" i="30"/>
  <c r="G180" i="30" s="1"/>
  <c r="H180" i="30" s="1"/>
  <c r="D184" i="30"/>
  <c r="G184" i="30" s="1"/>
  <c r="H184" i="30" s="1"/>
  <c r="D169" i="30"/>
  <c r="G169" i="30" s="1"/>
  <c r="H169" i="30" s="1"/>
  <c r="D173" i="30"/>
  <c r="G173" i="30" s="1"/>
  <c r="H173" i="30" s="1"/>
  <c r="D177" i="30"/>
  <c r="G177" i="30" s="1"/>
  <c r="H177" i="30" s="1"/>
  <c r="D181" i="30"/>
  <c r="G181" i="30" s="1"/>
  <c r="H181" i="30" s="1"/>
  <c r="D170" i="30"/>
  <c r="G170" i="30" s="1"/>
  <c r="H170" i="30" s="1"/>
  <c r="D174" i="30"/>
  <c r="G174" i="30" s="1"/>
  <c r="H174" i="30" s="1"/>
  <c r="D178" i="30"/>
  <c r="G178" i="30" s="1"/>
  <c r="H178" i="30" s="1"/>
  <c r="D182" i="30"/>
  <c r="G182" i="30" s="1"/>
  <c r="H182" i="30" s="1"/>
  <c r="D171" i="30"/>
  <c r="G171" i="30" s="1"/>
  <c r="H171" i="30" s="1"/>
  <c r="D175" i="30"/>
  <c r="G175" i="30" s="1"/>
  <c r="H175" i="30" s="1"/>
  <c r="D179" i="30"/>
  <c r="G179" i="30" s="1"/>
  <c r="H179" i="30" s="1"/>
  <c r="D183" i="30"/>
  <c r="G183" i="30" s="1"/>
  <c r="H183" i="30" s="1"/>
  <c r="D98" i="30"/>
  <c r="B186" i="30" s="1"/>
  <c r="C108" i="30"/>
  <c r="D97" i="30"/>
  <c r="B185" i="30" s="1"/>
  <c r="F95" i="30"/>
  <c r="K95" i="30" s="1"/>
  <c r="L95" i="30" s="1"/>
  <c r="C71" i="30"/>
  <c r="C72" i="30" s="1"/>
  <c r="F91" i="30"/>
  <c r="K91" i="30" s="1"/>
  <c r="L91" i="30" s="1"/>
  <c r="F94" i="30"/>
  <c r="I94" i="30" s="1"/>
  <c r="J94" i="30" s="1"/>
  <c r="F79" i="30"/>
  <c r="K79" i="30" s="1"/>
  <c r="L79" i="30" s="1"/>
  <c r="F80" i="30"/>
  <c r="I80" i="30" s="1"/>
  <c r="J80" i="30" s="1"/>
  <c r="C67" i="30"/>
  <c r="C68" i="30" s="1"/>
  <c r="F87" i="30"/>
  <c r="K87" i="30" s="1"/>
  <c r="L87" i="30" s="1"/>
  <c r="F85" i="30"/>
  <c r="F90" i="30"/>
  <c r="C114" i="30"/>
  <c r="C134" i="30" s="1"/>
  <c r="F96" i="30"/>
  <c r="I96" i="30" s="1"/>
  <c r="J96" i="30" s="1"/>
  <c r="F92" i="30"/>
  <c r="F83" i="30"/>
  <c r="I83" i="30" s="1"/>
  <c r="J83" i="30" s="1"/>
  <c r="F81" i="30"/>
  <c r="I81" i="30" s="1"/>
  <c r="J81" i="30" s="1"/>
  <c r="F86" i="30"/>
  <c r="K86" i="30" s="1"/>
  <c r="L86" i="30" s="1"/>
  <c r="F99" i="30"/>
  <c r="I99" i="30" s="1"/>
  <c r="J99" i="30" s="1"/>
  <c r="F98" i="30"/>
  <c r="I98" i="30" s="1"/>
  <c r="J98" i="30" s="1"/>
  <c r="F84" i="30"/>
  <c r="F93" i="30"/>
  <c r="K93" i="30" s="1"/>
  <c r="L93" i="30" s="1"/>
  <c r="F88" i="30"/>
  <c r="I88" i="30" s="1"/>
  <c r="J88" i="30" s="1"/>
  <c r="F82" i="30"/>
  <c r="G98" i="30"/>
  <c r="H98" i="30" s="1"/>
  <c r="G96" i="30"/>
  <c r="H96" i="30" s="1"/>
  <c r="C230" i="30"/>
  <c r="C229" i="30"/>
  <c r="E406" i="40"/>
  <c r="B503" i="40"/>
  <c r="F503" i="40" s="1"/>
  <c r="B403" i="40"/>
  <c r="B405" i="40"/>
  <c r="B408" i="40"/>
  <c r="I93" i="37"/>
  <c r="J93" i="37" s="1"/>
  <c r="B327" i="40"/>
  <c r="B414" i="40"/>
  <c r="K101" i="37"/>
  <c r="L101" i="37" s="1"/>
  <c r="I94" i="37"/>
  <c r="J94" i="37" s="1"/>
  <c r="K100" i="37"/>
  <c r="L100" i="37" s="1"/>
  <c r="I96" i="37"/>
  <c r="J96" i="37" s="1"/>
  <c r="K88" i="37"/>
  <c r="L88" i="37" s="1"/>
  <c r="I90" i="37"/>
  <c r="J90" i="37" s="1"/>
  <c r="K86" i="37"/>
  <c r="L86" i="37" s="1"/>
  <c r="B497" i="40"/>
  <c r="F497" i="40" s="1"/>
  <c r="B496" i="40"/>
  <c r="F496" i="40" s="1"/>
  <c r="E399" i="40"/>
  <c r="D161" i="40"/>
  <c r="G161" i="40" s="1"/>
  <c r="H161" i="40" s="1"/>
  <c r="D157" i="40"/>
  <c r="G157" i="40" s="1"/>
  <c r="H157" i="40" s="1"/>
  <c r="D151" i="40"/>
  <c r="G151" i="40" s="1"/>
  <c r="H151" i="40" s="1"/>
  <c r="D147" i="40"/>
  <c r="G147" i="40" s="1"/>
  <c r="H147" i="40" s="1"/>
  <c r="D144" i="40"/>
  <c r="G144" i="40" s="1"/>
  <c r="H144" i="40" s="1"/>
  <c r="C137" i="40"/>
  <c r="C202" i="40"/>
  <c r="D163" i="40"/>
  <c r="G163" i="40" s="1"/>
  <c r="H163" i="40" s="1"/>
  <c r="D158" i="40"/>
  <c r="G158" i="40" s="1"/>
  <c r="H158" i="40" s="1"/>
  <c r="D152" i="40"/>
  <c r="G152" i="40" s="1"/>
  <c r="H152" i="40" s="1"/>
  <c r="D149" i="40"/>
  <c r="G149" i="40" s="1"/>
  <c r="H149" i="40" s="1"/>
  <c r="D146" i="40"/>
  <c r="G146" i="40" s="1"/>
  <c r="H146" i="40" s="1"/>
  <c r="D160" i="40"/>
  <c r="G160" i="40" s="1"/>
  <c r="H160" i="40" s="1"/>
  <c r="D148" i="40"/>
  <c r="G148" i="40" s="1"/>
  <c r="H148" i="40" s="1"/>
  <c r="C132" i="40"/>
  <c r="D162" i="40"/>
  <c r="D159" i="40"/>
  <c r="G159" i="40" s="1"/>
  <c r="H159" i="40" s="1"/>
  <c r="D155" i="40"/>
  <c r="G155" i="40" s="1"/>
  <c r="H155" i="40" s="1"/>
  <c r="D145" i="40"/>
  <c r="G145" i="40" s="1"/>
  <c r="H145" i="40" s="1"/>
  <c r="D154" i="40"/>
  <c r="G154" i="40" s="1"/>
  <c r="H154" i="40" s="1"/>
  <c r="D164" i="40"/>
  <c r="G164" i="40" s="1"/>
  <c r="H164" i="40" s="1"/>
  <c r="D153" i="40"/>
  <c r="G153" i="40" s="1"/>
  <c r="H153" i="40" s="1"/>
  <c r="D150" i="40"/>
  <c r="G150" i="40" s="1"/>
  <c r="H150" i="40" s="1"/>
  <c r="D156" i="40"/>
  <c r="G156" i="40" s="1"/>
  <c r="H156" i="40" s="1"/>
  <c r="B412" i="40"/>
  <c r="E412" i="40" s="1"/>
  <c r="B576" i="39"/>
  <c r="E576" i="39" s="1"/>
  <c r="D497" i="39"/>
  <c r="B581" i="39"/>
  <c r="E581" i="39" s="1"/>
  <c r="D504" i="39"/>
  <c r="D503" i="39"/>
  <c r="B580" i="39"/>
  <c r="E580" i="39" s="1"/>
  <c r="B571" i="39"/>
  <c r="E571" i="39" s="1"/>
  <c r="D492" i="39"/>
  <c r="C308" i="39"/>
  <c r="B488" i="39"/>
  <c r="B569" i="39"/>
  <c r="E569" i="39" s="1"/>
  <c r="D490" i="39"/>
  <c r="B573" i="39"/>
  <c r="E573" i="39" s="1"/>
  <c r="D494" i="39"/>
  <c r="D491" i="39"/>
  <c r="B570" i="39"/>
  <c r="E570" i="39" s="1"/>
  <c r="K84" i="37"/>
  <c r="L84" i="37" s="1"/>
  <c r="D495" i="39"/>
  <c r="B574" i="39"/>
  <c r="E574" i="39" s="1"/>
  <c r="B501" i="39"/>
  <c r="B579" i="39"/>
  <c r="E579" i="39" s="1"/>
  <c r="D502" i="39"/>
  <c r="B489" i="39"/>
  <c r="B572" i="39"/>
  <c r="E572" i="39" s="1"/>
  <c r="D493" i="39"/>
  <c r="C307" i="39"/>
  <c r="C396" i="39"/>
  <c r="C397" i="39" s="1"/>
  <c r="C388" i="39"/>
  <c r="C389" i="39" s="1"/>
  <c r="C354" i="39"/>
  <c r="C355" i="39" s="1"/>
  <c r="C356" i="39" s="1"/>
  <c r="C258" i="39"/>
  <c r="C239" i="39"/>
  <c r="C259" i="39" s="1"/>
  <c r="C185" i="39"/>
  <c r="C186" i="39" s="1"/>
  <c r="C187" i="39" s="1"/>
  <c r="C174" i="39"/>
  <c r="C175" i="39" s="1"/>
  <c r="C340" i="39"/>
  <c r="C341" i="39" s="1"/>
  <c r="C192" i="39"/>
  <c r="C193" i="39" s="1"/>
  <c r="C194" i="39" s="1"/>
  <c r="C329" i="39"/>
  <c r="C330" i="39" s="1"/>
  <c r="C271" i="39"/>
  <c r="C272" i="39" s="1"/>
  <c r="C273" i="39" s="1"/>
  <c r="C247" i="39"/>
  <c r="C248" i="39" s="1"/>
  <c r="C233" i="39"/>
  <c r="C278" i="39"/>
  <c r="C279" i="39" s="1"/>
  <c r="C280" i="39" s="1"/>
  <c r="C361" i="39"/>
  <c r="C362" i="39" s="1"/>
  <c r="C364" i="39" s="1"/>
  <c r="C168" i="39"/>
  <c r="C169" i="39" s="1"/>
  <c r="C195" i="39"/>
  <c r="C176" i="39"/>
  <c r="C188" i="39"/>
  <c r="B575" i="39"/>
  <c r="E575" i="39" s="1"/>
  <c r="D496" i="39"/>
  <c r="B500" i="39"/>
  <c r="D500" i="39" s="1"/>
  <c r="B499" i="39"/>
  <c r="D499" i="39" s="1"/>
  <c r="B577" i="39"/>
  <c r="E577" i="39" s="1"/>
  <c r="D498" i="39"/>
  <c r="B454" i="38"/>
  <c r="B587" i="38"/>
  <c r="E587" i="38" s="1"/>
  <c r="D495" i="38"/>
  <c r="B425" i="38"/>
  <c r="D488" i="38"/>
  <c r="B580" i="38"/>
  <c r="E580" i="38" s="1"/>
  <c r="K142" i="35"/>
  <c r="L142" i="35" s="1"/>
  <c r="B589" i="38"/>
  <c r="E589" i="38" s="1"/>
  <c r="D497" i="38"/>
  <c r="B421" i="38"/>
  <c r="B452" i="38"/>
  <c r="B583" i="38"/>
  <c r="E583" i="38" s="1"/>
  <c r="D491" i="38"/>
  <c r="B594" i="38"/>
  <c r="E594" i="38" s="1"/>
  <c r="D504" i="38"/>
  <c r="C308" i="38"/>
  <c r="D503" i="38"/>
  <c r="B593" i="38"/>
  <c r="E593" i="38" s="1"/>
  <c r="D496" i="38"/>
  <c r="B588" i="38"/>
  <c r="E588" i="38" s="1"/>
  <c r="B453" i="38"/>
  <c r="B581" i="38"/>
  <c r="E581" i="38" s="1"/>
  <c r="D489" i="38"/>
  <c r="B447" i="38"/>
  <c r="C301" i="38"/>
  <c r="B592" i="38"/>
  <c r="E592" i="38" s="1"/>
  <c r="D502" i="38"/>
  <c r="D492" i="38"/>
  <c r="B584" i="38"/>
  <c r="E584" i="38" s="1"/>
  <c r="C307" i="38"/>
  <c r="B585" i="38"/>
  <c r="E585" i="38" s="1"/>
  <c r="D493" i="38"/>
  <c r="C195" i="25"/>
  <c r="C114" i="25"/>
  <c r="F98" i="25"/>
  <c r="K98" i="25" s="1"/>
  <c r="L98" i="25" s="1"/>
  <c r="C201" i="25"/>
  <c r="B296" i="25" s="1"/>
  <c r="B376" i="25" s="1"/>
  <c r="D376" i="25" s="1"/>
  <c r="C198" i="25"/>
  <c r="B293" i="25" s="1"/>
  <c r="B373" i="25" s="1"/>
  <c r="C197" i="25"/>
  <c r="B292" i="25" s="1"/>
  <c r="B372" i="25" s="1"/>
  <c r="C196" i="25"/>
  <c r="B291" i="25" s="1"/>
  <c r="B371" i="25" s="1"/>
  <c r="D150" i="25"/>
  <c r="D203" i="25" s="1"/>
  <c r="B325" i="25" s="1"/>
  <c r="F84" i="25"/>
  <c r="F93" i="25"/>
  <c r="F83" i="25"/>
  <c r="F86" i="25"/>
  <c r="F90" i="25"/>
  <c r="K90" i="25" s="1"/>
  <c r="L90" i="25" s="1"/>
  <c r="F94" i="25"/>
  <c r="K94" i="25" s="1"/>
  <c r="L94" i="25" s="1"/>
  <c r="F92" i="25"/>
  <c r="K92" i="25" s="1"/>
  <c r="L92" i="25" s="1"/>
  <c r="F89" i="25"/>
  <c r="F82" i="25"/>
  <c r="I82" i="25" s="1"/>
  <c r="J82" i="25" s="1"/>
  <c r="F87" i="25"/>
  <c r="K87" i="25" s="1"/>
  <c r="L87" i="25" s="1"/>
  <c r="F91" i="25"/>
  <c r="F95" i="25"/>
  <c r="K95" i="25" s="1"/>
  <c r="L95" i="25" s="1"/>
  <c r="F88" i="25"/>
  <c r="F96" i="25"/>
  <c r="F85" i="25"/>
  <c r="F97" i="25"/>
  <c r="I97" i="25" s="1"/>
  <c r="J97" i="25" s="1"/>
  <c r="F101" i="25"/>
  <c r="F99" i="25"/>
  <c r="I99" i="25" s="1"/>
  <c r="J99" i="25" s="1"/>
  <c r="F100" i="25"/>
  <c r="I100" i="25" s="1"/>
  <c r="J100" i="25" s="1"/>
  <c r="F102" i="25"/>
  <c r="K102" i="25" s="1"/>
  <c r="L102" i="25" s="1"/>
  <c r="C74" i="25"/>
  <c r="C75" i="25" s="1"/>
  <c r="C70" i="25"/>
  <c r="C71" i="25" s="1"/>
  <c r="G83" i="25"/>
  <c r="H83" i="25" s="1"/>
  <c r="B297" i="37"/>
  <c r="C196" i="36"/>
  <c r="D372" i="37"/>
  <c r="B464" i="37"/>
  <c r="E464" i="37" s="1"/>
  <c r="B457" i="37"/>
  <c r="E457" i="37" s="1"/>
  <c r="D365" i="37"/>
  <c r="B302" i="37"/>
  <c r="B303" i="37"/>
  <c r="B456" i="37"/>
  <c r="E456" i="37" s="1"/>
  <c r="D364" i="37"/>
  <c r="B470" i="37"/>
  <c r="E470" i="37" s="1"/>
  <c r="D380" i="37"/>
  <c r="B460" i="37"/>
  <c r="E460" i="37" s="1"/>
  <c r="D368" i="37"/>
  <c r="B461" i="37"/>
  <c r="E461" i="37" s="1"/>
  <c r="D369" i="37"/>
  <c r="B379" i="37"/>
  <c r="B323" i="37"/>
  <c r="C221" i="37"/>
  <c r="B468" i="37"/>
  <c r="E468" i="37" s="1"/>
  <c r="D378" i="37"/>
  <c r="B454" i="36"/>
  <c r="C623" i="36"/>
  <c r="B421" i="36"/>
  <c r="B309" i="36"/>
  <c r="D233" i="36"/>
  <c r="C249" i="36" s="1"/>
  <c r="C250" i="36" s="1"/>
  <c r="C177" i="36"/>
  <c r="D494" i="36"/>
  <c r="B586" i="36"/>
  <c r="E586" i="36" s="1"/>
  <c r="B585" i="36"/>
  <c r="E585" i="36" s="1"/>
  <c r="D493" i="36"/>
  <c r="C307" i="36"/>
  <c r="B447" i="36"/>
  <c r="C301" i="36"/>
  <c r="C308" i="36"/>
  <c r="B592" i="36"/>
  <c r="E592" i="36" s="1"/>
  <c r="D502" i="36"/>
  <c r="B581" i="36"/>
  <c r="E581" i="36" s="1"/>
  <c r="D489" i="36"/>
  <c r="B452" i="36"/>
  <c r="E309" i="36"/>
  <c r="E305" i="36"/>
  <c r="G305" i="36" s="1"/>
  <c r="H305" i="36" s="1"/>
  <c r="E301" i="36"/>
  <c r="G301" i="36" s="1"/>
  <c r="H301" i="36" s="1"/>
  <c r="E297" i="36"/>
  <c r="G297" i="36" s="1"/>
  <c r="H297" i="36" s="1"/>
  <c r="E293" i="36"/>
  <c r="G293" i="36" s="1"/>
  <c r="H293" i="36" s="1"/>
  <c r="E289" i="36"/>
  <c r="G289" i="36" s="1"/>
  <c r="H289" i="36" s="1"/>
  <c r="E310" i="36"/>
  <c r="G310" i="36" s="1"/>
  <c r="H310" i="36" s="1"/>
  <c r="E306" i="36"/>
  <c r="G306" i="36" s="1"/>
  <c r="H306" i="36" s="1"/>
  <c r="E302" i="36"/>
  <c r="G302" i="36" s="1"/>
  <c r="H302" i="36" s="1"/>
  <c r="E298" i="36"/>
  <c r="G298" i="36" s="1"/>
  <c r="H298" i="36" s="1"/>
  <c r="E294" i="36"/>
  <c r="G294" i="36" s="1"/>
  <c r="H294" i="36" s="1"/>
  <c r="E290" i="36"/>
  <c r="G290" i="36" s="1"/>
  <c r="H290" i="36" s="1"/>
  <c r="E307" i="36"/>
  <c r="G307" i="36" s="1"/>
  <c r="H307" i="36" s="1"/>
  <c r="E299" i="36"/>
  <c r="G299" i="36" s="1"/>
  <c r="H299" i="36" s="1"/>
  <c r="E291" i="36"/>
  <c r="G291" i="36" s="1"/>
  <c r="H291" i="36" s="1"/>
  <c r="E304" i="36"/>
  <c r="G304" i="36" s="1"/>
  <c r="H304" i="36" s="1"/>
  <c r="E296" i="36"/>
  <c r="G296" i="36" s="1"/>
  <c r="H296" i="36" s="1"/>
  <c r="E300" i="36"/>
  <c r="G300" i="36" s="1"/>
  <c r="H300" i="36" s="1"/>
  <c r="E295" i="36"/>
  <c r="G295" i="36" s="1"/>
  <c r="H295" i="36" s="1"/>
  <c r="E308" i="36"/>
  <c r="G308" i="36" s="1"/>
  <c r="H308" i="36" s="1"/>
  <c r="E292" i="36"/>
  <c r="G292" i="36" s="1"/>
  <c r="H292" i="36" s="1"/>
  <c r="E303" i="36"/>
  <c r="G303" i="36" s="1"/>
  <c r="H303" i="36" s="1"/>
  <c r="C189" i="36"/>
  <c r="C240" i="36"/>
  <c r="C306" i="36"/>
  <c r="B580" i="36"/>
  <c r="E580" i="36" s="1"/>
  <c r="D488" i="36"/>
  <c r="B453" i="36"/>
  <c r="B589" i="36"/>
  <c r="E589" i="36" s="1"/>
  <c r="D497" i="36"/>
  <c r="D496" i="36"/>
  <c r="B588" i="36"/>
  <c r="E588" i="36" s="1"/>
  <c r="B584" i="36"/>
  <c r="E584" i="36" s="1"/>
  <c r="D492" i="36"/>
  <c r="B594" i="35"/>
  <c r="E594" i="35" s="1"/>
  <c r="D504" i="35"/>
  <c r="B592" i="35"/>
  <c r="E592" i="35" s="1"/>
  <c r="D502" i="35"/>
  <c r="I132" i="35"/>
  <c r="J132" i="35" s="1"/>
  <c r="K132" i="35"/>
  <c r="L132" i="35" s="1"/>
  <c r="K143" i="35"/>
  <c r="L143" i="35" s="1"/>
  <c r="I143" i="35"/>
  <c r="J143" i="35" s="1"/>
  <c r="K134" i="35"/>
  <c r="L134" i="35" s="1"/>
  <c r="I134" i="35"/>
  <c r="J134" i="35" s="1"/>
  <c r="C238" i="35"/>
  <c r="C157" i="35"/>
  <c r="C159" i="35" s="1"/>
  <c r="C161" i="35" s="1"/>
  <c r="B453" i="35"/>
  <c r="B447" i="35"/>
  <c r="C301" i="35"/>
  <c r="C308" i="35"/>
  <c r="I127" i="35"/>
  <c r="J127" i="35" s="1"/>
  <c r="K127" i="35"/>
  <c r="L127" i="35" s="1"/>
  <c r="K133" i="35"/>
  <c r="L133" i="35" s="1"/>
  <c r="I133" i="35"/>
  <c r="J133" i="35" s="1"/>
  <c r="K137" i="35"/>
  <c r="L137" i="35" s="1"/>
  <c r="I137" i="35"/>
  <c r="J137" i="35" s="1"/>
  <c r="I138" i="35"/>
  <c r="J138" i="35" s="1"/>
  <c r="K138" i="35"/>
  <c r="L138" i="35" s="1"/>
  <c r="B588" i="35"/>
  <c r="E588" i="35" s="1"/>
  <c r="D496" i="35"/>
  <c r="D493" i="35"/>
  <c r="B585" i="35"/>
  <c r="E585" i="35" s="1"/>
  <c r="B452" i="35"/>
  <c r="C306" i="35"/>
  <c r="B593" i="35"/>
  <c r="E593" i="35" s="1"/>
  <c r="D503" i="35"/>
  <c r="K123" i="35"/>
  <c r="L123" i="35" s="1"/>
  <c r="I123" i="35"/>
  <c r="J123" i="35" s="1"/>
  <c r="I128" i="35"/>
  <c r="J128" i="35" s="1"/>
  <c r="K128" i="35"/>
  <c r="L128" i="35" s="1"/>
  <c r="K125" i="35"/>
  <c r="L125" i="35" s="1"/>
  <c r="I125" i="35"/>
  <c r="J125" i="35" s="1"/>
  <c r="K135" i="35"/>
  <c r="L135" i="35" s="1"/>
  <c r="I135" i="35"/>
  <c r="J135" i="35" s="1"/>
  <c r="K126" i="35"/>
  <c r="L126" i="35" s="1"/>
  <c r="I126" i="35"/>
  <c r="J126" i="35" s="1"/>
  <c r="I139" i="35"/>
  <c r="J139" i="35" s="1"/>
  <c r="K139" i="35"/>
  <c r="L139" i="35" s="1"/>
  <c r="I140" i="35"/>
  <c r="J140" i="35" s="1"/>
  <c r="K140" i="35"/>
  <c r="L140" i="35" s="1"/>
  <c r="B580" i="35"/>
  <c r="E580" i="35" s="1"/>
  <c r="D488" i="35"/>
  <c r="B454" i="35"/>
  <c r="B421" i="35"/>
  <c r="C307" i="35"/>
  <c r="K124" i="35"/>
  <c r="L124" i="35" s="1"/>
  <c r="I124" i="35"/>
  <c r="J124" i="35" s="1"/>
  <c r="K129" i="35"/>
  <c r="L129" i="35" s="1"/>
  <c r="I129" i="35"/>
  <c r="J129" i="35" s="1"/>
  <c r="K131" i="35"/>
  <c r="L131" i="35" s="1"/>
  <c r="I131" i="35"/>
  <c r="J131" i="35" s="1"/>
  <c r="K136" i="35"/>
  <c r="L136" i="35" s="1"/>
  <c r="I136" i="35"/>
  <c r="J136" i="35" s="1"/>
  <c r="K130" i="35"/>
  <c r="L130" i="35" s="1"/>
  <c r="I130" i="35"/>
  <c r="J130" i="35" s="1"/>
  <c r="G100" i="25"/>
  <c r="H100" i="25" s="1"/>
  <c r="G101" i="25"/>
  <c r="H101" i="25" s="1"/>
  <c r="C423" i="30"/>
  <c r="C424" i="30" s="1"/>
  <c r="C515" i="30" s="1"/>
  <c r="B411" i="30"/>
  <c r="B518" i="30"/>
  <c r="F518" i="30" s="1"/>
  <c r="C426" i="30"/>
  <c r="C517" i="30" s="1"/>
  <c r="C477" i="30"/>
  <c r="C469" i="30"/>
  <c r="D186" i="30"/>
  <c r="C120" i="30"/>
  <c r="C462" i="30" s="1"/>
  <c r="D168" i="30"/>
  <c r="G168" i="30" s="1"/>
  <c r="H168" i="30" s="1"/>
  <c r="D185" i="30"/>
  <c r="D167" i="30"/>
  <c r="G167" i="30" s="1"/>
  <c r="H167" i="30" s="1"/>
  <c r="D187" i="30"/>
  <c r="G187" i="30" s="1"/>
  <c r="H187" i="30" s="1"/>
  <c r="C118" i="30"/>
  <c r="C234" i="30"/>
  <c r="D234" i="30" s="1"/>
  <c r="B280" i="30"/>
  <c r="B342" i="30"/>
  <c r="D202" i="25"/>
  <c r="B324" i="25" s="1"/>
  <c r="B380" i="25"/>
  <c r="B365" i="25"/>
  <c r="B381" i="25"/>
  <c r="B366" i="25"/>
  <c r="C571" i="56" l="1"/>
  <c r="C579" i="56" s="1"/>
  <c r="J109" i="2"/>
  <c r="G95" i="2"/>
  <c r="D373" i="37"/>
  <c r="B465" i="37"/>
  <c r="E465" i="37" s="1"/>
  <c r="C594" i="56"/>
  <c r="C595" i="56" s="1"/>
  <c r="C648" i="56"/>
  <c r="C580" i="56"/>
  <c r="C630" i="56"/>
  <c r="C653" i="56"/>
  <c r="C654" i="56" s="1"/>
  <c r="C656" i="56" s="1"/>
  <c r="B662" i="56" s="1"/>
  <c r="I617" i="56"/>
  <c r="B666" i="56"/>
  <c r="B664" i="56"/>
  <c r="I613" i="56"/>
  <c r="I604" i="56"/>
  <c r="B661" i="56"/>
  <c r="C168" i="46"/>
  <c r="C169" i="46" s="1"/>
  <c r="I615" i="56"/>
  <c r="I608" i="56"/>
  <c r="B663" i="56"/>
  <c r="C396" i="38"/>
  <c r="C397" i="38" s="1"/>
  <c r="D225" i="42"/>
  <c r="G225" i="42" s="1"/>
  <c r="H225" i="42" s="1"/>
  <c r="D211" i="42"/>
  <c r="G211" i="42" s="1"/>
  <c r="H211" i="42" s="1"/>
  <c r="D216" i="42"/>
  <c r="G216" i="42" s="1"/>
  <c r="H216" i="42" s="1"/>
  <c r="C185" i="46"/>
  <c r="C186" i="46" s="1"/>
  <c r="C187" i="46" s="1"/>
  <c r="C278" i="46"/>
  <c r="C279" i="46" s="1"/>
  <c r="C280" i="46" s="1"/>
  <c r="D176" i="40"/>
  <c r="G176" i="40" s="1"/>
  <c r="H176" i="40" s="1"/>
  <c r="C278" i="38"/>
  <c r="C279" i="38" s="1"/>
  <c r="C280" i="38" s="1"/>
  <c r="C192" i="46"/>
  <c r="C193" i="46" s="1"/>
  <c r="C194" i="46" s="1"/>
  <c r="C258" i="46"/>
  <c r="C361" i="46"/>
  <c r="C362" i="46" s="1"/>
  <c r="C364" i="46" s="1"/>
  <c r="C271" i="38"/>
  <c r="C272" i="38" s="1"/>
  <c r="C273" i="38" s="1"/>
  <c r="E304" i="38" s="1"/>
  <c r="G304" i="38" s="1"/>
  <c r="H304" i="38" s="1"/>
  <c r="C176" i="46"/>
  <c r="C247" i="46"/>
  <c r="C248" i="46" s="1"/>
  <c r="C174" i="46"/>
  <c r="C175" i="46" s="1"/>
  <c r="C233" i="46"/>
  <c r="B309" i="46" s="1"/>
  <c r="C388" i="46"/>
  <c r="C389" i="46" s="1"/>
  <c r="C176" i="38"/>
  <c r="C195" i="46"/>
  <c r="C354" i="46"/>
  <c r="C355" i="46" s="1"/>
  <c r="C356" i="46" s="1"/>
  <c r="C188" i="46"/>
  <c r="C189" i="46" s="1"/>
  <c r="C239" i="46"/>
  <c r="C259" i="46" s="1"/>
  <c r="C329" i="46"/>
  <c r="C330" i="46" s="1"/>
  <c r="C271" i="46"/>
  <c r="C272" i="46" s="1"/>
  <c r="C273" i="46" s="1"/>
  <c r="E310" i="46" s="1"/>
  <c r="G310" i="46" s="1"/>
  <c r="H310" i="46" s="1"/>
  <c r="C396" i="46"/>
  <c r="C397" i="46" s="1"/>
  <c r="D224" i="42"/>
  <c r="G224" i="42" s="1"/>
  <c r="H224" i="42" s="1"/>
  <c r="C269" i="42"/>
  <c r="C271" i="42" s="1"/>
  <c r="C273" i="42" s="1"/>
  <c r="C275" i="42" s="1"/>
  <c r="C284" i="42" s="1"/>
  <c r="D215" i="42"/>
  <c r="G215" i="42" s="1"/>
  <c r="H215" i="42" s="1"/>
  <c r="D218" i="42"/>
  <c r="G218" i="42" s="1"/>
  <c r="H218" i="42" s="1"/>
  <c r="D220" i="42"/>
  <c r="G220" i="42" s="1"/>
  <c r="H220" i="42" s="1"/>
  <c r="D212" i="42"/>
  <c r="G212" i="42" s="1"/>
  <c r="H212" i="42" s="1"/>
  <c r="D213" i="42"/>
  <c r="G213" i="42" s="1"/>
  <c r="H213" i="42" s="1"/>
  <c r="D219" i="42"/>
  <c r="G219" i="42" s="1"/>
  <c r="H219" i="42" s="1"/>
  <c r="D226" i="42"/>
  <c r="G226" i="42" s="1"/>
  <c r="H226" i="42" s="1"/>
  <c r="D228" i="42"/>
  <c r="G228" i="42" s="1"/>
  <c r="H228" i="42" s="1"/>
  <c r="D231" i="42"/>
  <c r="G231" i="42" s="1"/>
  <c r="H231" i="42" s="1"/>
  <c r="D221" i="42"/>
  <c r="G221" i="42" s="1"/>
  <c r="H221" i="42" s="1"/>
  <c r="D227" i="42"/>
  <c r="G227" i="42" s="1"/>
  <c r="H227" i="42" s="1"/>
  <c r="D230" i="42"/>
  <c r="G230" i="42" s="1"/>
  <c r="H230" i="42" s="1"/>
  <c r="D217" i="42"/>
  <c r="G217" i="42" s="1"/>
  <c r="H217" i="42" s="1"/>
  <c r="C199" i="42"/>
  <c r="D229" i="42"/>
  <c r="G229" i="42" s="1"/>
  <c r="H229" i="42" s="1"/>
  <c r="C204" i="42"/>
  <c r="D223" i="42"/>
  <c r="G223" i="42" s="1"/>
  <c r="H223" i="42" s="1"/>
  <c r="D175" i="40"/>
  <c r="G175" i="40" s="1"/>
  <c r="H175" i="40" s="1"/>
  <c r="D190" i="40"/>
  <c r="G190" i="40" s="1"/>
  <c r="H190" i="40" s="1"/>
  <c r="C457" i="40"/>
  <c r="D182" i="40"/>
  <c r="G182" i="40" s="1"/>
  <c r="H182" i="40" s="1"/>
  <c r="D181" i="40"/>
  <c r="G181" i="40" s="1"/>
  <c r="H181" i="40" s="1"/>
  <c r="D178" i="40"/>
  <c r="G178" i="40" s="1"/>
  <c r="H178" i="40" s="1"/>
  <c r="D185" i="40"/>
  <c r="G185" i="40" s="1"/>
  <c r="H185" i="40" s="1"/>
  <c r="D179" i="40"/>
  <c r="G179" i="40" s="1"/>
  <c r="H179" i="40" s="1"/>
  <c r="D171" i="40"/>
  <c r="G171" i="40" s="1"/>
  <c r="H171" i="40" s="1"/>
  <c r="D170" i="40"/>
  <c r="G170" i="40" s="1"/>
  <c r="H170" i="40" s="1"/>
  <c r="D184" i="40"/>
  <c r="G184" i="40" s="1"/>
  <c r="H184" i="40" s="1"/>
  <c r="C121" i="40"/>
  <c r="C443" i="40" s="1"/>
  <c r="D187" i="40"/>
  <c r="G187" i="40" s="1"/>
  <c r="H187" i="40" s="1"/>
  <c r="D186" i="40"/>
  <c r="G186" i="40" s="1"/>
  <c r="H186" i="40" s="1"/>
  <c r="D174" i="40"/>
  <c r="G174" i="40" s="1"/>
  <c r="H174" i="40" s="1"/>
  <c r="D173" i="40"/>
  <c r="G173" i="40" s="1"/>
  <c r="H173" i="40" s="1"/>
  <c r="D188" i="40"/>
  <c r="G188" i="40" s="1"/>
  <c r="H188" i="40" s="1"/>
  <c r="C123" i="40"/>
  <c r="C135" i="40" s="1"/>
  <c r="C136" i="40" s="1"/>
  <c r="D172" i="40"/>
  <c r="G172" i="40" s="1"/>
  <c r="H172" i="40" s="1"/>
  <c r="D189" i="40"/>
  <c r="G189" i="40" s="1"/>
  <c r="H189" i="40" s="1"/>
  <c r="D180" i="40"/>
  <c r="G180" i="40" s="1"/>
  <c r="H180" i="40" s="1"/>
  <c r="D183" i="40"/>
  <c r="G183" i="40" s="1"/>
  <c r="H183" i="40" s="1"/>
  <c r="D177" i="40"/>
  <c r="G177" i="40" s="1"/>
  <c r="H177" i="40" s="1"/>
  <c r="C258" i="38"/>
  <c r="C340" i="38"/>
  <c r="C341" i="38" s="1"/>
  <c r="C329" i="38"/>
  <c r="C330" i="38" s="1"/>
  <c r="C354" i="38"/>
  <c r="C355" i="38" s="1"/>
  <c r="C356" i="38" s="1"/>
  <c r="C361" i="38"/>
  <c r="C362" i="38" s="1"/>
  <c r="C364" i="38" s="1"/>
  <c r="C239" i="38"/>
  <c r="C259" i="38" s="1"/>
  <c r="C174" i="38"/>
  <c r="C175" i="38" s="1"/>
  <c r="C177" i="38" s="1"/>
  <c r="C168" i="38"/>
  <c r="C169" i="38" s="1"/>
  <c r="C195" i="38"/>
  <c r="C196" i="38" s="1"/>
  <c r="C185" i="38"/>
  <c r="C186" i="38" s="1"/>
  <c r="C187" i="38" s="1"/>
  <c r="C188" i="38"/>
  <c r="D373" i="25"/>
  <c r="B452" i="25"/>
  <c r="E452" i="25" s="1"/>
  <c r="D371" i="25"/>
  <c r="B450" i="25"/>
  <c r="E450" i="25" s="1"/>
  <c r="D372" i="25"/>
  <c r="B451" i="25"/>
  <c r="E451" i="25" s="1"/>
  <c r="C264" i="37"/>
  <c r="C265" i="37" s="1"/>
  <c r="C497" i="37"/>
  <c r="C176" i="37"/>
  <c r="B229" i="37" s="1"/>
  <c r="C131" i="37"/>
  <c r="C272" i="37"/>
  <c r="C273" i="37" s="1"/>
  <c r="C128" i="37"/>
  <c r="C129" i="37" s="1"/>
  <c r="C130" i="37" s="1"/>
  <c r="C138" i="37"/>
  <c r="C135" i="37"/>
  <c r="C136" i="37" s="1"/>
  <c r="C137" i="37" s="1"/>
  <c r="C182" i="37"/>
  <c r="C198" i="37"/>
  <c r="C199" i="37" s="1"/>
  <c r="C200" i="37" s="1"/>
  <c r="C191" i="37"/>
  <c r="C192" i="37" s="1"/>
  <c r="C193" i="37" s="1"/>
  <c r="E230" i="37" s="1"/>
  <c r="G230" i="37" s="1"/>
  <c r="H230" i="37" s="1"/>
  <c r="C197" i="48"/>
  <c r="C287" i="45"/>
  <c r="C623" i="46"/>
  <c r="B501" i="46"/>
  <c r="C388" i="38"/>
  <c r="C389" i="38" s="1"/>
  <c r="C233" i="38"/>
  <c r="B499" i="46"/>
  <c r="D499" i="46" s="1"/>
  <c r="C240" i="44"/>
  <c r="F296" i="44" s="1"/>
  <c r="B599" i="45"/>
  <c r="F599" i="45" s="1"/>
  <c r="E502" i="45"/>
  <c r="C177" i="44"/>
  <c r="E514" i="45"/>
  <c r="B515" i="45"/>
  <c r="E512" i="45"/>
  <c r="B609" i="45"/>
  <c r="F609" i="45" s="1"/>
  <c r="C347" i="45"/>
  <c r="C348" i="45" s="1"/>
  <c r="C327" i="45"/>
  <c r="D327" i="45" s="1"/>
  <c r="D373" i="45" s="1"/>
  <c r="C284" i="45"/>
  <c r="C285" i="45" s="1"/>
  <c r="C333" i="45"/>
  <c r="C334" i="45" s="1"/>
  <c r="B373" i="45"/>
  <c r="C340" i="45"/>
  <c r="C341" i="45" s="1"/>
  <c r="C389" i="45"/>
  <c r="C390" i="45" s="1"/>
  <c r="C396" i="45"/>
  <c r="C397" i="45" s="1"/>
  <c r="C291" i="45"/>
  <c r="C292" i="45" s="1"/>
  <c r="G258" i="45"/>
  <c r="H258" i="45" s="1"/>
  <c r="E258" i="45"/>
  <c r="F258" i="45" s="1"/>
  <c r="C338" i="45"/>
  <c r="C387" i="45"/>
  <c r="C232" i="45"/>
  <c r="E232" i="45" s="1"/>
  <c r="F232" i="45" s="1"/>
  <c r="C228" i="45"/>
  <c r="E228" i="45" s="1"/>
  <c r="F228" i="45" s="1"/>
  <c r="C224" i="45"/>
  <c r="E224" i="45" s="1"/>
  <c r="F224" i="45" s="1"/>
  <c r="C220" i="45"/>
  <c r="E220" i="45" s="1"/>
  <c r="F220" i="45" s="1"/>
  <c r="C216" i="45"/>
  <c r="E216" i="45" s="1"/>
  <c r="F216" i="45" s="1"/>
  <c r="C282" i="45"/>
  <c r="C231" i="45"/>
  <c r="E231" i="45" s="1"/>
  <c r="F231" i="45" s="1"/>
  <c r="C227" i="45"/>
  <c r="E227" i="45" s="1"/>
  <c r="F227" i="45" s="1"/>
  <c r="C223" i="45"/>
  <c r="E223" i="45" s="1"/>
  <c r="F223" i="45" s="1"/>
  <c r="C219" i="45"/>
  <c r="E219" i="45" s="1"/>
  <c r="F219" i="45" s="1"/>
  <c r="C215" i="45"/>
  <c r="E215" i="45" s="1"/>
  <c r="F215" i="45" s="1"/>
  <c r="C234" i="45"/>
  <c r="E234" i="45" s="1"/>
  <c r="F234" i="45" s="1"/>
  <c r="C222" i="45"/>
  <c r="E222" i="45" s="1"/>
  <c r="F222" i="45" s="1"/>
  <c r="C214" i="45"/>
  <c r="E214" i="45" s="1"/>
  <c r="F214" i="45" s="1"/>
  <c r="C225" i="45"/>
  <c r="E225" i="45" s="1"/>
  <c r="F225" i="45" s="1"/>
  <c r="C217" i="45"/>
  <c r="E217" i="45" s="1"/>
  <c r="F217" i="45" s="1"/>
  <c r="C229" i="45"/>
  <c r="E229" i="45" s="1"/>
  <c r="F229" i="45" s="1"/>
  <c r="C218" i="45"/>
  <c r="E218" i="45" s="1"/>
  <c r="F218" i="45" s="1"/>
  <c r="C233" i="45"/>
  <c r="E233" i="45" s="1"/>
  <c r="F233" i="45" s="1"/>
  <c r="C221" i="45"/>
  <c r="E221" i="45" s="1"/>
  <c r="F221" i="45" s="1"/>
  <c r="C230" i="45"/>
  <c r="E230" i="45" s="1"/>
  <c r="F230" i="45" s="1"/>
  <c r="C203" i="45"/>
  <c r="C226" i="45"/>
  <c r="E226" i="45" s="1"/>
  <c r="F226" i="45" s="1"/>
  <c r="B608" i="45"/>
  <c r="F608" i="45" s="1"/>
  <c r="E511" i="45"/>
  <c r="B602" i="45"/>
  <c r="F602" i="45" s="1"/>
  <c r="E505" i="45"/>
  <c r="G259" i="45"/>
  <c r="H259" i="45" s="1"/>
  <c r="E259" i="45"/>
  <c r="F259" i="45" s="1"/>
  <c r="E507" i="45"/>
  <c r="B604" i="45"/>
  <c r="F604" i="45" s="1"/>
  <c r="C394" i="45"/>
  <c r="C208" i="45"/>
  <c r="C289" i="45"/>
  <c r="C345" i="45"/>
  <c r="E307" i="44"/>
  <c r="G307" i="44" s="1"/>
  <c r="H307" i="44" s="1"/>
  <c r="E303" i="44"/>
  <c r="G303" i="44" s="1"/>
  <c r="H303" i="44" s="1"/>
  <c r="E299" i="44"/>
  <c r="G299" i="44" s="1"/>
  <c r="H299" i="44" s="1"/>
  <c r="E295" i="44"/>
  <c r="G295" i="44" s="1"/>
  <c r="H295" i="44" s="1"/>
  <c r="E291" i="44"/>
  <c r="G291" i="44" s="1"/>
  <c r="H291" i="44" s="1"/>
  <c r="E306" i="44"/>
  <c r="G306" i="44" s="1"/>
  <c r="H306" i="44" s="1"/>
  <c r="E305" i="44"/>
  <c r="G305" i="44" s="1"/>
  <c r="H305" i="44" s="1"/>
  <c r="E304" i="44"/>
  <c r="G304" i="44" s="1"/>
  <c r="H304" i="44" s="1"/>
  <c r="E290" i="44"/>
  <c r="G290" i="44" s="1"/>
  <c r="H290" i="44" s="1"/>
  <c r="E289" i="44"/>
  <c r="G289" i="44" s="1"/>
  <c r="H289" i="44" s="1"/>
  <c r="E310" i="44"/>
  <c r="G310" i="44" s="1"/>
  <c r="H310" i="44" s="1"/>
  <c r="E308" i="44"/>
  <c r="G308" i="44" s="1"/>
  <c r="H308" i="44" s="1"/>
  <c r="E297" i="44"/>
  <c r="G297" i="44" s="1"/>
  <c r="H297" i="44" s="1"/>
  <c r="E302" i="44"/>
  <c r="G302" i="44" s="1"/>
  <c r="H302" i="44" s="1"/>
  <c r="E300" i="44"/>
  <c r="G300" i="44" s="1"/>
  <c r="H300" i="44" s="1"/>
  <c r="E293" i="44"/>
  <c r="G293" i="44" s="1"/>
  <c r="H293" i="44" s="1"/>
  <c r="E309" i="44"/>
  <c r="E298" i="44"/>
  <c r="G298" i="44" s="1"/>
  <c r="H298" i="44" s="1"/>
  <c r="E296" i="44"/>
  <c r="G296" i="44" s="1"/>
  <c r="H296" i="44" s="1"/>
  <c r="E301" i="44"/>
  <c r="G301" i="44" s="1"/>
  <c r="H301" i="44" s="1"/>
  <c r="E292" i="44"/>
  <c r="G292" i="44" s="1"/>
  <c r="H292" i="44" s="1"/>
  <c r="E294" i="44"/>
  <c r="G294" i="44" s="1"/>
  <c r="H294" i="44" s="1"/>
  <c r="D233" i="44"/>
  <c r="B309" i="44"/>
  <c r="C189" i="44"/>
  <c r="C196" i="44"/>
  <c r="B420" i="44"/>
  <c r="D488" i="44"/>
  <c r="B580" i="44"/>
  <c r="E580" i="44" s="1"/>
  <c r="D503" i="44"/>
  <c r="B593" i="44"/>
  <c r="E593" i="44" s="1"/>
  <c r="B501" i="44"/>
  <c r="C177" i="39"/>
  <c r="B594" i="42"/>
  <c r="F594" i="42" s="1"/>
  <c r="E501" i="42"/>
  <c r="C549" i="42"/>
  <c r="C581" i="42"/>
  <c r="C202" i="42"/>
  <c r="C203" i="42" s="1"/>
  <c r="E507" i="42"/>
  <c r="B600" i="42"/>
  <c r="F600" i="42" s="1"/>
  <c r="E504" i="42"/>
  <c r="B597" i="42"/>
  <c r="F597" i="42" s="1"/>
  <c r="E499" i="42"/>
  <c r="B592" i="42"/>
  <c r="F592" i="42" s="1"/>
  <c r="G255" i="42"/>
  <c r="H255" i="42" s="1"/>
  <c r="C573" i="42"/>
  <c r="C256" i="42"/>
  <c r="E256" i="42" s="1"/>
  <c r="F256" i="42" s="1"/>
  <c r="C252" i="42"/>
  <c r="E252" i="42" s="1"/>
  <c r="F252" i="42" s="1"/>
  <c r="C248" i="42"/>
  <c r="E248" i="42" s="1"/>
  <c r="F248" i="42" s="1"/>
  <c r="C244" i="42"/>
  <c r="E244" i="42" s="1"/>
  <c r="F244" i="42" s="1"/>
  <c r="C257" i="42"/>
  <c r="E257" i="42" s="1"/>
  <c r="F257" i="42" s="1"/>
  <c r="C253" i="42"/>
  <c r="E253" i="42" s="1"/>
  <c r="F253" i="42" s="1"/>
  <c r="C249" i="42"/>
  <c r="E249" i="42" s="1"/>
  <c r="F249" i="42" s="1"/>
  <c r="C245" i="42"/>
  <c r="E245" i="42" s="1"/>
  <c r="F245" i="42" s="1"/>
  <c r="C241" i="42"/>
  <c r="E241" i="42" s="1"/>
  <c r="F241" i="42" s="1"/>
  <c r="C237" i="42"/>
  <c r="E237" i="42" s="1"/>
  <c r="F237" i="42" s="1"/>
  <c r="C254" i="42"/>
  <c r="E254" i="42" s="1"/>
  <c r="F254" i="42" s="1"/>
  <c r="C246" i="42"/>
  <c r="E246" i="42" s="1"/>
  <c r="F246" i="42" s="1"/>
  <c r="C238" i="42"/>
  <c r="E238" i="42" s="1"/>
  <c r="F238" i="42" s="1"/>
  <c r="C197" i="42"/>
  <c r="C198" i="42" s="1"/>
  <c r="C255" i="42"/>
  <c r="E255" i="42" s="1"/>
  <c r="F255" i="42" s="1"/>
  <c r="C247" i="42"/>
  <c r="E247" i="42" s="1"/>
  <c r="F247" i="42" s="1"/>
  <c r="C243" i="42"/>
  <c r="E243" i="42" s="1"/>
  <c r="F243" i="42" s="1"/>
  <c r="C239" i="42"/>
  <c r="E239" i="42" s="1"/>
  <c r="F239" i="42" s="1"/>
  <c r="C543" i="42"/>
  <c r="C242" i="42"/>
  <c r="E242" i="42" s="1"/>
  <c r="F242" i="42" s="1"/>
  <c r="C240" i="42"/>
  <c r="E240" i="42" s="1"/>
  <c r="F240" i="42" s="1"/>
  <c r="C251" i="42"/>
  <c r="E251" i="42" s="1"/>
  <c r="F251" i="42" s="1"/>
  <c r="C250" i="42"/>
  <c r="E250" i="42" s="1"/>
  <c r="F250" i="42" s="1"/>
  <c r="B596" i="42"/>
  <c r="F596" i="42" s="1"/>
  <c r="E503" i="42"/>
  <c r="B440" i="42"/>
  <c r="B595" i="42"/>
  <c r="F595" i="42" s="1"/>
  <c r="E502" i="42"/>
  <c r="E500" i="42"/>
  <c r="B593" i="42"/>
  <c r="F593" i="42" s="1"/>
  <c r="G256" i="42"/>
  <c r="H256" i="42" s="1"/>
  <c r="B599" i="42"/>
  <c r="F599" i="42" s="1"/>
  <c r="E506" i="42"/>
  <c r="E508" i="42"/>
  <c r="B601" i="42"/>
  <c r="F601" i="42" s="1"/>
  <c r="B441" i="42"/>
  <c r="B598" i="42"/>
  <c r="F598" i="42" s="1"/>
  <c r="E505" i="42"/>
  <c r="B591" i="42"/>
  <c r="F591" i="42" s="1"/>
  <c r="E498" i="42"/>
  <c r="B605" i="42"/>
  <c r="F605" i="42" s="1"/>
  <c r="E514" i="42"/>
  <c r="G162" i="40"/>
  <c r="H162" i="40" s="1"/>
  <c r="B351" i="30"/>
  <c r="B421" i="30" s="1"/>
  <c r="C273" i="30"/>
  <c r="C276" i="30"/>
  <c r="B281" i="30"/>
  <c r="K97" i="30"/>
  <c r="L97" i="30" s="1"/>
  <c r="D229" i="30"/>
  <c r="D274" i="30" s="1"/>
  <c r="B369" i="30" s="1"/>
  <c r="K89" i="30"/>
  <c r="L89" i="30" s="1"/>
  <c r="D230" i="30"/>
  <c r="D275" i="30" s="1"/>
  <c r="B370" i="30" s="1"/>
  <c r="I86" i="30"/>
  <c r="J86" i="30" s="1"/>
  <c r="K81" i="30"/>
  <c r="L81" i="30" s="1"/>
  <c r="G185" i="30"/>
  <c r="H185" i="30" s="1"/>
  <c r="I95" i="30"/>
  <c r="J95" i="30" s="1"/>
  <c r="K88" i="30"/>
  <c r="L88" i="30" s="1"/>
  <c r="C456" i="30"/>
  <c r="C172" i="30"/>
  <c r="E172" i="30" s="1"/>
  <c r="F172" i="30" s="1"/>
  <c r="C176" i="30"/>
  <c r="E176" i="30" s="1"/>
  <c r="F176" i="30" s="1"/>
  <c r="C180" i="30"/>
  <c r="E180" i="30" s="1"/>
  <c r="F180" i="30" s="1"/>
  <c r="C169" i="30"/>
  <c r="E169" i="30" s="1"/>
  <c r="F169" i="30" s="1"/>
  <c r="C173" i="30"/>
  <c r="E173" i="30" s="1"/>
  <c r="F173" i="30" s="1"/>
  <c r="C177" i="30"/>
  <c r="E177" i="30" s="1"/>
  <c r="F177" i="30" s="1"/>
  <c r="C181" i="30"/>
  <c r="E181" i="30" s="1"/>
  <c r="F181" i="30" s="1"/>
  <c r="C170" i="30"/>
  <c r="E170" i="30" s="1"/>
  <c r="F170" i="30" s="1"/>
  <c r="C174" i="30"/>
  <c r="E174" i="30" s="1"/>
  <c r="F174" i="30" s="1"/>
  <c r="C178" i="30"/>
  <c r="E178" i="30" s="1"/>
  <c r="F178" i="30" s="1"/>
  <c r="C182" i="30"/>
  <c r="E182" i="30" s="1"/>
  <c r="F182" i="30" s="1"/>
  <c r="C171" i="30"/>
  <c r="E171" i="30" s="1"/>
  <c r="F171" i="30" s="1"/>
  <c r="C175" i="30"/>
  <c r="E175" i="30" s="1"/>
  <c r="F175" i="30" s="1"/>
  <c r="C179" i="30"/>
  <c r="E179" i="30" s="1"/>
  <c r="F179" i="30" s="1"/>
  <c r="C183" i="30"/>
  <c r="E183" i="30" s="1"/>
  <c r="F183" i="30" s="1"/>
  <c r="I91" i="30"/>
  <c r="J91" i="30" s="1"/>
  <c r="I87" i="30"/>
  <c r="J87" i="30" s="1"/>
  <c r="K83" i="30"/>
  <c r="L83" i="30" s="1"/>
  <c r="K94" i="30"/>
  <c r="L94" i="30" s="1"/>
  <c r="K96" i="30"/>
  <c r="L96" i="30" s="1"/>
  <c r="D145" i="30"/>
  <c r="G145" i="30" s="1"/>
  <c r="H145" i="30" s="1"/>
  <c r="D149" i="30"/>
  <c r="G149" i="30" s="1"/>
  <c r="H149" i="30" s="1"/>
  <c r="D153" i="30"/>
  <c r="G153" i="30" s="1"/>
  <c r="H153" i="30" s="1"/>
  <c r="D157" i="30"/>
  <c r="G157" i="30" s="1"/>
  <c r="H157" i="30" s="1"/>
  <c r="D144" i="30"/>
  <c r="G144" i="30" s="1"/>
  <c r="H144" i="30" s="1"/>
  <c r="D152" i="30"/>
  <c r="G152" i="30" s="1"/>
  <c r="H152" i="30" s="1"/>
  <c r="D146" i="30"/>
  <c r="G146" i="30" s="1"/>
  <c r="H146" i="30" s="1"/>
  <c r="D150" i="30"/>
  <c r="G150" i="30" s="1"/>
  <c r="H150" i="30" s="1"/>
  <c r="D154" i="30"/>
  <c r="G154" i="30" s="1"/>
  <c r="H154" i="30" s="1"/>
  <c r="D158" i="30"/>
  <c r="G158" i="30" s="1"/>
  <c r="H158" i="30" s="1"/>
  <c r="D148" i="30"/>
  <c r="G148" i="30" s="1"/>
  <c r="H148" i="30" s="1"/>
  <c r="D143" i="30"/>
  <c r="G143" i="30" s="1"/>
  <c r="H143" i="30" s="1"/>
  <c r="D147" i="30"/>
  <c r="G147" i="30" s="1"/>
  <c r="H147" i="30" s="1"/>
  <c r="D151" i="30"/>
  <c r="G151" i="30" s="1"/>
  <c r="H151" i="30" s="1"/>
  <c r="D155" i="30"/>
  <c r="G155" i="30" s="1"/>
  <c r="H155" i="30" s="1"/>
  <c r="D156" i="30"/>
  <c r="G156" i="30" s="1"/>
  <c r="H156" i="30" s="1"/>
  <c r="D160" i="30"/>
  <c r="G160" i="30" s="1"/>
  <c r="H160" i="30" s="1"/>
  <c r="K80" i="30"/>
  <c r="L80" i="30" s="1"/>
  <c r="I93" i="30"/>
  <c r="J93" i="30" s="1"/>
  <c r="K84" i="30"/>
  <c r="L84" i="30" s="1"/>
  <c r="I84" i="30"/>
  <c r="J84" i="30" s="1"/>
  <c r="D142" i="30"/>
  <c r="G142" i="30" s="1"/>
  <c r="H142" i="30" s="1"/>
  <c r="C199" i="30"/>
  <c r="I79" i="30"/>
  <c r="J79" i="30" s="1"/>
  <c r="K85" i="30"/>
  <c r="L85" i="30" s="1"/>
  <c r="I85" i="30"/>
  <c r="J85" i="30" s="1"/>
  <c r="D161" i="30"/>
  <c r="G161" i="30" s="1"/>
  <c r="H161" i="30" s="1"/>
  <c r="D159" i="30"/>
  <c r="G159" i="30" s="1"/>
  <c r="H159" i="30" s="1"/>
  <c r="K98" i="30"/>
  <c r="L98" i="30" s="1"/>
  <c r="K99" i="30"/>
  <c r="L99" i="30" s="1"/>
  <c r="C129" i="30"/>
  <c r="D141" i="30"/>
  <c r="G141" i="30" s="1"/>
  <c r="H141" i="30" s="1"/>
  <c r="B502" i="40"/>
  <c r="F502" i="40" s="1"/>
  <c r="E405" i="40"/>
  <c r="E408" i="40"/>
  <c r="B505" i="40"/>
  <c r="F505" i="40" s="1"/>
  <c r="B500" i="40"/>
  <c r="F500" i="40" s="1"/>
  <c r="E403" i="40"/>
  <c r="B410" i="40"/>
  <c r="E410" i="40" s="1"/>
  <c r="B507" i="40"/>
  <c r="F507" i="40" s="1"/>
  <c r="C240" i="39"/>
  <c r="F307" i="39" s="1"/>
  <c r="C343" i="36"/>
  <c r="C344" i="36" s="1"/>
  <c r="B398" i="40"/>
  <c r="C450" i="40"/>
  <c r="C204" i="40"/>
  <c r="C206" i="40" s="1"/>
  <c r="C208" i="40" s="1"/>
  <c r="C245" i="40"/>
  <c r="E414" i="40"/>
  <c r="B509" i="40"/>
  <c r="F509" i="40" s="1"/>
  <c r="C189" i="39"/>
  <c r="D501" i="39"/>
  <c r="B513" i="39"/>
  <c r="B578" i="39"/>
  <c r="E578" i="39" s="1"/>
  <c r="B427" i="39"/>
  <c r="E310" i="39"/>
  <c r="G310" i="39" s="1"/>
  <c r="H310" i="39" s="1"/>
  <c r="E306" i="39"/>
  <c r="G306" i="39" s="1"/>
  <c r="H306" i="39" s="1"/>
  <c r="E302" i="39"/>
  <c r="G302" i="39" s="1"/>
  <c r="H302" i="39" s="1"/>
  <c r="E298" i="39"/>
  <c r="G298" i="39" s="1"/>
  <c r="H298" i="39" s="1"/>
  <c r="E294" i="39"/>
  <c r="G294" i="39" s="1"/>
  <c r="H294" i="39" s="1"/>
  <c r="E290" i="39"/>
  <c r="G290" i="39" s="1"/>
  <c r="H290" i="39" s="1"/>
  <c r="E309" i="39"/>
  <c r="E308" i="39"/>
  <c r="G308" i="39" s="1"/>
  <c r="H308" i="39" s="1"/>
  <c r="E307" i="39"/>
  <c r="G307" i="39" s="1"/>
  <c r="H307" i="39" s="1"/>
  <c r="E293" i="39"/>
  <c r="G293" i="39" s="1"/>
  <c r="H293" i="39" s="1"/>
  <c r="E292" i="39"/>
  <c r="G292" i="39" s="1"/>
  <c r="H292" i="39" s="1"/>
  <c r="E291" i="39"/>
  <c r="G291" i="39" s="1"/>
  <c r="H291" i="39" s="1"/>
  <c r="E305" i="39"/>
  <c r="G305" i="39" s="1"/>
  <c r="H305" i="39" s="1"/>
  <c r="E304" i="39"/>
  <c r="G304" i="39" s="1"/>
  <c r="H304" i="39" s="1"/>
  <c r="E303" i="39"/>
  <c r="G303" i="39" s="1"/>
  <c r="H303" i="39" s="1"/>
  <c r="E289" i="39"/>
  <c r="G289" i="39" s="1"/>
  <c r="H289" i="39" s="1"/>
  <c r="E300" i="39"/>
  <c r="G300" i="39" s="1"/>
  <c r="H300" i="39" s="1"/>
  <c r="E295" i="39"/>
  <c r="G295" i="39" s="1"/>
  <c r="H295" i="39" s="1"/>
  <c r="E297" i="39"/>
  <c r="G297" i="39" s="1"/>
  <c r="H297" i="39" s="1"/>
  <c r="E301" i="39"/>
  <c r="G301" i="39" s="1"/>
  <c r="H301" i="39" s="1"/>
  <c r="E296" i="39"/>
  <c r="G296" i="39" s="1"/>
  <c r="H296" i="39" s="1"/>
  <c r="E299" i="39"/>
  <c r="G299" i="39" s="1"/>
  <c r="H299" i="39" s="1"/>
  <c r="D233" i="39"/>
  <c r="B309" i="39"/>
  <c r="C196" i="39"/>
  <c r="D489" i="39"/>
  <c r="B568" i="39"/>
  <c r="E568" i="39" s="1"/>
  <c r="C610" i="39"/>
  <c r="B567" i="39"/>
  <c r="E567" i="39" s="1"/>
  <c r="D488" i="39"/>
  <c r="B426" i="39"/>
  <c r="B427" i="38"/>
  <c r="B420" i="38"/>
  <c r="B426" i="38"/>
  <c r="C623" i="38"/>
  <c r="B501" i="38"/>
  <c r="C116" i="25"/>
  <c r="C118" i="25" s="1"/>
  <c r="C120" i="25" s="1"/>
  <c r="B290" i="25"/>
  <c r="B370" i="25" s="1"/>
  <c r="K82" i="25"/>
  <c r="L82" i="25" s="1"/>
  <c r="I98" i="25"/>
  <c r="J98" i="25" s="1"/>
  <c r="C202" i="25"/>
  <c r="B297" i="25" s="1"/>
  <c r="C203" i="25"/>
  <c r="B298" i="25" s="1"/>
  <c r="C162" i="25"/>
  <c r="I90" i="25"/>
  <c r="J90" i="25" s="1"/>
  <c r="I94" i="25"/>
  <c r="J94" i="25" s="1"/>
  <c r="I102" i="25"/>
  <c r="J102" i="25" s="1"/>
  <c r="K99" i="25"/>
  <c r="L99" i="25" s="1"/>
  <c r="I87" i="25"/>
  <c r="J87" i="25" s="1"/>
  <c r="K89" i="25"/>
  <c r="L89" i="25" s="1"/>
  <c r="I89" i="25"/>
  <c r="J89" i="25" s="1"/>
  <c r="K86" i="25"/>
  <c r="L86" i="25" s="1"/>
  <c r="I86" i="25"/>
  <c r="J86" i="25" s="1"/>
  <c r="K100" i="25"/>
  <c r="L100" i="25" s="1"/>
  <c r="K85" i="25"/>
  <c r="L85" i="25" s="1"/>
  <c r="I85" i="25"/>
  <c r="J85" i="25" s="1"/>
  <c r="I91" i="25"/>
  <c r="J91" i="25" s="1"/>
  <c r="K91" i="25"/>
  <c r="L91" i="25" s="1"/>
  <c r="K83" i="25"/>
  <c r="L83" i="25" s="1"/>
  <c r="I83" i="25"/>
  <c r="J83" i="25" s="1"/>
  <c r="K97" i="25"/>
  <c r="L97" i="25" s="1"/>
  <c r="K96" i="25"/>
  <c r="L96" i="25" s="1"/>
  <c r="I96" i="25"/>
  <c r="J96" i="25" s="1"/>
  <c r="K93" i="25"/>
  <c r="L93" i="25" s="1"/>
  <c r="I93" i="25"/>
  <c r="J93" i="25" s="1"/>
  <c r="I92" i="25"/>
  <c r="J92" i="25" s="1"/>
  <c r="I95" i="25"/>
  <c r="J95" i="25" s="1"/>
  <c r="I101" i="25"/>
  <c r="J101" i="25" s="1"/>
  <c r="K101" i="25"/>
  <c r="L101" i="25" s="1"/>
  <c r="K88" i="25"/>
  <c r="L88" i="25" s="1"/>
  <c r="I88" i="25"/>
  <c r="J88" i="25" s="1"/>
  <c r="I84" i="25"/>
  <c r="J84" i="25" s="1"/>
  <c r="K84" i="25"/>
  <c r="L84" i="25" s="1"/>
  <c r="B296" i="37"/>
  <c r="D379" i="37"/>
  <c r="B469" i="37"/>
  <c r="E469" i="37" s="1"/>
  <c r="B377" i="37"/>
  <c r="C331" i="36"/>
  <c r="C332" i="36" s="1"/>
  <c r="B425" i="36"/>
  <c r="F310" i="36"/>
  <c r="F306" i="36"/>
  <c r="K306" i="36" s="1"/>
  <c r="L306" i="36" s="1"/>
  <c r="F302" i="36"/>
  <c r="F298" i="36"/>
  <c r="F294" i="36"/>
  <c r="F290" i="36"/>
  <c r="C274" i="36"/>
  <c r="C275" i="36" s="1"/>
  <c r="C251" i="36"/>
  <c r="C252" i="36" s="1"/>
  <c r="C319" i="36"/>
  <c r="F307" i="36"/>
  <c r="K307" i="36" s="1"/>
  <c r="L307" i="36" s="1"/>
  <c r="F303" i="36"/>
  <c r="F299" i="36"/>
  <c r="F295" i="36"/>
  <c r="F291" i="36"/>
  <c r="C281" i="36"/>
  <c r="C282" i="36" s="1"/>
  <c r="C262" i="36"/>
  <c r="F304" i="36"/>
  <c r="F296" i="36"/>
  <c r="F309" i="36"/>
  <c r="F301" i="36"/>
  <c r="K301" i="36" s="1"/>
  <c r="L301" i="36" s="1"/>
  <c r="F293" i="36"/>
  <c r="F297" i="36"/>
  <c r="F300" i="36"/>
  <c r="F308" i="36"/>
  <c r="K308" i="36" s="1"/>
  <c r="L308" i="36" s="1"/>
  <c r="F292" i="36"/>
  <c r="F305" i="36"/>
  <c r="F289" i="36"/>
  <c r="B427" i="36"/>
  <c r="D309" i="36"/>
  <c r="C309" i="36" s="1"/>
  <c r="C260" i="36"/>
  <c r="C261" i="36" s="1"/>
  <c r="B420" i="36"/>
  <c r="G309" i="36"/>
  <c r="H309" i="36" s="1"/>
  <c r="B426" i="36"/>
  <c r="B501" i="36"/>
  <c r="B426" i="35"/>
  <c r="B501" i="35"/>
  <c r="B425" i="35"/>
  <c r="B427" i="35"/>
  <c r="B420" i="35"/>
  <c r="C329" i="35"/>
  <c r="C330" i="35" s="1"/>
  <c r="C340" i="35"/>
  <c r="C341" i="35" s="1"/>
  <c r="C396" i="35"/>
  <c r="C397" i="35" s="1"/>
  <c r="C388" i="35"/>
  <c r="C389" i="35" s="1"/>
  <c r="C361" i="35"/>
  <c r="C362" i="35" s="1"/>
  <c r="C364" i="35" s="1"/>
  <c r="C258" i="35"/>
  <c r="C239" i="35"/>
  <c r="C259" i="35" s="1"/>
  <c r="C185" i="35"/>
  <c r="C186" i="35" s="1"/>
  <c r="C187" i="35" s="1"/>
  <c r="C174" i="35"/>
  <c r="C175" i="35" s="1"/>
  <c r="C192" i="35"/>
  <c r="C193" i="35" s="1"/>
  <c r="C194" i="35" s="1"/>
  <c r="C354" i="35"/>
  <c r="C355" i="35" s="1"/>
  <c r="C356" i="35" s="1"/>
  <c r="C278" i="35"/>
  <c r="C279" i="35" s="1"/>
  <c r="C280" i="35" s="1"/>
  <c r="C247" i="35"/>
  <c r="C248" i="35" s="1"/>
  <c r="C271" i="35"/>
  <c r="C272" i="35" s="1"/>
  <c r="C273" i="35" s="1"/>
  <c r="C233" i="35"/>
  <c r="C168" i="35"/>
  <c r="C169" i="35" s="1"/>
  <c r="C176" i="35"/>
  <c r="C188" i="35"/>
  <c r="C195" i="35"/>
  <c r="D280" i="30"/>
  <c r="B375" i="30" s="1"/>
  <c r="C235" i="30"/>
  <c r="B412" i="30"/>
  <c r="E412" i="30" s="1"/>
  <c r="G186" i="30"/>
  <c r="H186" i="30" s="1"/>
  <c r="C486" i="30"/>
  <c r="C185" i="30"/>
  <c r="E185" i="30" s="1"/>
  <c r="F185" i="30" s="1"/>
  <c r="C168" i="30"/>
  <c r="E168" i="30" s="1"/>
  <c r="F168" i="30" s="1"/>
  <c r="C187" i="30"/>
  <c r="E187" i="30" s="1"/>
  <c r="F187" i="30" s="1"/>
  <c r="C184" i="30"/>
  <c r="E184" i="30" s="1"/>
  <c r="F184" i="30" s="1"/>
  <c r="C127" i="30"/>
  <c r="C128" i="30" s="1"/>
  <c r="C186" i="30"/>
  <c r="E186" i="30" s="1"/>
  <c r="F186" i="30" s="1"/>
  <c r="C167" i="30"/>
  <c r="E167" i="30" s="1"/>
  <c r="F167" i="30" s="1"/>
  <c r="B422" i="30"/>
  <c r="E422" i="30" s="1"/>
  <c r="C494" i="30"/>
  <c r="C132" i="30"/>
  <c r="C133" i="30" s="1"/>
  <c r="B504" i="30"/>
  <c r="F504" i="30" s="1"/>
  <c r="E411" i="30"/>
  <c r="B457" i="25"/>
  <c r="E457" i="25" s="1"/>
  <c r="D380" i="25"/>
  <c r="D381" i="25"/>
  <c r="B458" i="25"/>
  <c r="E458" i="25" s="1"/>
  <c r="B444" i="25"/>
  <c r="E444" i="25" s="1"/>
  <c r="D365" i="25"/>
  <c r="B454" i="25"/>
  <c r="E454" i="25" s="1"/>
  <c r="D366" i="25"/>
  <c r="B445" i="25"/>
  <c r="E445" i="25" s="1"/>
  <c r="C196" i="46" l="1"/>
  <c r="C622" i="56"/>
  <c r="B102" i="2"/>
  <c r="H95" i="2"/>
  <c r="C632" i="56"/>
  <c r="C102" i="2"/>
  <c r="D116" i="2"/>
  <c r="B199" i="25"/>
  <c r="C199" i="25" s="1"/>
  <c r="B294" i="25" s="1"/>
  <c r="B374" i="25" s="1"/>
  <c r="C633" i="56"/>
  <c r="C596" i="56"/>
  <c r="C597" i="56" s="1"/>
  <c r="C589" i="56"/>
  <c r="C590" i="56" s="1"/>
  <c r="C329" i="42"/>
  <c r="C240" i="46"/>
  <c r="F310" i="46" s="1"/>
  <c r="E292" i="38"/>
  <c r="G292" i="38" s="1"/>
  <c r="H292" i="38" s="1"/>
  <c r="E297" i="46"/>
  <c r="G297" i="46" s="1"/>
  <c r="H297" i="46" s="1"/>
  <c r="E307" i="38"/>
  <c r="G307" i="38" s="1"/>
  <c r="H307" i="38" s="1"/>
  <c r="E298" i="38"/>
  <c r="G298" i="38" s="1"/>
  <c r="H298" i="38" s="1"/>
  <c r="E293" i="38"/>
  <c r="G293" i="38" s="1"/>
  <c r="H293" i="38" s="1"/>
  <c r="E300" i="46"/>
  <c r="G300" i="46" s="1"/>
  <c r="H300" i="46" s="1"/>
  <c r="E299" i="38"/>
  <c r="G299" i="38" s="1"/>
  <c r="H299" i="38" s="1"/>
  <c r="E295" i="38"/>
  <c r="G295" i="38" s="1"/>
  <c r="H295" i="38" s="1"/>
  <c r="E293" i="46"/>
  <c r="G293" i="46" s="1"/>
  <c r="H293" i="46" s="1"/>
  <c r="E303" i="46"/>
  <c r="G303" i="46" s="1"/>
  <c r="H303" i="46" s="1"/>
  <c r="E302" i="46"/>
  <c r="G302" i="46" s="1"/>
  <c r="H302" i="46" s="1"/>
  <c r="E306" i="38"/>
  <c r="G306" i="38" s="1"/>
  <c r="H306" i="38" s="1"/>
  <c r="E289" i="38"/>
  <c r="G289" i="38" s="1"/>
  <c r="H289" i="38" s="1"/>
  <c r="E294" i="38"/>
  <c r="G294" i="38" s="1"/>
  <c r="H294" i="38" s="1"/>
  <c r="E302" i="38"/>
  <c r="G302" i="38" s="1"/>
  <c r="H302" i="38" s="1"/>
  <c r="E296" i="38"/>
  <c r="G296" i="38" s="1"/>
  <c r="H296" i="38" s="1"/>
  <c r="E297" i="38"/>
  <c r="G297" i="38" s="1"/>
  <c r="H297" i="38" s="1"/>
  <c r="E290" i="46"/>
  <c r="G290" i="46" s="1"/>
  <c r="H290" i="46" s="1"/>
  <c r="E301" i="46"/>
  <c r="G301" i="46" s="1"/>
  <c r="H301" i="46" s="1"/>
  <c r="E308" i="46"/>
  <c r="G308" i="46" s="1"/>
  <c r="H308" i="46" s="1"/>
  <c r="E305" i="46"/>
  <c r="G305" i="46" s="1"/>
  <c r="H305" i="46" s="1"/>
  <c r="E304" i="46"/>
  <c r="G304" i="46" s="1"/>
  <c r="H304" i="46" s="1"/>
  <c r="D233" i="46"/>
  <c r="D309" i="46" s="1"/>
  <c r="C309" i="46" s="1"/>
  <c r="E310" i="38"/>
  <c r="G310" i="38" s="1"/>
  <c r="H310" i="38" s="1"/>
  <c r="E300" i="38"/>
  <c r="G300" i="38" s="1"/>
  <c r="H300" i="38" s="1"/>
  <c r="E301" i="38"/>
  <c r="G301" i="38" s="1"/>
  <c r="H301" i="38" s="1"/>
  <c r="E303" i="38"/>
  <c r="G303" i="38" s="1"/>
  <c r="H303" i="38" s="1"/>
  <c r="E308" i="38"/>
  <c r="G308" i="38" s="1"/>
  <c r="H308" i="38" s="1"/>
  <c r="E290" i="38"/>
  <c r="G290" i="38" s="1"/>
  <c r="H290" i="38" s="1"/>
  <c r="E298" i="46"/>
  <c r="G298" i="46" s="1"/>
  <c r="H298" i="46" s="1"/>
  <c r="E307" i="46"/>
  <c r="G307" i="46" s="1"/>
  <c r="H307" i="46" s="1"/>
  <c r="E309" i="46"/>
  <c r="G309" i="46" s="1"/>
  <c r="H309" i="46" s="1"/>
  <c r="E292" i="46"/>
  <c r="G292" i="46" s="1"/>
  <c r="H292" i="46" s="1"/>
  <c r="E295" i="46"/>
  <c r="G295" i="46" s="1"/>
  <c r="H295" i="46" s="1"/>
  <c r="E309" i="38"/>
  <c r="E305" i="38"/>
  <c r="G305" i="38" s="1"/>
  <c r="H305" i="38" s="1"/>
  <c r="E291" i="38"/>
  <c r="G291" i="38" s="1"/>
  <c r="H291" i="38" s="1"/>
  <c r="E306" i="46"/>
  <c r="G306" i="46" s="1"/>
  <c r="H306" i="46" s="1"/>
  <c r="E294" i="46"/>
  <c r="G294" i="46" s="1"/>
  <c r="H294" i="46" s="1"/>
  <c r="E289" i="46"/>
  <c r="G289" i="46" s="1"/>
  <c r="H289" i="46" s="1"/>
  <c r="E296" i="46"/>
  <c r="G296" i="46" s="1"/>
  <c r="H296" i="46" s="1"/>
  <c r="E299" i="46"/>
  <c r="G299" i="46" s="1"/>
  <c r="H299" i="46" s="1"/>
  <c r="E291" i="46"/>
  <c r="G291" i="46" s="1"/>
  <c r="H291" i="46" s="1"/>
  <c r="C177" i="46"/>
  <c r="C132" i="37"/>
  <c r="C485" i="40"/>
  <c r="E421" i="30"/>
  <c r="B514" i="30"/>
  <c r="F514" i="30" s="1"/>
  <c r="C189" i="40"/>
  <c r="E189" i="40" s="1"/>
  <c r="F189" i="40" s="1"/>
  <c r="C177" i="40"/>
  <c r="E177" i="40" s="1"/>
  <c r="F177" i="40" s="1"/>
  <c r="C180" i="40"/>
  <c r="E180" i="40" s="1"/>
  <c r="F180" i="40" s="1"/>
  <c r="C173" i="40"/>
  <c r="E173" i="40" s="1"/>
  <c r="F173" i="40" s="1"/>
  <c r="C188" i="40"/>
  <c r="E188" i="40" s="1"/>
  <c r="F188" i="40" s="1"/>
  <c r="C130" i="40"/>
  <c r="C131" i="40" s="1"/>
  <c r="C154" i="40" s="1"/>
  <c r="E154" i="40" s="1"/>
  <c r="F154" i="40" s="1"/>
  <c r="C172" i="40"/>
  <c r="E172" i="40" s="1"/>
  <c r="F172" i="40" s="1"/>
  <c r="C183" i="40"/>
  <c r="E183" i="40" s="1"/>
  <c r="F183" i="40" s="1"/>
  <c r="C171" i="40"/>
  <c r="E171" i="40" s="1"/>
  <c r="F171" i="40" s="1"/>
  <c r="C174" i="40"/>
  <c r="E174" i="40" s="1"/>
  <c r="F174" i="40" s="1"/>
  <c r="C176" i="40"/>
  <c r="E176" i="40" s="1"/>
  <c r="F176" i="40" s="1"/>
  <c r="C476" i="40"/>
  <c r="C186" i="40"/>
  <c r="E186" i="40" s="1"/>
  <c r="F186" i="40" s="1"/>
  <c r="C179" i="40"/>
  <c r="E179" i="40" s="1"/>
  <c r="F179" i="40" s="1"/>
  <c r="C181" i="40"/>
  <c r="E181" i="40" s="1"/>
  <c r="F181" i="40" s="1"/>
  <c r="C175" i="40"/>
  <c r="E175" i="40" s="1"/>
  <c r="F175" i="40" s="1"/>
  <c r="C182" i="40"/>
  <c r="E182" i="40" s="1"/>
  <c r="F182" i="40" s="1"/>
  <c r="C187" i="40"/>
  <c r="E187" i="40" s="1"/>
  <c r="F187" i="40" s="1"/>
  <c r="C190" i="40"/>
  <c r="E190" i="40" s="1"/>
  <c r="F190" i="40" s="1"/>
  <c r="C170" i="40"/>
  <c r="E170" i="40" s="1"/>
  <c r="F170" i="40" s="1"/>
  <c r="C184" i="40"/>
  <c r="E184" i="40" s="1"/>
  <c r="F184" i="40" s="1"/>
  <c r="C178" i="40"/>
  <c r="E178" i="40" s="1"/>
  <c r="F178" i="40" s="1"/>
  <c r="C185" i="40"/>
  <c r="E185" i="40" s="1"/>
  <c r="F185" i="40" s="1"/>
  <c r="C240" i="38"/>
  <c r="F291" i="38" s="1"/>
  <c r="I291" i="38" s="1"/>
  <c r="J291" i="38" s="1"/>
  <c r="C189" i="38"/>
  <c r="D370" i="25"/>
  <c r="B449" i="25"/>
  <c r="E449" i="25" s="1"/>
  <c r="E221" i="37"/>
  <c r="G221" i="37" s="1"/>
  <c r="H221" i="37" s="1"/>
  <c r="E228" i="37"/>
  <c r="G228" i="37" s="1"/>
  <c r="H228" i="37" s="1"/>
  <c r="C274" i="44"/>
  <c r="C275" i="44" s="1"/>
  <c r="C281" i="44"/>
  <c r="C282" i="44" s="1"/>
  <c r="F310" i="44"/>
  <c r="I310" i="44" s="1"/>
  <c r="J310" i="44" s="1"/>
  <c r="F300" i="44"/>
  <c r="I300" i="44" s="1"/>
  <c r="J300" i="44" s="1"/>
  <c r="F307" i="44"/>
  <c r="K307" i="44" s="1"/>
  <c r="L307" i="44" s="1"/>
  <c r="C536" i="40"/>
  <c r="E213" i="37"/>
  <c r="G213" i="37" s="1"/>
  <c r="H213" i="37" s="1"/>
  <c r="E209" i="37"/>
  <c r="G209" i="37" s="1"/>
  <c r="H209" i="37" s="1"/>
  <c r="E226" i="37"/>
  <c r="G226" i="37" s="1"/>
  <c r="H226" i="37" s="1"/>
  <c r="E210" i="37"/>
  <c r="G210" i="37" s="1"/>
  <c r="H210" i="37" s="1"/>
  <c r="E212" i="37"/>
  <c r="G212" i="37" s="1"/>
  <c r="H212" i="37" s="1"/>
  <c r="E219" i="37"/>
  <c r="G219" i="37" s="1"/>
  <c r="H219" i="37" s="1"/>
  <c r="E229" i="37"/>
  <c r="G229" i="37" s="1"/>
  <c r="H229" i="37" s="1"/>
  <c r="E224" i="37"/>
  <c r="G224" i="37" s="1"/>
  <c r="H224" i="37" s="1"/>
  <c r="C139" i="37"/>
  <c r="D176" i="37"/>
  <c r="E218" i="37"/>
  <c r="G218" i="37" s="1"/>
  <c r="H218" i="37" s="1"/>
  <c r="E222" i="37"/>
  <c r="G222" i="37" s="1"/>
  <c r="H222" i="37" s="1"/>
  <c r="E211" i="37"/>
  <c r="G211" i="37" s="1"/>
  <c r="H211" i="37" s="1"/>
  <c r="E214" i="37"/>
  <c r="G214" i="37" s="1"/>
  <c r="H214" i="37" s="1"/>
  <c r="E216" i="37"/>
  <c r="G216" i="37" s="1"/>
  <c r="H216" i="37" s="1"/>
  <c r="E227" i="37"/>
  <c r="G227" i="37" s="1"/>
  <c r="H227" i="37" s="1"/>
  <c r="E217" i="37"/>
  <c r="G217" i="37" s="1"/>
  <c r="H217" i="37" s="1"/>
  <c r="E223" i="37"/>
  <c r="G223" i="37" s="1"/>
  <c r="H223" i="37" s="1"/>
  <c r="E225" i="37"/>
  <c r="G225" i="37" s="1"/>
  <c r="H225" i="37" s="1"/>
  <c r="E215" i="37"/>
  <c r="G215" i="37" s="1"/>
  <c r="H215" i="37" s="1"/>
  <c r="E220" i="37"/>
  <c r="G220" i="37" s="1"/>
  <c r="H220" i="37" s="1"/>
  <c r="C183" i="37"/>
  <c r="F225" i="37" s="1"/>
  <c r="F289" i="44"/>
  <c r="I289" i="44" s="1"/>
  <c r="J289" i="44" s="1"/>
  <c r="F304" i="44"/>
  <c r="K304" i="44" s="1"/>
  <c r="L304" i="44" s="1"/>
  <c r="F299" i="44"/>
  <c r="K299" i="44" s="1"/>
  <c r="L299" i="44" s="1"/>
  <c r="F305" i="44"/>
  <c r="K305" i="44" s="1"/>
  <c r="L305" i="44" s="1"/>
  <c r="F291" i="44"/>
  <c r="K291" i="44" s="1"/>
  <c r="L291" i="44" s="1"/>
  <c r="F306" i="44"/>
  <c r="K306" i="44" s="1"/>
  <c r="L306" i="44" s="1"/>
  <c r="F303" i="44"/>
  <c r="K303" i="44" s="1"/>
  <c r="L303" i="44" s="1"/>
  <c r="F308" i="44"/>
  <c r="K308" i="44" s="1"/>
  <c r="L308" i="44" s="1"/>
  <c r="C319" i="44"/>
  <c r="C345" i="44" s="1"/>
  <c r="F293" i="44"/>
  <c r="K293" i="44" s="1"/>
  <c r="L293" i="44" s="1"/>
  <c r="F302" i="44"/>
  <c r="K302" i="44" s="1"/>
  <c r="L302" i="44" s="1"/>
  <c r="F297" i="44"/>
  <c r="K297" i="44" s="1"/>
  <c r="L297" i="44" s="1"/>
  <c r="C251" i="44"/>
  <c r="F309" i="44"/>
  <c r="C262" i="44"/>
  <c r="F292" i="44"/>
  <c r="K292" i="44" s="1"/>
  <c r="L292" i="44" s="1"/>
  <c r="B97" i="48"/>
  <c r="C349" i="45"/>
  <c r="C293" i="45"/>
  <c r="C295" i="45" s="1"/>
  <c r="C391" i="45"/>
  <c r="C416" i="45" s="1"/>
  <c r="F290" i="44"/>
  <c r="I290" i="44" s="1"/>
  <c r="J290" i="44" s="1"/>
  <c r="F294" i="44"/>
  <c r="K294" i="44" s="1"/>
  <c r="L294" i="44" s="1"/>
  <c r="F298" i="44"/>
  <c r="K298" i="44" s="1"/>
  <c r="L298" i="44" s="1"/>
  <c r="F295" i="44"/>
  <c r="I295" i="44" s="1"/>
  <c r="J295" i="44" s="1"/>
  <c r="F301" i="44"/>
  <c r="K301" i="44" s="1"/>
  <c r="L301" i="44" s="1"/>
  <c r="F307" i="46"/>
  <c r="F292" i="46"/>
  <c r="F299" i="46"/>
  <c r="F290" i="46"/>
  <c r="B309" i="38"/>
  <c r="D233" i="38"/>
  <c r="F298" i="38"/>
  <c r="K298" i="38" s="1"/>
  <c r="L298" i="38" s="1"/>
  <c r="C286" i="45"/>
  <c r="C288" i="45" s="1"/>
  <c r="B591" i="46"/>
  <c r="E591" i="46" s="1"/>
  <c r="D501" i="46"/>
  <c r="B512" i="46"/>
  <c r="F372" i="45"/>
  <c r="F368" i="45"/>
  <c r="F365" i="45"/>
  <c r="F359" i="45"/>
  <c r="C343" i="45"/>
  <c r="C399" i="45"/>
  <c r="F367" i="45"/>
  <c r="F373" i="45"/>
  <c r="K373" i="45" s="1"/>
  <c r="L373" i="45" s="1"/>
  <c r="C392" i="45"/>
  <c r="F370" i="45"/>
  <c r="F366" i="45"/>
  <c r="F374" i="45"/>
  <c r="C383" i="45"/>
  <c r="C404" i="45" s="1"/>
  <c r="F371" i="45"/>
  <c r="C350" i="45"/>
  <c r="F361" i="45"/>
  <c r="F362" i="45"/>
  <c r="F369" i="45"/>
  <c r="F364" i="45"/>
  <c r="F360" i="45"/>
  <c r="F363" i="45"/>
  <c r="F358" i="45"/>
  <c r="B468" i="45"/>
  <c r="C398" i="45"/>
  <c r="C373" i="45"/>
  <c r="B610" i="45"/>
  <c r="F610" i="45" s="1"/>
  <c r="B526" i="45"/>
  <c r="E515" i="45"/>
  <c r="C342" i="45"/>
  <c r="F306" i="39"/>
  <c r="I306" i="39" s="1"/>
  <c r="J306" i="39" s="1"/>
  <c r="C642" i="45"/>
  <c r="B500" i="44"/>
  <c r="D500" i="44" s="1"/>
  <c r="K296" i="44"/>
  <c r="L296" i="44" s="1"/>
  <c r="I296" i="44"/>
  <c r="J296" i="44" s="1"/>
  <c r="G309" i="44"/>
  <c r="H309" i="44" s="1"/>
  <c r="B591" i="44"/>
  <c r="E591" i="44" s="1"/>
  <c r="D501" i="44"/>
  <c r="B512" i="44"/>
  <c r="D309" i="44"/>
  <c r="C309" i="44" s="1"/>
  <c r="C260" i="44"/>
  <c r="C261" i="44" s="1"/>
  <c r="C331" i="44"/>
  <c r="C332" i="44" s="1"/>
  <c r="C343" i="44"/>
  <c r="C344" i="44" s="1"/>
  <c r="C249" i="44"/>
  <c r="C250" i="44" s="1"/>
  <c r="F294" i="39"/>
  <c r="K294" i="39" s="1"/>
  <c r="L294" i="39" s="1"/>
  <c r="F295" i="39"/>
  <c r="I295" i="39" s="1"/>
  <c r="J295" i="39" s="1"/>
  <c r="C251" i="39"/>
  <c r="C319" i="39"/>
  <c r="C333" i="39" s="1"/>
  <c r="F310" i="39"/>
  <c r="I310" i="39" s="1"/>
  <c r="J310" i="39" s="1"/>
  <c r="C335" i="42"/>
  <c r="C279" i="42"/>
  <c r="C384" i="42"/>
  <c r="C229" i="42"/>
  <c r="E229" i="42" s="1"/>
  <c r="F229" i="42" s="1"/>
  <c r="C225" i="42"/>
  <c r="E225" i="42" s="1"/>
  <c r="F225" i="42" s="1"/>
  <c r="C221" i="42"/>
  <c r="E221" i="42" s="1"/>
  <c r="F221" i="42" s="1"/>
  <c r="C217" i="42"/>
  <c r="E217" i="42" s="1"/>
  <c r="F217" i="42" s="1"/>
  <c r="C213" i="42"/>
  <c r="E213" i="42" s="1"/>
  <c r="F213" i="42" s="1"/>
  <c r="C230" i="42"/>
  <c r="E230" i="42" s="1"/>
  <c r="F230" i="42" s="1"/>
  <c r="C226" i="42"/>
  <c r="E226" i="42" s="1"/>
  <c r="F226" i="42" s="1"/>
  <c r="C222" i="42"/>
  <c r="E222" i="42" s="1"/>
  <c r="F222" i="42" s="1"/>
  <c r="C218" i="42"/>
  <c r="E218" i="42" s="1"/>
  <c r="F218" i="42" s="1"/>
  <c r="C214" i="42"/>
  <c r="E214" i="42" s="1"/>
  <c r="F214" i="42" s="1"/>
  <c r="C200" i="42"/>
  <c r="C231" i="42"/>
  <c r="E231" i="42" s="1"/>
  <c r="F231" i="42" s="1"/>
  <c r="C220" i="42"/>
  <c r="E220" i="42" s="1"/>
  <c r="F220" i="42" s="1"/>
  <c r="C212" i="42"/>
  <c r="E212" i="42" s="1"/>
  <c r="F212" i="42" s="1"/>
  <c r="C216" i="42"/>
  <c r="E216" i="42" s="1"/>
  <c r="F216" i="42" s="1"/>
  <c r="C228" i="42"/>
  <c r="E228" i="42" s="1"/>
  <c r="F228" i="42" s="1"/>
  <c r="C219" i="42"/>
  <c r="E219" i="42" s="1"/>
  <c r="F219" i="42" s="1"/>
  <c r="C223" i="42"/>
  <c r="E223" i="42" s="1"/>
  <c r="F223" i="42" s="1"/>
  <c r="C215" i="42"/>
  <c r="E215" i="42" s="1"/>
  <c r="F215" i="42" s="1"/>
  <c r="C224" i="42"/>
  <c r="E224" i="42" s="1"/>
  <c r="F224" i="42" s="1"/>
  <c r="C227" i="42"/>
  <c r="E227" i="42" s="1"/>
  <c r="F227" i="42" s="1"/>
  <c r="C211" i="42"/>
  <c r="E211" i="42" s="1"/>
  <c r="F211" i="42" s="1"/>
  <c r="C344" i="42"/>
  <c r="C345" i="42" s="1"/>
  <c r="C324" i="42"/>
  <c r="D324" i="42" s="1"/>
  <c r="D370" i="42" s="1"/>
  <c r="C281" i="42"/>
  <c r="C282" i="42" s="1"/>
  <c r="C386" i="42"/>
  <c r="C387" i="42" s="1"/>
  <c r="B370" i="42"/>
  <c r="C288" i="42"/>
  <c r="C289" i="42" s="1"/>
  <c r="C393" i="42"/>
  <c r="C394" i="42" s="1"/>
  <c r="C337" i="42"/>
  <c r="C338" i="42" s="1"/>
  <c r="C330" i="42"/>
  <c r="B510" i="42"/>
  <c r="C291" i="42"/>
  <c r="C273" i="25"/>
  <c r="C274" i="25" s="1"/>
  <c r="F289" i="39"/>
  <c r="K289" i="39" s="1"/>
  <c r="L289" i="39" s="1"/>
  <c r="F305" i="38"/>
  <c r="C391" i="42"/>
  <c r="C286" i="42"/>
  <c r="C205" i="42"/>
  <c r="C342" i="42"/>
  <c r="C240" i="40"/>
  <c r="D240" i="40" s="1"/>
  <c r="D286" i="40" s="1"/>
  <c r="B346" i="30"/>
  <c r="B416" i="30" s="1"/>
  <c r="C275" i="30"/>
  <c r="B348" i="30" s="1"/>
  <c r="B418" i="30" s="1"/>
  <c r="C274" i="30"/>
  <c r="B347" i="30" s="1"/>
  <c r="B417" i="30" s="1"/>
  <c r="B349" i="30"/>
  <c r="B419" i="30" s="1"/>
  <c r="C280" i="30"/>
  <c r="D235" i="30"/>
  <c r="D281" i="30" s="1"/>
  <c r="C201" i="30"/>
  <c r="C203" i="30" s="1"/>
  <c r="C205" i="30" s="1"/>
  <c r="C145" i="30"/>
  <c r="E145" i="30" s="1"/>
  <c r="F145" i="30" s="1"/>
  <c r="C149" i="30"/>
  <c r="E149" i="30" s="1"/>
  <c r="F149" i="30" s="1"/>
  <c r="C153" i="30"/>
  <c r="E153" i="30" s="1"/>
  <c r="F153" i="30" s="1"/>
  <c r="C157" i="30"/>
  <c r="E157" i="30" s="1"/>
  <c r="F157" i="30" s="1"/>
  <c r="C148" i="30"/>
  <c r="E148" i="30" s="1"/>
  <c r="F148" i="30" s="1"/>
  <c r="C146" i="30"/>
  <c r="E146" i="30" s="1"/>
  <c r="F146" i="30" s="1"/>
  <c r="C150" i="30"/>
  <c r="E150" i="30" s="1"/>
  <c r="F150" i="30" s="1"/>
  <c r="C154" i="30"/>
  <c r="E154" i="30" s="1"/>
  <c r="F154" i="30" s="1"/>
  <c r="C158" i="30"/>
  <c r="E158" i="30" s="1"/>
  <c r="F158" i="30" s="1"/>
  <c r="C144" i="30"/>
  <c r="E144" i="30" s="1"/>
  <c r="F144" i="30" s="1"/>
  <c r="C152" i="30"/>
  <c r="E152" i="30" s="1"/>
  <c r="F152" i="30" s="1"/>
  <c r="C143" i="30"/>
  <c r="E143" i="30" s="1"/>
  <c r="F143" i="30" s="1"/>
  <c r="C147" i="30"/>
  <c r="E147" i="30" s="1"/>
  <c r="F147" i="30" s="1"/>
  <c r="C151" i="30"/>
  <c r="E151" i="30" s="1"/>
  <c r="F151" i="30" s="1"/>
  <c r="C155" i="30"/>
  <c r="E155" i="30" s="1"/>
  <c r="F155" i="30" s="1"/>
  <c r="C156" i="30"/>
  <c r="E156" i="30" s="1"/>
  <c r="F156" i="30" s="1"/>
  <c r="C242" i="30"/>
  <c r="B411" i="40"/>
  <c r="K307" i="39"/>
  <c r="L307" i="39" s="1"/>
  <c r="I307" i="39"/>
  <c r="J307" i="39" s="1"/>
  <c r="F296" i="39"/>
  <c r="K296" i="39" s="1"/>
  <c r="L296" i="39" s="1"/>
  <c r="F290" i="39"/>
  <c r="K290" i="39" s="1"/>
  <c r="L290" i="39" s="1"/>
  <c r="F299" i="39"/>
  <c r="K299" i="39" s="1"/>
  <c r="L299" i="39" s="1"/>
  <c r="F292" i="39"/>
  <c r="K292" i="39" s="1"/>
  <c r="L292" i="39" s="1"/>
  <c r="F293" i="39"/>
  <c r="I293" i="39" s="1"/>
  <c r="J293" i="39" s="1"/>
  <c r="F308" i="39"/>
  <c r="K308" i="39" s="1"/>
  <c r="L308" i="39" s="1"/>
  <c r="F301" i="39"/>
  <c r="I301" i="39" s="1"/>
  <c r="J301" i="39" s="1"/>
  <c r="F304" i="39"/>
  <c r="K304" i="39" s="1"/>
  <c r="L304" i="39" s="1"/>
  <c r="C281" i="39"/>
  <c r="C282" i="39" s="1"/>
  <c r="F303" i="39"/>
  <c r="K303" i="39" s="1"/>
  <c r="L303" i="39" s="1"/>
  <c r="C258" i="40"/>
  <c r="C138" i="40"/>
  <c r="C274" i="39"/>
  <c r="C275" i="39" s="1"/>
  <c r="F300" i="39"/>
  <c r="K300" i="39" s="1"/>
  <c r="L300" i="39" s="1"/>
  <c r="C262" i="39"/>
  <c r="C163" i="25"/>
  <c r="F297" i="39"/>
  <c r="K297" i="39" s="1"/>
  <c r="L297" i="39" s="1"/>
  <c r="F298" i="39"/>
  <c r="K298" i="39" s="1"/>
  <c r="L298" i="39" s="1"/>
  <c r="F309" i="39"/>
  <c r="F302" i="39"/>
  <c r="K302" i="39" s="1"/>
  <c r="L302" i="39" s="1"/>
  <c r="F305" i="39"/>
  <c r="K305" i="39" s="1"/>
  <c r="L305" i="39" s="1"/>
  <c r="F291" i="39"/>
  <c r="I291" i="39" s="1"/>
  <c r="J291" i="39" s="1"/>
  <c r="C253" i="40"/>
  <c r="C254" i="40" s="1"/>
  <c r="C260" i="40"/>
  <c r="C261" i="40" s="1"/>
  <c r="C246" i="40"/>
  <c r="C247" i="40" s="1"/>
  <c r="F284" i="40" s="1"/>
  <c r="B286" i="40"/>
  <c r="B495" i="40"/>
  <c r="F495" i="40" s="1"/>
  <c r="E398" i="40"/>
  <c r="G309" i="39"/>
  <c r="H309" i="39" s="1"/>
  <c r="D309" i="39"/>
  <c r="C309" i="39" s="1"/>
  <c r="C260" i="39"/>
  <c r="C261" i="39" s="1"/>
  <c r="C331" i="39"/>
  <c r="C332" i="39" s="1"/>
  <c r="C249" i="39"/>
  <c r="C250" i="39" s="1"/>
  <c r="C343" i="39"/>
  <c r="C344" i="39" s="1"/>
  <c r="K301" i="39"/>
  <c r="L301" i="39" s="1"/>
  <c r="B516" i="39"/>
  <c r="B591" i="38"/>
  <c r="E591" i="38" s="1"/>
  <c r="D501" i="38"/>
  <c r="B512" i="38"/>
  <c r="C265" i="25"/>
  <c r="C266" i="25" s="1"/>
  <c r="B500" i="38"/>
  <c r="D500" i="38" s="1"/>
  <c r="C172" i="25"/>
  <c r="C173" i="25" s="1"/>
  <c r="C174" i="25" s="1"/>
  <c r="E202" i="25" s="1"/>
  <c r="G202" i="25" s="1"/>
  <c r="H202" i="25" s="1"/>
  <c r="C238" i="25"/>
  <c r="C239" i="25" s="1"/>
  <c r="C241" i="25" s="1"/>
  <c r="C157" i="25"/>
  <c r="B210" i="25" s="1"/>
  <c r="C179" i="25"/>
  <c r="C180" i="25" s="1"/>
  <c r="C181" i="25" s="1"/>
  <c r="C231" i="25"/>
  <c r="C232" i="25" s="1"/>
  <c r="C233" i="25" s="1"/>
  <c r="B376" i="37"/>
  <c r="D376" i="37" s="1"/>
  <c r="B467" i="37"/>
  <c r="E467" i="37" s="1"/>
  <c r="D377" i="37"/>
  <c r="B388" i="37"/>
  <c r="C263" i="36"/>
  <c r="I301" i="36"/>
  <c r="J301" i="36" s="1"/>
  <c r="K297" i="36"/>
  <c r="L297" i="36" s="1"/>
  <c r="I297" i="36"/>
  <c r="J297" i="36" s="1"/>
  <c r="B428" i="36"/>
  <c r="I309" i="36"/>
  <c r="J309" i="36" s="1"/>
  <c r="I308" i="36"/>
  <c r="J308" i="36" s="1"/>
  <c r="K292" i="36"/>
  <c r="L292" i="36" s="1"/>
  <c r="I292" i="36"/>
  <c r="J292" i="36" s="1"/>
  <c r="K293" i="36"/>
  <c r="L293" i="36" s="1"/>
  <c r="I293" i="36"/>
  <c r="J293" i="36" s="1"/>
  <c r="I304" i="36"/>
  <c r="J304" i="36" s="1"/>
  <c r="K304" i="36"/>
  <c r="L304" i="36" s="1"/>
  <c r="K295" i="36"/>
  <c r="L295" i="36" s="1"/>
  <c r="I295" i="36"/>
  <c r="J295" i="36" s="1"/>
  <c r="C370" i="36"/>
  <c r="C372" i="36" s="1"/>
  <c r="C345" i="36"/>
  <c r="C346" i="36" s="1"/>
  <c r="C365" i="36"/>
  <c r="C366" i="36" s="1"/>
  <c r="C357" i="36"/>
  <c r="C358" i="36" s="1"/>
  <c r="C333" i="36"/>
  <c r="C334" i="36" s="1"/>
  <c r="K294" i="36"/>
  <c r="L294" i="36" s="1"/>
  <c r="I294" i="36"/>
  <c r="J294" i="36" s="1"/>
  <c r="K310" i="36"/>
  <c r="L310" i="36" s="1"/>
  <c r="I310" i="36"/>
  <c r="J310" i="36" s="1"/>
  <c r="I306" i="36"/>
  <c r="J306" i="36" s="1"/>
  <c r="I305" i="36"/>
  <c r="J305" i="36" s="1"/>
  <c r="K305" i="36"/>
  <c r="L305" i="36" s="1"/>
  <c r="I296" i="36"/>
  <c r="J296" i="36" s="1"/>
  <c r="K296" i="36"/>
  <c r="L296" i="36" s="1"/>
  <c r="K291" i="36"/>
  <c r="L291" i="36" s="1"/>
  <c r="I291" i="36"/>
  <c r="J291" i="36" s="1"/>
  <c r="K290" i="36"/>
  <c r="L290" i="36" s="1"/>
  <c r="I290" i="36"/>
  <c r="J290" i="36" s="1"/>
  <c r="I307" i="36"/>
  <c r="J307" i="36" s="1"/>
  <c r="B500" i="36"/>
  <c r="D500" i="36" s="1"/>
  <c r="K299" i="36"/>
  <c r="L299" i="36" s="1"/>
  <c r="I299" i="36"/>
  <c r="J299" i="36" s="1"/>
  <c r="K298" i="36"/>
  <c r="L298" i="36" s="1"/>
  <c r="I298" i="36"/>
  <c r="J298" i="36" s="1"/>
  <c r="B591" i="36"/>
  <c r="E591" i="36" s="1"/>
  <c r="D501" i="36"/>
  <c r="B512" i="36"/>
  <c r="B455" i="36"/>
  <c r="K309" i="36"/>
  <c r="L309" i="36" s="1"/>
  <c r="I289" i="36"/>
  <c r="J289" i="36" s="1"/>
  <c r="K289" i="36"/>
  <c r="L289" i="36" s="1"/>
  <c r="K300" i="36"/>
  <c r="L300" i="36" s="1"/>
  <c r="I300" i="36"/>
  <c r="J300" i="36" s="1"/>
  <c r="K303" i="36"/>
  <c r="L303" i="36" s="1"/>
  <c r="I303" i="36"/>
  <c r="J303" i="36" s="1"/>
  <c r="K302" i="36"/>
  <c r="L302" i="36" s="1"/>
  <c r="I302" i="36"/>
  <c r="J302" i="36" s="1"/>
  <c r="B309" i="35"/>
  <c r="D233" i="35"/>
  <c r="E308" i="35"/>
  <c r="G308" i="35" s="1"/>
  <c r="H308" i="35" s="1"/>
  <c r="E309" i="35"/>
  <c r="E307" i="35"/>
  <c r="G307" i="35" s="1"/>
  <c r="H307" i="35" s="1"/>
  <c r="E303" i="35"/>
  <c r="G303" i="35" s="1"/>
  <c r="H303" i="35" s="1"/>
  <c r="E302" i="35"/>
  <c r="G302" i="35" s="1"/>
  <c r="H302" i="35" s="1"/>
  <c r="E298" i="35"/>
  <c r="G298" i="35" s="1"/>
  <c r="H298" i="35" s="1"/>
  <c r="E294" i="35"/>
  <c r="G294" i="35" s="1"/>
  <c r="H294" i="35" s="1"/>
  <c r="E290" i="35"/>
  <c r="G290" i="35" s="1"/>
  <c r="H290" i="35" s="1"/>
  <c r="E305" i="35"/>
  <c r="G305" i="35" s="1"/>
  <c r="H305" i="35" s="1"/>
  <c r="E304" i="35"/>
  <c r="G304" i="35" s="1"/>
  <c r="H304" i="35" s="1"/>
  <c r="E299" i="35"/>
  <c r="G299" i="35" s="1"/>
  <c r="H299" i="35" s="1"/>
  <c r="E295" i="35"/>
  <c r="G295" i="35" s="1"/>
  <c r="H295" i="35" s="1"/>
  <c r="E291" i="35"/>
  <c r="G291" i="35" s="1"/>
  <c r="H291" i="35" s="1"/>
  <c r="E306" i="35"/>
  <c r="G306" i="35" s="1"/>
  <c r="H306" i="35" s="1"/>
  <c r="E300" i="35"/>
  <c r="G300" i="35" s="1"/>
  <c r="H300" i="35" s="1"/>
  <c r="E296" i="35"/>
  <c r="G296" i="35" s="1"/>
  <c r="H296" i="35" s="1"/>
  <c r="E310" i="35"/>
  <c r="G310" i="35" s="1"/>
  <c r="H310" i="35" s="1"/>
  <c r="E301" i="35"/>
  <c r="G301" i="35" s="1"/>
  <c r="H301" i="35" s="1"/>
  <c r="E297" i="35"/>
  <c r="G297" i="35" s="1"/>
  <c r="H297" i="35" s="1"/>
  <c r="E293" i="35"/>
  <c r="G293" i="35" s="1"/>
  <c r="H293" i="35" s="1"/>
  <c r="E289" i="35"/>
  <c r="G289" i="35" s="1"/>
  <c r="H289" i="35" s="1"/>
  <c r="E292" i="35"/>
  <c r="G292" i="35" s="1"/>
  <c r="H292" i="35" s="1"/>
  <c r="C196" i="35"/>
  <c r="B591" i="35"/>
  <c r="E591" i="35" s="1"/>
  <c r="B512" i="35"/>
  <c r="D501" i="35"/>
  <c r="C177" i="35"/>
  <c r="B500" i="35"/>
  <c r="D500" i="35" s="1"/>
  <c r="C189" i="35"/>
  <c r="C240" i="35"/>
  <c r="B505" i="30"/>
  <c r="F505" i="30" s="1"/>
  <c r="C255" i="30"/>
  <c r="C304" i="30"/>
  <c r="C135" i="30"/>
  <c r="C159" i="30"/>
  <c r="E159" i="30" s="1"/>
  <c r="F159" i="30" s="1"/>
  <c r="C161" i="30"/>
  <c r="E161" i="30" s="1"/>
  <c r="F161" i="30" s="1"/>
  <c r="C297" i="30"/>
  <c r="C160" i="30"/>
  <c r="C130" i="30"/>
  <c r="C248" i="30"/>
  <c r="C142" i="30"/>
  <c r="E142" i="30" s="1"/>
  <c r="F142" i="30" s="1"/>
  <c r="C141" i="30"/>
  <c r="E141" i="30" s="1"/>
  <c r="F141" i="30" s="1"/>
  <c r="B378" i="25"/>
  <c r="C155" i="25"/>
  <c r="D155" i="25" s="1"/>
  <c r="D208" i="25" s="1"/>
  <c r="C156" i="25"/>
  <c r="D156" i="25" s="1"/>
  <c r="D209" i="25" s="1"/>
  <c r="D154" i="25"/>
  <c r="D207" i="25" s="1"/>
  <c r="C207" i="25" s="1"/>
  <c r="D649" i="13"/>
  <c r="C649" i="13"/>
  <c r="D648" i="13"/>
  <c r="C648" i="13"/>
  <c r="D647" i="13"/>
  <c r="C647" i="13"/>
  <c r="D646" i="13"/>
  <c r="C646" i="13"/>
  <c r="D645" i="13"/>
  <c r="C645" i="13"/>
  <c r="D644" i="13"/>
  <c r="C644" i="13"/>
  <c r="D634" i="17"/>
  <c r="C634" i="17"/>
  <c r="D633" i="17"/>
  <c r="C633" i="17"/>
  <c r="D632" i="17"/>
  <c r="C632" i="17"/>
  <c r="D631" i="17"/>
  <c r="C631" i="17"/>
  <c r="D630" i="17"/>
  <c r="C630" i="17"/>
  <c r="D629" i="17"/>
  <c r="C629" i="17"/>
  <c r="F302" i="46" l="1"/>
  <c r="K302" i="46" s="1"/>
  <c r="L302" i="46" s="1"/>
  <c r="C262" i="46"/>
  <c r="F301" i="46"/>
  <c r="D102" i="2"/>
  <c r="E116" i="2"/>
  <c r="C281" i="46"/>
  <c r="C282" i="46" s="1"/>
  <c r="F298" i="46"/>
  <c r="K298" i="46" s="1"/>
  <c r="L298" i="46" s="1"/>
  <c r="C274" i="46"/>
  <c r="C275" i="46" s="1"/>
  <c r="F289" i="46"/>
  <c r="K289" i="46" s="1"/>
  <c r="L289" i="46" s="1"/>
  <c r="F305" i="46"/>
  <c r="K305" i="46" s="1"/>
  <c r="L305" i="46" s="1"/>
  <c r="F296" i="46"/>
  <c r="K296" i="46" s="1"/>
  <c r="L296" i="46" s="1"/>
  <c r="C319" i="46"/>
  <c r="C357" i="46" s="1"/>
  <c r="C358" i="46" s="1"/>
  <c r="C331" i="42"/>
  <c r="F356" i="42" s="1"/>
  <c r="F295" i="46"/>
  <c r="K295" i="46" s="1"/>
  <c r="L295" i="46" s="1"/>
  <c r="C251" i="46"/>
  <c r="F306" i="46"/>
  <c r="K306" i="46" s="1"/>
  <c r="L306" i="46" s="1"/>
  <c r="F293" i="46"/>
  <c r="K293" i="46" s="1"/>
  <c r="L293" i="46" s="1"/>
  <c r="F308" i="46"/>
  <c r="I308" i="46" s="1"/>
  <c r="J308" i="46" s="1"/>
  <c r="F300" i="46"/>
  <c r="K300" i="46" s="1"/>
  <c r="L300" i="46" s="1"/>
  <c r="C251" i="38"/>
  <c r="F303" i="46"/>
  <c r="I303" i="46" s="1"/>
  <c r="J303" i="46" s="1"/>
  <c r="F291" i="46"/>
  <c r="K291" i="46" s="1"/>
  <c r="L291" i="46" s="1"/>
  <c r="F294" i="46"/>
  <c r="K294" i="46" s="1"/>
  <c r="L294" i="46" s="1"/>
  <c r="F297" i="46"/>
  <c r="I297" i="46" s="1"/>
  <c r="J297" i="46" s="1"/>
  <c r="F309" i="46"/>
  <c r="I309" i="46" s="1"/>
  <c r="J309" i="46" s="1"/>
  <c r="F304" i="46"/>
  <c r="B277" i="30"/>
  <c r="C277" i="30" s="1"/>
  <c r="B350" i="30" s="1"/>
  <c r="B420" i="30" s="1"/>
  <c r="C162" i="40"/>
  <c r="E162" i="40" s="1"/>
  <c r="F162" i="40" s="1"/>
  <c r="B453" i="25"/>
  <c r="E453" i="25" s="1"/>
  <c r="D374" i="25"/>
  <c r="C331" i="46"/>
  <c r="C332" i="46" s="1"/>
  <c r="F306" i="38"/>
  <c r="K306" i="38" s="1"/>
  <c r="L306" i="38" s="1"/>
  <c r="F303" i="38"/>
  <c r="K303" i="38" s="1"/>
  <c r="L303" i="38" s="1"/>
  <c r="F289" i="38"/>
  <c r="K289" i="38" s="1"/>
  <c r="L289" i="38" s="1"/>
  <c r="F307" i="38"/>
  <c r="K307" i="38" s="1"/>
  <c r="L307" i="38" s="1"/>
  <c r="G309" i="38"/>
  <c r="H309" i="38" s="1"/>
  <c r="C343" i="46"/>
  <c r="C344" i="46" s="1"/>
  <c r="C260" i="46"/>
  <c r="C261" i="46" s="1"/>
  <c r="C263" i="46" s="1"/>
  <c r="K306" i="39"/>
  <c r="L306" i="39" s="1"/>
  <c r="C249" i="46"/>
  <c r="C250" i="46" s="1"/>
  <c r="I308" i="44"/>
  <c r="J308" i="44" s="1"/>
  <c r="I305" i="44"/>
  <c r="J305" i="44" s="1"/>
  <c r="F295" i="38"/>
  <c r="K295" i="38" s="1"/>
  <c r="L295" i="38" s="1"/>
  <c r="F292" i="38"/>
  <c r="I292" i="38" s="1"/>
  <c r="J292" i="38" s="1"/>
  <c r="F301" i="38"/>
  <c r="K301" i="38" s="1"/>
  <c r="L301" i="38" s="1"/>
  <c r="I294" i="39"/>
  <c r="J294" i="39" s="1"/>
  <c r="F302" i="38"/>
  <c r="K302" i="38" s="1"/>
  <c r="L302" i="38" s="1"/>
  <c r="F293" i="38"/>
  <c r="I293" i="38" s="1"/>
  <c r="J293" i="38" s="1"/>
  <c r="F296" i="38"/>
  <c r="K296" i="38" s="1"/>
  <c r="L296" i="38" s="1"/>
  <c r="F294" i="38"/>
  <c r="I294" i="38" s="1"/>
  <c r="J294" i="38" s="1"/>
  <c r="F290" i="38"/>
  <c r="K290" i="38" s="1"/>
  <c r="L290" i="38" s="1"/>
  <c r="C319" i="38"/>
  <c r="C365" i="38" s="1"/>
  <c r="C366" i="38" s="1"/>
  <c r="F299" i="38"/>
  <c r="K299" i="38" s="1"/>
  <c r="L299" i="38" s="1"/>
  <c r="K291" i="38"/>
  <c r="L291" i="38" s="1"/>
  <c r="F300" i="38"/>
  <c r="K300" i="38" s="1"/>
  <c r="L300" i="38" s="1"/>
  <c r="F304" i="38"/>
  <c r="K304" i="38" s="1"/>
  <c r="L304" i="38" s="1"/>
  <c r="C274" i="38"/>
  <c r="C275" i="38" s="1"/>
  <c r="F297" i="38"/>
  <c r="K297" i="38" s="1"/>
  <c r="L297" i="38" s="1"/>
  <c r="F310" i="38"/>
  <c r="K310" i="38" s="1"/>
  <c r="L310" i="38" s="1"/>
  <c r="C146" i="40"/>
  <c r="E146" i="40" s="1"/>
  <c r="F146" i="40" s="1"/>
  <c r="C133" i="40"/>
  <c r="C149" i="40"/>
  <c r="E149" i="40" s="1"/>
  <c r="F149" i="40" s="1"/>
  <c r="C153" i="40"/>
  <c r="E153" i="40" s="1"/>
  <c r="F153" i="40" s="1"/>
  <c r="C160" i="40"/>
  <c r="E160" i="40" s="1"/>
  <c r="F160" i="40" s="1"/>
  <c r="C152" i="40"/>
  <c r="E152" i="40" s="1"/>
  <c r="F152" i="40" s="1"/>
  <c r="C156" i="40"/>
  <c r="E156" i="40" s="1"/>
  <c r="F156" i="40" s="1"/>
  <c r="C164" i="40"/>
  <c r="E164" i="40" s="1"/>
  <c r="F164" i="40" s="1"/>
  <c r="C159" i="40"/>
  <c r="E159" i="40" s="1"/>
  <c r="F159" i="40" s="1"/>
  <c r="C155" i="40"/>
  <c r="E155" i="40" s="1"/>
  <c r="F155" i="40" s="1"/>
  <c r="C251" i="40"/>
  <c r="C255" i="40" s="1"/>
  <c r="E419" i="30"/>
  <c r="B512" i="30"/>
  <c r="F512" i="30" s="1"/>
  <c r="E417" i="30"/>
  <c r="B510" i="30"/>
  <c r="F510" i="30" s="1"/>
  <c r="E416" i="30"/>
  <c r="B509" i="30"/>
  <c r="F509" i="30" s="1"/>
  <c r="E418" i="30"/>
  <c r="B511" i="30"/>
  <c r="F511" i="30" s="1"/>
  <c r="C157" i="40"/>
  <c r="E157" i="40" s="1"/>
  <c r="F157" i="40" s="1"/>
  <c r="C148" i="40"/>
  <c r="E148" i="40" s="1"/>
  <c r="F148" i="40" s="1"/>
  <c r="C158" i="40"/>
  <c r="E158" i="40" s="1"/>
  <c r="F158" i="40" s="1"/>
  <c r="C163" i="40"/>
  <c r="E163" i="40" s="1"/>
  <c r="F163" i="40" s="1"/>
  <c r="C161" i="40"/>
  <c r="E161" i="40" s="1"/>
  <c r="F161" i="40" s="1"/>
  <c r="C150" i="40"/>
  <c r="E150" i="40" s="1"/>
  <c r="F150" i="40" s="1"/>
  <c r="C144" i="40"/>
  <c r="E144" i="40" s="1"/>
  <c r="F144" i="40" s="1"/>
  <c r="C151" i="40"/>
  <c r="E151" i="40" s="1"/>
  <c r="F151" i="40" s="1"/>
  <c r="C145" i="40"/>
  <c r="E145" i="40" s="1"/>
  <c r="F145" i="40" s="1"/>
  <c r="C147" i="40"/>
  <c r="E147" i="40" s="1"/>
  <c r="F147" i="40" s="1"/>
  <c r="C262" i="38"/>
  <c r="F309" i="38"/>
  <c r="C281" i="38"/>
  <c r="C282" i="38" s="1"/>
  <c r="F308" i="38"/>
  <c r="K308" i="38" s="1"/>
  <c r="L308" i="38" s="1"/>
  <c r="F228" i="37"/>
  <c r="I228" i="37" s="1"/>
  <c r="J228" i="37" s="1"/>
  <c r="C194" i="37"/>
  <c r="C195" i="37" s="1"/>
  <c r="C239" i="37"/>
  <c r="F218" i="37"/>
  <c r="K218" i="37" s="1"/>
  <c r="L218" i="37" s="1"/>
  <c r="F223" i="37"/>
  <c r="K223" i="37" s="1"/>
  <c r="L223" i="37" s="1"/>
  <c r="K310" i="44"/>
  <c r="L310" i="44" s="1"/>
  <c r="K289" i="44"/>
  <c r="L289" i="44" s="1"/>
  <c r="K290" i="44"/>
  <c r="L290" i="44" s="1"/>
  <c r="I298" i="44"/>
  <c r="J298" i="44" s="1"/>
  <c r="I293" i="44"/>
  <c r="J293" i="44" s="1"/>
  <c r="I291" i="44"/>
  <c r="J291" i="44" s="1"/>
  <c r="K300" i="44"/>
  <c r="L300" i="44" s="1"/>
  <c r="I304" i="44"/>
  <c r="J304" i="44" s="1"/>
  <c r="I306" i="44"/>
  <c r="J306" i="44" s="1"/>
  <c r="C357" i="44"/>
  <c r="C358" i="44" s="1"/>
  <c r="I303" i="44"/>
  <c r="J303" i="44" s="1"/>
  <c r="I302" i="44"/>
  <c r="J302" i="44" s="1"/>
  <c r="I307" i="44"/>
  <c r="J307" i="44" s="1"/>
  <c r="C263" i="44"/>
  <c r="F210" i="37"/>
  <c r="I210" i="37" s="1"/>
  <c r="J210" i="37" s="1"/>
  <c r="D229" i="37"/>
  <c r="C229" i="37" s="1"/>
  <c r="B304" i="37" s="1"/>
  <c r="F230" i="37"/>
  <c r="I230" i="37" s="1"/>
  <c r="J230" i="37" s="1"/>
  <c r="F213" i="37"/>
  <c r="I213" i="37" s="1"/>
  <c r="J213" i="37" s="1"/>
  <c r="F214" i="37"/>
  <c r="I214" i="37" s="1"/>
  <c r="J214" i="37" s="1"/>
  <c r="F217" i="37"/>
  <c r="I217" i="37" s="1"/>
  <c r="J217" i="37" s="1"/>
  <c r="F216" i="37"/>
  <c r="K216" i="37" s="1"/>
  <c r="L216" i="37" s="1"/>
  <c r="F219" i="37"/>
  <c r="I219" i="37" s="1"/>
  <c r="J219" i="37" s="1"/>
  <c r="C201" i="37"/>
  <c r="C202" i="37" s="1"/>
  <c r="F211" i="37"/>
  <c r="K211" i="37" s="1"/>
  <c r="L211" i="37" s="1"/>
  <c r="F221" i="37"/>
  <c r="K221" i="37" s="1"/>
  <c r="L221" i="37" s="1"/>
  <c r="F226" i="37"/>
  <c r="K226" i="37" s="1"/>
  <c r="L226" i="37" s="1"/>
  <c r="F227" i="37"/>
  <c r="I227" i="37" s="1"/>
  <c r="J227" i="37" s="1"/>
  <c r="F222" i="37"/>
  <c r="I222" i="37" s="1"/>
  <c r="J222" i="37" s="1"/>
  <c r="F212" i="37"/>
  <c r="K212" i="37" s="1"/>
  <c r="L212" i="37" s="1"/>
  <c r="F229" i="37"/>
  <c r="F215" i="37"/>
  <c r="K215" i="37" s="1"/>
  <c r="L215" i="37" s="1"/>
  <c r="F220" i="37"/>
  <c r="K220" i="37" s="1"/>
  <c r="L220" i="37" s="1"/>
  <c r="F224" i="37"/>
  <c r="K224" i="37" s="1"/>
  <c r="L224" i="37" s="1"/>
  <c r="F209" i="37"/>
  <c r="K209" i="37" s="1"/>
  <c r="L209" i="37" s="1"/>
  <c r="C370" i="44"/>
  <c r="C372" i="44" s="1"/>
  <c r="C376" i="44" s="1"/>
  <c r="I292" i="44"/>
  <c r="J292" i="44" s="1"/>
  <c r="I297" i="44"/>
  <c r="J297" i="44" s="1"/>
  <c r="C333" i="44"/>
  <c r="C334" i="44" s="1"/>
  <c r="I299" i="44"/>
  <c r="J299" i="44" s="1"/>
  <c r="C351" i="45"/>
  <c r="C365" i="44"/>
  <c r="C366" i="44" s="1"/>
  <c r="K295" i="39"/>
  <c r="L295" i="39" s="1"/>
  <c r="C252" i="44"/>
  <c r="K295" i="44"/>
  <c r="L295" i="44" s="1"/>
  <c r="C393" i="45"/>
  <c r="I294" i="44"/>
  <c r="J294" i="44" s="1"/>
  <c r="I296" i="39"/>
  <c r="J296" i="39" s="1"/>
  <c r="K310" i="39"/>
  <c r="L310" i="39" s="1"/>
  <c r="I298" i="38"/>
  <c r="J298" i="38" s="1"/>
  <c r="B515" i="46"/>
  <c r="D309" i="38"/>
  <c r="B455" i="38" s="1"/>
  <c r="C343" i="38"/>
  <c r="C344" i="38" s="1"/>
  <c r="C260" i="38"/>
  <c r="C261" i="38" s="1"/>
  <c r="C331" i="38"/>
  <c r="C332" i="38" s="1"/>
  <c r="C249" i="38"/>
  <c r="C250" i="38" s="1"/>
  <c r="C252" i="38" s="1"/>
  <c r="K303" i="46"/>
  <c r="L303" i="46" s="1"/>
  <c r="I294" i="46"/>
  <c r="J294" i="46" s="1"/>
  <c r="I304" i="46"/>
  <c r="J304" i="46" s="1"/>
  <c r="K304" i="46"/>
  <c r="L304" i="46" s="1"/>
  <c r="C365" i="39"/>
  <c r="C366" i="39" s="1"/>
  <c r="K290" i="46"/>
  <c r="L290" i="46" s="1"/>
  <c r="I290" i="46"/>
  <c r="J290" i="46" s="1"/>
  <c r="K299" i="46"/>
  <c r="L299" i="46" s="1"/>
  <c r="I299" i="46"/>
  <c r="J299" i="46" s="1"/>
  <c r="I302" i="46"/>
  <c r="J302" i="46" s="1"/>
  <c r="K301" i="46"/>
  <c r="L301" i="46" s="1"/>
  <c r="I301" i="46"/>
  <c r="J301" i="46" s="1"/>
  <c r="K292" i="46"/>
  <c r="L292" i="46" s="1"/>
  <c r="I292" i="46"/>
  <c r="J292" i="46" s="1"/>
  <c r="K307" i="46"/>
  <c r="L307" i="46" s="1"/>
  <c r="I307" i="46"/>
  <c r="J307" i="46" s="1"/>
  <c r="E208" i="25"/>
  <c r="I305" i="39"/>
  <c r="J305" i="39" s="1"/>
  <c r="I301" i="44"/>
  <c r="J301" i="44" s="1"/>
  <c r="I296" i="46"/>
  <c r="J296" i="46" s="1"/>
  <c r="C365" i="46"/>
  <c r="C366" i="46" s="1"/>
  <c r="B455" i="46"/>
  <c r="B428" i="46"/>
  <c r="I295" i="46"/>
  <c r="J295" i="46" s="1"/>
  <c r="I293" i="46"/>
  <c r="J293" i="46" s="1"/>
  <c r="K308" i="46"/>
  <c r="L308" i="46" s="1"/>
  <c r="K310" i="46"/>
  <c r="L310" i="46" s="1"/>
  <c r="I310" i="46"/>
  <c r="J310" i="46" s="1"/>
  <c r="E371" i="45"/>
  <c r="G371" i="45" s="1"/>
  <c r="H371" i="45" s="1"/>
  <c r="E367" i="45"/>
  <c r="G367" i="45" s="1"/>
  <c r="H367" i="45" s="1"/>
  <c r="E364" i="45"/>
  <c r="G364" i="45" s="1"/>
  <c r="H364" i="45" s="1"/>
  <c r="E361" i="45"/>
  <c r="G361" i="45" s="1"/>
  <c r="H361" i="45" s="1"/>
  <c r="E358" i="45"/>
  <c r="G358" i="45" s="1"/>
  <c r="H358" i="45" s="1"/>
  <c r="E370" i="45"/>
  <c r="G370" i="45" s="1"/>
  <c r="H370" i="45" s="1"/>
  <c r="E369" i="45"/>
  <c r="G369" i="45" s="1"/>
  <c r="H369" i="45" s="1"/>
  <c r="E368" i="45"/>
  <c r="G368" i="45" s="1"/>
  <c r="H368" i="45" s="1"/>
  <c r="E366" i="45"/>
  <c r="G366" i="45" s="1"/>
  <c r="H366" i="45" s="1"/>
  <c r="E365" i="45"/>
  <c r="G365" i="45" s="1"/>
  <c r="H365" i="45" s="1"/>
  <c r="E374" i="45"/>
  <c r="G374" i="45" s="1"/>
  <c r="H374" i="45" s="1"/>
  <c r="E372" i="45"/>
  <c r="G372" i="45" s="1"/>
  <c r="H372" i="45" s="1"/>
  <c r="E363" i="45"/>
  <c r="G363" i="45" s="1"/>
  <c r="H363" i="45" s="1"/>
  <c r="E362" i="45"/>
  <c r="G362" i="45" s="1"/>
  <c r="H362" i="45" s="1"/>
  <c r="E360" i="45"/>
  <c r="G360" i="45" s="1"/>
  <c r="H360" i="45" s="1"/>
  <c r="C344" i="45"/>
  <c r="E373" i="45"/>
  <c r="G373" i="45" s="1"/>
  <c r="H373" i="45" s="1"/>
  <c r="E359" i="45"/>
  <c r="G359" i="45" s="1"/>
  <c r="H359" i="45" s="1"/>
  <c r="C400" i="45"/>
  <c r="C421" i="45"/>
  <c r="K360" i="45"/>
  <c r="L360" i="45" s="1"/>
  <c r="I360" i="45"/>
  <c r="J360" i="45" s="1"/>
  <c r="K361" i="45"/>
  <c r="L361" i="45" s="1"/>
  <c r="I361" i="45"/>
  <c r="J361" i="45" s="1"/>
  <c r="K374" i="45"/>
  <c r="L374" i="45" s="1"/>
  <c r="I374" i="45"/>
  <c r="J374" i="45" s="1"/>
  <c r="K359" i="45"/>
  <c r="L359" i="45" s="1"/>
  <c r="I359" i="45"/>
  <c r="J359" i="45" s="1"/>
  <c r="E211" i="25"/>
  <c r="G211" i="25" s="1"/>
  <c r="H211" i="25" s="1"/>
  <c r="B529" i="45"/>
  <c r="K364" i="45"/>
  <c r="L364" i="45" s="1"/>
  <c r="I364" i="45"/>
  <c r="J364" i="45" s="1"/>
  <c r="I366" i="45"/>
  <c r="J366" i="45" s="1"/>
  <c r="K366" i="45"/>
  <c r="L366" i="45" s="1"/>
  <c r="K367" i="45"/>
  <c r="L367" i="45" s="1"/>
  <c r="I367" i="45"/>
  <c r="J367" i="45" s="1"/>
  <c r="K365" i="45"/>
  <c r="L365" i="45" s="1"/>
  <c r="I365" i="45"/>
  <c r="J365" i="45" s="1"/>
  <c r="K358" i="45"/>
  <c r="L358" i="45" s="1"/>
  <c r="I358" i="45"/>
  <c r="J358" i="45" s="1"/>
  <c r="I369" i="45"/>
  <c r="J369" i="45" s="1"/>
  <c r="K369" i="45"/>
  <c r="L369" i="45" s="1"/>
  <c r="I371" i="45"/>
  <c r="J371" i="45" s="1"/>
  <c r="K371" i="45"/>
  <c r="L371" i="45" s="1"/>
  <c r="I370" i="45"/>
  <c r="J370" i="45" s="1"/>
  <c r="K370" i="45"/>
  <c r="L370" i="45" s="1"/>
  <c r="K368" i="45"/>
  <c r="L368" i="45" s="1"/>
  <c r="I368" i="45"/>
  <c r="J368" i="45" s="1"/>
  <c r="E210" i="25"/>
  <c r="G210" i="25" s="1"/>
  <c r="H210" i="25" s="1"/>
  <c r="B446" i="45"/>
  <c r="I373" i="45"/>
  <c r="J373" i="45" s="1"/>
  <c r="K363" i="45"/>
  <c r="L363" i="45" s="1"/>
  <c r="I363" i="45"/>
  <c r="J363" i="45" s="1"/>
  <c r="K362" i="45"/>
  <c r="L362" i="45" s="1"/>
  <c r="I362" i="45"/>
  <c r="J362" i="45" s="1"/>
  <c r="C406" i="45"/>
  <c r="C408" i="45"/>
  <c r="K372" i="45"/>
  <c r="L372" i="45" s="1"/>
  <c r="I372" i="45"/>
  <c r="J372" i="45" s="1"/>
  <c r="K284" i="40"/>
  <c r="L284" i="40" s="1"/>
  <c r="I284" i="40"/>
  <c r="J284" i="40" s="1"/>
  <c r="I309" i="44"/>
  <c r="J309" i="44" s="1"/>
  <c r="B428" i="44"/>
  <c r="C357" i="39"/>
  <c r="C358" i="39" s="1"/>
  <c r="C346" i="44"/>
  <c r="E207" i="25"/>
  <c r="G207" i="25" s="1"/>
  <c r="H207" i="25" s="1"/>
  <c r="E201" i="25"/>
  <c r="G201" i="25" s="1"/>
  <c r="H201" i="25" s="1"/>
  <c r="C370" i="39"/>
  <c r="C372" i="39" s="1"/>
  <c r="C376" i="39" s="1"/>
  <c r="C345" i="39"/>
  <c r="C346" i="39" s="1"/>
  <c r="C290" i="42"/>
  <c r="C292" i="42" s="1"/>
  <c r="B455" i="44"/>
  <c r="K309" i="44"/>
  <c r="L309" i="44" s="1"/>
  <c r="B515" i="44"/>
  <c r="K293" i="39"/>
  <c r="L293" i="39" s="1"/>
  <c r="E190" i="25"/>
  <c r="G190" i="25" s="1"/>
  <c r="H190" i="25" s="1"/>
  <c r="E192" i="25"/>
  <c r="G192" i="25" s="1"/>
  <c r="H192" i="25" s="1"/>
  <c r="I290" i="39"/>
  <c r="J290" i="39" s="1"/>
  <c r="I289" i="39"/>
  <c r="J289" i="39" s="1"/>
  <c r="C252" i="39"/>
  <c r="C346" i="42"/>
  <c r="I306" i="38"/>
  <c r="J306" i="38" s="1"/>
  <c r="C164" i="25"/>
  <c r="F197" i="25" s="1"/>
  <c r="C334" i="39"/>
  <c r="I308" i="39"/>
  <c r="J308" i="39" s="1"/>
  <c r="K293" i="38"/>
  <c r="L293" i="38" s="1"/>
  <c r="C263" i="39"/>
  <c r="C370" i="38"/>
  <c r="C372" i="38" s="1"/>
  <c r="K292" i="38"/>
  <c r="L292" i="38" s="1"/>
  <c r="I298" i="39"/>
  <c r="J298" i="39" s="1"/>
  <c r="I303" i="39"/>
  <c r="J303" i="39" s="1"/>
  <c r="C395" i="42"/>
  <c r="F369" i="42"/>
  <c r="C340" i="42"/>
  <c r="F370" i="42"/>
  <c r="K370" i="42" s="1"/>
  <c r="L370" i="42" s="1"/>
  <c r="C347" i="42"/>
  <c r="F371" i="42"/>
  <c r="F368" i="42"/>
  <c r="F367" i="42"/>
  <c r="C389" i="42"/>
  <c r="F358" i="42"/>
  <c r="F355" i="42"/>
  <c r="K305" i="38"/>
  <c r="L305" i="38" s="1"/>
  <c r="I305" i="38"/>
  <c r="J305" i="38" s="1"/>
  <c r="E510" i="42"/>
  <c r="B511" i="42"/>
  <c r="B465" i="42"/>
  <c r="C283" i="42"/>
  <c r="C285" i="42" s="1"/>
  <c r="C388" i="42"/>
  <c r="K291" i="39"/>
  <c r="L291" i="39" s="1"/>
  <c r="I297" i="39"/>
  <c r="J297" i="39" s="1"/>
  <c r="C370" i="42"/>
  <c r="C339" i="42"/>
  <c r="E191" i="25"/>
  <c r="G191" i="25" s="1"/>
  <c r="H191" i="25" s="1"/>
  <c r="E204" i="25"/>
  <c r="G204" i="25" s="1"/>
  <c r="H204" i="25" s="1"/>
  <c r="E206" i="25"/>
  <c r="G206" i="25" s="1"/>
  <c r="H206" i="25" s="1"/>
  <c r="I300" i="39"/>
  <c r="J300" i="39" s="1"/>
  <c r="I302" i="39"/>
  <c r="J302" i="39" s="1"/>
  <c r="I304" i="39"/>
  <c r="J304" i="39" s="1"/>
  <c r="I292" i="39"/>
  <c r="J292" i="39" s="1"/>
  <c r="E209" i="25"/>
  <c r="E196" i="25"/>
  <c r="G196" i="25" s="1"/>
  <c r="H196" i="25" s="1"/>
  <c r="C243" i="30"/>
  <c r="C244" i="30" s="1"/>
  <c r="C281" i="30"/>
  <c r="B354" i="30" s="1"/>
  <c r="B376" i="30"/>
  <c r="C250" i="30"/>
  <c r="C251" i="30" s="1"/>
  <c r="C252" i="30" s="1"/>
  <c r="C237" i="30"/>
  <c r="D237" i="30" s="1"/>
  <c r="D283" i="30" s="1"/>
  <c r="B378" i="30" s="1"/>
  <c r="C306" i="30"/>
  <c r="C307" i="30" s="1"/>
  <c r="C308" i="30" s="1"/>
  <c r="C331" i="30" s="1"/>
  <c r="B283" i="30"/>
  <c r="C299" i="30"/>
  <c r="C300" i="30" s="1"/>
  <c r="C301" i="30" s="1"/>
  <c r="C326" i="30" s="1"/>
  <c r="C257" i="30"/>
  <c r="C258" i="30" s="1"/>
  <c r="C259" i="30" s="1"/>
  <c r="E160" i="30"/>
  <c r="F160" i="30" s="1"/>
  <c r="E411" i="40"/>
  <c r="B506" i="40"/>
  <c r="F506" i="40" s="1"/>
  <c r="B422" i="40"/>
  <c r="B425" i="40" s="1"/>
  <c r="B364" i="40"/>
  <c r="C286" i="40"/>
  <c r="C262" i="40"/>
  <c r="C317" i="40" s="1"/>
  <c r="I299" i="39"/>
  <c r="J299" i="39" s="1"/>
  <c r="F287" i="40"/>
  <c r="F282" i="40"/>
  <c r="F280" i="40"/>
  <c r="F277" i="40"/>
  <c r="F274" i="40"/>
  <c r="C263" i="40"/>
  <c r="F276" i="40"/>
  <c r="F275" i="40"/>
  <c r="C296" i="40"/>
  <c r="C300" i="40" s="1"/>
  <c r="F281" i="40"/>
  <c r="F279" i="40"/>
  <c r="F278" i="40"/>
  <c r="F286" i="40"/>
  <c r="K286" i="40" s="1"/>
  <c r="L286" i="40" s="1"/>
  <c r="F283" i="40"/>
  <c r="F272" i="40"/>
  <c r="F285" i="40"/>
  <c r="F273" i="40"/>
  <c r="F271" i="40"/>
  <c r="C256" i="40"/>
  <c r="B428" i="39"/>
  <c r="I309" i="39"/>
  <c r="J309" i="39" s="1"/>
  <c r="E199" i="25"/>
  <c r="G199" i="25" s="1"/>
  <c r="H199" i="25" s="1"/>
  <c r="B455" i="39"/>
  <c r="K309" i="39"/>
  <c r="L309" i="39" s="1"/>
  <c r="E197" i="25"/>
  <c r="G197" i="25" s="1"/>
  <c r="H197" i="25" s="1"/>
  <c r="E195" i="25"/>
  <c r="G195" i="25" s="1"/>
  <c r="H195" i="25" s="1"/>
  <c r="E198" i="25"/>
  <c r="G198" i="25" s="1"/>
  <c r="H198" i="25" s="1"/>
  <c r="D157" i="25"/>
  <c r="D210" i="25" s="1"/>
  <c r="C210" i="25" s="1"/>
  <c r="B305" i="25" s="1"/>
  <c r="B515" i="38"/>
  <c r="E200" i="25"/>
  <c r="G200" i="25" s="1"/>
  <c r="H200" i="25" s="1"/>
  <c r="E194" i="25"/>
  <c r="G194" i="25" s="1"/>
  <c r="H194" i="25" s="1"/>
  <c r="B390" i="25"/>
  <c r="D378" i="25"/>
  <c r="E205" i="25"/>
  <c r="G205" i="25" s="1"/>
  <c r="H205" i="25" s="1"/>
  <c r="E203" i="25"/>
  <c r="G203" i="25" s="1"/>
  <c r="H203" i="25" s="1"/>
  <c r="E193" i="25"/>
  <c r="G193" i="25" s="1"/>
  <c r="H193" i="25" s="1"/>
  <c r="B391" i="37"/>
  <c r="K225" i="37"/>
  <c r="L225" i="37" s="1"/>
  <c r="I225" i="37"/>
  <c r="J225" i="37" s="1"/>
  <c r="B515" i="36"/>
  <c r="C374" i="36"/>
  <c r="C376" i="36"/>
  <c r="B515" i="35"/>
  <c r="D309" i="35"/>
  <c r="C309" i="35" s="1"/>
  <c r="C249" i="35"/>
  <c r="C250" i="35" s="1"/>
  <c r="C260" i="35"/>
  <c r="C261" i="35" s="1"/>
  <c r="C331" i="35"/>
  <c r="C332" i="35" s="1"/>
  <c r="C343" i="35"/>
  <c r="C344" i="35" s="1"/>
  <c r="F309" i="35"/>
  <c r="F310" i="35"/>
  <c r="F306" i="35"/>
  <c r="F308" i="35"/>
  <c r="F304" i="35"/>
  <c r="F307" i="35"/>
  <c r="F305" i="35"/>
  <c r="F299" i="35"/>
  <c r="F295" i="35"/>
  <c r="F291" i="35"/>
  <c r="C281" i="35"/>
  <c r="C282" i="35" s="1"/>
  <c r="C262" i="35"/>
  <c r="C319" i="35"/>
  <c r="F303" i="35"/>
  <c r="F300" i="35"/>
  <c r="F296" i="35"/>
  <c r="F292" i="35"/>
  <c r="F301" i="35"/>
  <c r="F297" i="35"/>
  <c r="F302" i="35"/>
  <c r="F298" i="35"/>
  <c r="F294" i="35"/>
  <c r="F290" i="35"/>
  <c r="C274" i="35"/>
  <c r="C275" i="35" s="1"/>
  <c r="C251" i="35"/>
  <c r="F289" i="35"/>
  <c r="F293" i="35"/>
  <c r="G309" i="35"/>
  <c r="H309" i="35" s="1"/>
  <c r="B353" i="30"/>
  <c r="B330" i="25"/>
  <c r="B209" i="25"/>
  <c r="B208" i="25"/>
  <c r="B377" i="25"/>
  <c r="D377" i="25" s="1"/>
  <c r="B455" i="25"/>
  <c r="E455" i="25" s="1"/>
  <c r="B329" i="25"/>
  <c r="B331" i="25"/>
  <c r="C471" i="13"/>
  <c r="B471" i="13"/>
  <c r="C393" i="13"/>
  <c r="C345" i="13"/>
  <c r="C290" i="13"/>
  <c r="F364" i="42" l="1"/>
  <c r="C380" i="42"/>
  <c r="C401" i="42" s="1"/>
  <c r="F359" i="42"/>
  <c r="F362" i="42"/>
  <c r="K362" i="42" s="1"/>
  <c r="L362" i="42" s="1"/>
  <c r="C345" i="38"/>
  <c r="C346" i="38" s="1"/>
  <c r="K309" i="46"/>
  <c r="L309" i="46" s="1"/>
  <c r="I289" i="46"/>
  <c r="J289" i="46" s="1"/>
  <c r="K297" i="46"/>
  <c r="L297" i="46" s="1"/>
  <c r="F357" i="42"/>
  <c r="F366" i="42"/>
  <c r="F365" i="42"/>
  <c r="C357" i="38"/>
  <c r="C358" i="38" s="1"/>
  <c r="I306" i="46"/>
  <c r="J306" i="46" s="1"/>
  <c r="C333" i="38"/>
  <c r="I304" i="38"/>
  <c r="J304" i="38" s="1"/>
  <c r="C345" i="46"/>
  <c r="C370" i="46"/>
  <c r="C372" i="46" s="1"/>
  <c r="C376" i="46" s="1"/>
  <c r="C333" i="46"/>
  <c r="C334" i="46" s="1"/>
  <c r="E284" i="40"/>
  <c r="G284" i="40" s="1"/>
  <c r="H284" i="40" s="1"/>
  <c r="C312" i="40"/>
  <c r="I305" i="46"/>
  <c r="J305" i="46" s="1"/>
  <c r="I307" i="38"/>
  <c r="J307" i="38" s="1"/>
  <c r="I300" i="46"/>
  <c r="J300" i="46" s="1"/>
  <c r="I290" i="38"/>
  <c r="J290" i="38" s="1"/>
  <c r="I298" i="46"/>
  <c r="J298" i="46" s="1"/>
  <c r="I291" i="46"/>
  <c r="J291" i="46" s="1"/>
  <c r="I310" i="38"/>
  <c r="J310" i="38" s="1"/>
  <c r="F361" i="42"/>
  <c r="I361" i="42" s="1"/>
  <c r="J361" i="42" s="1"/>
  <c r="C396" i="42"/>
  <c r="C397" i="42" s="1"/>
  <c r="F360" i="42"/>
  <c r="K360" i="42" s="1"/>
  <c r="L360" i="42" s="1"/>
  <c r="F363" i="42"/>
  <c r="K363" i="42" s="1"/>
  <c r="L363" i="42" s="1"/>
  <c r="C252" i="46"/>
  <c r="E420" i="30"/>
  <c r="B513" i="30"/>
  <c r="F513" i="30" s="1"/>
  <c r="K228" i="37"/>
  <c r="L228" i="37" s="1"/>
  <c r="K294" i="38"/>
  <c r="L294" i="38" s="1"/>
  <c r="I289" i="38"/>
  <c r="J289" i="38" s="1"/>
  <c r="I303" i="38"/>
  <c r="J303" i="38" s="1"/>
  <c r="I296" i="38"/>
  <c r="J296" i="38" s="1"/>
  <c r="C346" i="46"/>
  <c r="I295" i="38"/>
  <c r="J295" i="38" s="1"/>
  <c r="I300" i="38"/>
  <c r="J300" i="38" s="1"/>
  <c r="I302" i="38"/>
  <c r="J302" i="38" s="1"/>
  <c r="I301" i="38"/>
  <c r="J301" i="38" s="1"/>
  <c r="I297" i="38"/>
  <c r="J297" i="38" s="1"/>
  <c r="I299" i="38"/>
  <c r="J299" i="38" s="1"/>
  <c r="C263" i="38"/>
  <c r="K210" i="37"/>
  <c r="L210" i="37" s="1"/>
  <c r="F191" i="25"/>
  <c r="K191" i="25" s="1"/>
  <c r="L191" i="25" s="1"/>
  <c r="F193" i="25"/>
  <c r="I193" i="25" s="1"/>
  <c r="J193" i="25" s="1"/>
  <c r="I308" i="38"/>
  <c r="J308" i="38" s="1"/>
  <c r="K222" i="37"/>
  <c r="L222" i="37" s="1"/>
  <c r="K217" i="37"/>
  <c r="L217" i="37" s="1"/>
  <c r="C246" i="37"/>
  <c r="C248" i="37" s="1"/>
  <c r="C250" i="37" s="1"/>
  <c r="K230" i="37"/>
  <c r="L230" i="37" s="1"/>
  <c r="I223" i="37"/>
  <c r="J223" i="37" s="1"/>
  <c r="B331" i="37"/>
  <c r="I218" i="37"/>
  <c r="J218" i="37" s="1"/>
  <c r="I211" i="37"/>
  <c r="J211" i="37" s="1"/>
  <c r="K214" i="37"/>
  <c r="L214" i="37" s="1"/>
  <c r="I212" i="37"/>
  <c r="J212" i="37" s="1"/>
  <c r="I229" i="37"/>
  <c r="J229" i="37" s="1"/>
  <c r="C374" i="44"/>
  <c r="D428" i="44" s="1"/>
  <c r="G428" i="44" s="1"/>
  <c r="H428" i="44" s="1"/>
  <c r="K219" i="37"/>
  <c r="L219" i="37" s="1"/>
  <c r="K213" i="37"/>
  <c r="L213" i="37" s="1"/>
  <c r="I224" i="37"/>
  <c r="J224" i="37" s="1"/>
  <c r="K229" i="37"/>
  <c r="L229" i="37" s="1"/>
  <c r="I216" i="37"/>
  <c r="J216" i="37" s="1"/>
  <c r="I220" i="37"/>
  <c r="J220" i="37" s="1"/>
  <c r="I221" i="37"/>
  <c r="J221" i="37" s="1"/>
  <c r="I215" i="37"/>
  <c r="J215" i="37" s="1"/>
  <c r="K227" i="37"/>
  <c r="L227" i="37" s="1"/>
  <c r="I209" i="37"/>
  <c r="J209" i="37" s="1"/>
  <c r="I226" i="37"/>
  <c r="J226" i="37" s="1"/>
  <c r="C220" i="25"/>
  <c r="F198" i="25"/>
  <c r="K198" i="25" s="1"/>
  <c r="L198" i="25" s="1"/>
  <c r="F203" i="25"/>
  <c r="K203" i="25" s="1"/>
  <c r="L203" i="25" s="1"/>
  <c r="F211" i="25"/>
  <c r="I211" i="25" s="1"/>
  <c r="J211" i="25" s="1"/>
  <c r="F199" i="25"/>
  <c r="K199" i="25" s="1"/>
  <c r="L199" i="25" s="1"/>
  <c r="C334" i="38"/>
  <c r="C309" i="38"/>
  <c r="B428" i="38" s="1"/>
  <c r="B332" i="25"/>
  <c r="C374" i="39"/>
  <c r="D426" i="39" s="1"/>
  <c r="G426" i="39" s="1"/>
  <c r="H426" i="39" s="1"/>
  <c r="K309" i="38"/>
  <c r="L309" i="38" s="1"/>
  <c r="C374" i="46"/>
  <c r="D469" i="45"/>
  <c r="G469" i="45" s="1"/>
  <c r="H469" i="45" s="1"/>
  <c r="D464" i="45"/>
  <c r="G464" i="45" s="1"/>
  <c r="H464" i="45" s="1"/>
  <c r="D460" i="45"/>
  <c r="G460" i="45" s="1"/>
  <c r="H460" i="45" s="1"/>
  <c r="D456" i="45"/>
  <c r="G456" i="45" s="1"/>
  <c r="H456" i="45" s="1"/>
  <c r="D468" i="45"/>
  <c r="G468" i="45" s="1"/>
  <c r="H468" i="45" s="1"/>
  <c r="D467" i="45"/>
  <c r="G467" i="45" s="1"/>
  <c r="H467" i="45" s="1"/>
  <c r="D461" i="45"/>
  <c r="G461" i="45" s="1"/>
  <c r="H461" i="45" s="1"/>
  <c r="D458" i="45"/>
  <c r="G458" i="45" s="1"/>
  <c r="H458" i="45" s="1"/>
  <c r="D455" i="45"/>
  <c r="G455" i="45" s="1"/>
  <c r="H455" i="45" s="1"/>
  <c r="D453" i="45"/>
  <c r="G453" i="45" s="1"/>
  <c r="H453" i="45" s="1"/>
  <c r="D463" i="45"/>
  <c r="G463" i="45" s="1"/>
  <c r="H463" i="45" s="1"/>
  <c r="C410" i="45"/>
  <c r="C412" i="45"/>
  <c r="C422" i="45" s="1"/>
  <c r="C423" i="45" s="1"/>
  <c r="D465" i="45"/>
  <c r="G465" i="45" s="1"/>
  <c r="H465" i="45" s="1"/>
  <c r="D462" i="45"/>
  <c r="G462" i="45" s="1"/>
  <c r="H462" i="45" s="1"/>
  <c r="D454" i="45"/>
  <c r="G454" i="45" s="1"/>
  <c r="H454" i="45" s="1"/>
  <c r="D459" i="45"/>
  <c r="G459" i="45" s="1"/>
  <c r="H459" i="45" s="1"/>
  <c r="D466" i="45"/>
  <c r="G466" i="45" s="1"/>
  <c r="H466" i="45" s="1"/>
  <c r="D457" i="45"/>
  <c r="G457" i="45" s="1"/>
  <c r="H457" i="45" s="1"/>
  <c r="C560" i="45"/>
  <c r="D444" i="45"/>
  <c r="G444" i="45" s="1"/>
  <c r="H444" i="45" s="1"/>
  <c r="D440" i="45"/>
  <c r="G440" i="45" s="1"/>
  <c r="H440" i="45" s="1"/>
  <c r="D441" i="45"/>
  <c r="G441" i="45" s="1"/>
  <c r="H441" i="45" s="1"/>
  <c r="D438" i="45"/>
  <c r="G438" i="45" s="1"/>
  <c r="H438" i="45" s="1"/>
  <c r="D435" i="45"/>
  <c r="G435" i="45" s="1"/>
  <c r="H435" i="45" s="1"/>
  <c r="D431" i="45"/>
  <c r="G431" i="45" s="1"/>
  <c r="H431" i="45" s="1"/>
  <c r="C424" i="45"/>
  <c r="C569" i="45"/>
  <c r="D447" i="45"/>
  <c r="G447" i="45" s="1"/>
  <c r="H447" i="45" s="1"/>
  <c r="D443" i="45"/>
  <c r="G443" i="45" s="1"/>
  <c r="H443" i="45" s="1"/>
  <c r="D439" i="45"/>
  <c r="G439" i="45" s="1"/>
  <c r="H439" i="45" s="1"/>
  <c r="D436" i="45"/>
  <c r="G436" i="45" s="1"/>
  <c r="H436" i="45" s="1"/>
  <c r="D434" i="45"/>
  <c r="G434" i="45" s="1"/>
  <c r="H434" i="45" s="1"/>
  <c r="D432" i="45"/>
  <c r="G432" i="45" s="1"/>
  <c r="H432" i="45" s="1"/>
  <c r="D445" i="45"/>
  <c r="G445" i="45" s="1"/>
  <c r="H445" i="45" s="1"/>
  <c r="D446" i="45"/>
  <c r="G446" i="45" s="1"/>
  <c r="H446" i="45" s="1"/>
  <c r="C419" i="45"/>
  <c r="D437" i="45"/>
  <c r="G437" i="45" s="1"/>
  <c r="H437" i="45" s="1"/>
  <c r="D433" i="45"/>
  <c r="G433" i="45" s="1"/>
  <c r="H433" i="45" s="1"/>
  <c r="D442" i="45"/>
  <c r="G442" i="45" s="1"/>
  <c r="H442" i="45" s="1"/>
  <c r="B517" i="45"/>
  <c r="F208" i="25"/>
  <c r="K208" i="25" s="1"/>
  <c r="L208" i="25" s="1"/>
  <c r="F210" i="25"/>
  <c r="I210" i="25" s="1"/>
  <c r="J210" i="25" s="1"/>
  <c r="F194" i="25"/>
  <c r="K194" i="25" s="1"/>
  <c r="L194" i="25" s="1"/>
  <c r="D421" i="44"/>
  <c r="G421" i="44" s="1"/>
  <c r="H421" i="44" s="1"/>
  <c r="F207" i="25"/>
  <c r="K207" i="25" s="1"/>
  <c r="L207" i="25" s="1"/>
  <c r="C182" i="25"/>
  <c r="C183" i="25" s="1"/>
  <c r="F204" i="25"/>
  <c r="K204" i="25" s="1"/>
  <c r="L204" i="25" s="1"/>
  <c r="F206" i="25"/>
  <c r="K206" i="25" s="1"/>
  <c r="L206" i="25" s="1"/>
  <c r="F200" i="25"/>
  <c r="K200" i="25" s="1"/>
  <c r="L200" i="25" s="1"/>
  <c r="F201" i="25"/>
  <c r="K201" i="25" s="1"/>
  <c r="L201" i="25" s="1"/>
  <c r="D456" i="44"/>
  <c r="G456" i="44" s="1"/>
  <c r="H456" i="44" s="1"/>
  <c r="D453" i="44"/>
  <c r="G453" i="44" s="1"/>
  <c r="H453" i="44" s="1"/>
  <c r="D449" i="44"/>
  <c r="G449" i="44" s="1"/>
  <c r="H449" i="44" s="1"/>
  <c r="D445" i="44"/>
  <c r="G445" i="44" s="1"/>
  <c r="H445" i="44" s="1"/>
  <c r="D441" i="44"/>
  <c r="G441" i="44" s="1"/>
  <c r="H441" i="44" s="1"/>
  <c r="D437" i="44"/>
  <c r="G437" i="44" s="1"/>
  <c r="H437" i="44" s="1"/>
  <c r="D455" i="44"/>
  <c r="G455" i="44" s="1"/>
  <c r="H455" i="44" s="1"/>
  <c r="D450" i="44"/>
  <c r="G450" i="44" s="1"/>
  <c r="H450" i="44" s="1"/>
  <c r="D446" i="44"/>
  <c r="G446" i="44" s="1"/>
  <c r="H446" i="44" s="1"/>
  <c r="D442" i="44"/>
  <c r="G442" i="44" s="1"/>
  <c r="H442" i="44" s="1"/>
  <c r="D438" i="44"/>
  <c r="G438" i="44" s="1"/>
  <c r="H438" i="44" s="1"/>
  <c r="D452" i="44"/>
  <c r="G452" i="44" s="1"/>
  <c r="H452" i="44" s="1"/>
  <c r="D444" i="44"/>
  <c r="G444" i="44" s="1"/>
  <c r="H444" i="44" s="1"/>
  <c r="D436" i="44"/>
  <c r="G436" i="44" s="1"/>
  <c r="H436" i="44" s="1"/>
  <c r="D454" i="44"/>
  <c r="G454" i="44" s="1"/>
  <c r="H454" i="44" s="1"/>
  <c r="D447" i="44"/>
  <c r="G447" i="44" s="1"/>
  <c r="H447" i="44" s="1"/>
  <c r="D439" i="44"/>
  <c r="G439" i="44" s="1"/>
  <c r="H439" i="44" s="1"/>
  <c r="C380" i="44"/>
  <c r="C399" i="44" s="1"/>
  <c r="C400" i="44" s="1"/>
  <c r="D448" i="44"/>
  <c r="G448" i="44" s="1"/>
  <c r="H448" i="44" s="1"/>
  <c r="D451" i="44"/>
  <c r="G451" i="44" s="1"/>
  <c r="H451" i="44" s="1"/>
  <c r="C378" i="44"/>
  <c r="D435" i="44"/>
  <c r="G435" i="44" s="1"/>
  <c r="H435" i="44" s="1"/>
  <c r="D440" i="44"/>
  <c r="G440" i="44" s="1"/>
  <c r="H440" i="44" s="1"/>
  <c r="D443" i="44"/>
  <c r="G443" i="44" s="1"/>
  <c r="H443" i="44" s="1"/>
  <c r="F195" i="25"/>
  <c r="K195" i="25" s="1"/>
  <c r="L195" i="25" s="1"/>
  <c r="F205" i="25"/>
  <c r="K205" i="25" s="1"/>
  <c r="L205" i="25" s="1"/>
  <c r="C348" i="42"/>
  <c r="F209" i="25"/>
  <c r="K209" i="25" s="1"/>
  <c r="L209" i="25" s="1"/>
  <c r="F190" i="25"/>
  <c r="K190" i="25" s="1"/>
  <c r="L190" i="25" s="1"/>
  <c r="C175" i="25"/>
  <c r="C176" i="25" s="1"/>
  <c r="F196" i="25"/>
  <c r="I196" i="25" s="1"/>
  <c r="J196" i="25" s="1"/>
  <c r="F202" i="25"/>
  <c r="K202" i="25" s="1"/>
  <c r="L202" i="25" s="1"/>
  <c r="F192" i="25"/>
  <c r="K192" i="25" s="1"/>
  <c r="L192" i="25" s="1"/>
  <c r="E368" i="42"/>
  <c r="G368" i="42" s="1"/>
  <c r="H368" i="42" s="1"/>
  <c r="E364" i="42"/>
  <c r="G364" i="42" s="1"/>
  <c r="H364" i="42" s="1"/>
  <c r="E361" i="42"/>
  <c r="G361" i="42" s="1"/>
  <c r="H361" i="42" s="1"/>
  <c r="E358" i="42"/>
  <c r="G358" i="42" s="1"/>
  <c r="H358" i="42" s="1"/>
  <c r="E355" i="42"/>
  <c r="G355" i="42" s="1"/>
  <c r="H355" i="42" s="1"/>
  <c r="E369" i="42"/>
  <c r="G369" i="42" s="1"/>
  <c r="H369" i="42" s="1"/>
  <c r="E365" i="42"/>
  <c r="G365" i="42" s="1"/>
  <c r="H365" i="42" s="1"/>
  <c r="E362" i="42"/>
  <c r="G362" i="42" s="1"/>
  <c r="H362" i="42" s="1"/>
  <c r="E356" i="42"/>
  <c r="G356" i="42" s="1"/>
  <c r="H356" i="42" s="1"/>
  <c r="E366" i="42"/>
  <c r="G366" i="42" s="1"/>
  <c r="H366" i="42" s="1"/>
  <c r="E363" i="42"/>
  <c r="G363" i="42" s="1"/>
  <c r="H363" i="42" s="1"/>
  <c r="E371" i="42"/>
  <c r="G371" i="42" s="1"/>
  <c r="H371" i="42" s="1"/>
  <c r="E360" i="42"/>
  <c r="G360" i="42" s="1"/>
  <c r="H360" i="42" s="1"/>
  <c r="E357" i="42"/>
  <c r="G357" i="42" s="1"/>
  <c r="H357" i="42" s="1"/>
  <c r="E370" i="42"/>
  <c r="G370" i="42" s="1"/>
  <c r="H370" i="42" s="1"/>
  <c r="E367" i="42"/>
  <c r="G367" i="42" s="1"/>
  <c r="H367" i="42" s="1"/>
  <c r="C341" i="42"/>
  <c r="E359" i="42"/>
  <c r="G359" i="42" s="1"/>
  <c r="H359" i="42" s="1"/>
  <c r="B443" i="42"/>
  <c r="I370" i="42"/>
  <c r="J370" i="42" s="1"/>
  <c r="K358" i="42"/>
  <c r="L358" i="42" s="1"/>
  <c r="I358" i="42"/>
  <c r="J358" i="42" s="1"/>
  <c r="K367" i="42"/>
  <c r="L367" i="42" s="1"/>
  <c r="I367" i="42"/>
  <c r="J367" i="42" s="1"/>
  <c r="K357" i="42"/>
  <c r="L357" i="42" s="1"/>
  <c r="I357" i="42"/>
  <c r="J357" i="42" s="1"/>
  <c r="K359" i="42"/>
  <c r="L359" i="42" s="1"/>
  <c r="I359" i="42"/>
  <c r="J359" i="42" s="1"/>
  <c r="K369" i="42"/>
  <c r="L369" i="42" s="1"/>
  <c r="I369" i="42"/>
  <c r="J369" i="42" s="1"/>
  <c r="K355" i="42"/>
  <c r="L355" i="42" s="1"/>
  <c r="I355" i="42"/>
  <c r="J355" i="42" s="1"/>
  <c r="C405" i="42"/>
  <c r="C403" i="42"/>
  <c r="K365" i="42"/>
  <c r="L365" i="42" s="1"/>
  <c r="I365" i="42"/>
  <c r="J365" i="42" s="1"/>
  <c r="C413" i="42"/>
  <c r="C390" i="42"/>
  <c r="B602" i="42"/>
  <c r="F602" i="42" s="1"/>
  <c r="E511" i="42"/>
  <c r="B522" i="42"/>
  <c r="K361" i="42"/>
  <c r="L361" i="42" s="1"/>
  <c r="K356" i="42"/>
  <c r="L356" i="42" s="1"/>
  <c r="I356" i="42"/>
  <c r="J356" i="42" s="1"/>
  <c r="C418" i="42"/>
  <c r="C376" i="38"/>
  <c r="C374" i="38"/>
  <c r="K364" i="42"/>
  <c r="L364" i="42" s="1"/>
  <c r="I364" i="42"/>
  <c r="J364" i="42" s="1"/>
  <c r="K368" i="42"/>
  <c r="L368" i="42" s="1"/>
  <c r="I368" i="42"/>
  <c r="J368" i="42" s="1"/>
  <c r="K371" i="42"/>
  <c r="L371" i="42" s="1"/>
  <c r="I371" i="42"/>
  <c r="J371" i="42" s="1"/>
  <c r="I366" i="42"/>
  <c r="J366" i="42" s="1"/>
  <c r="K366" i="42"/>
  <c r="L366" i="42" s="1"/>
  <c r="I362" i="42"/>
  <c r="J362" i="42" s="1"/>
  <c r="K279" i="40"/>
  <c r="L279" i="40" s="1"/>
  <c r="I279" i="40"/>
  <c r="J279" i="40" s="1"/>
  <c r="K276" i="40"/>
  <c r="L276" i="40" s="1"/>
  <c r="I276" i="40"/>
  <c r="J276" i="40" s="1"/>
  <c r="K277" i="40"/>
  <c r="L277" i="40" s="1"/>
  <c r="I277" i="40"/>
  <c r="J277" i="40" s="1"/>
  <c r="K283" i="40"/>
  <c r="L283" i="40" s="1"/>
  <c r="I283" i="40"/>
  <c r="J283" i="40" s="1"/>
  <c r="K281" i="40"/>
  <c r="L281" i="40" s="1"/>
  <c r="I281" i="40"/>
  <c r="J281" i="40" s="1"/>
  <c r="I280" i="40"/>
  <c r="J280" i="40" s="1"/>
  <c r="K280" i="40"/>
  <c r="L280" i="40" s="1"/>
  <c r="K282" i="40"/>
  <c r="L282" i="40" s="1"/>
  <c r="I282" i="40"/>
  <c r="J282" i="40" s="1"/>
  <c r="K285" i="40"/>
  <c r="L285" i="40" s="1"/>
  <c r="I285" i="40"/>
  <c r="J285" i="40" s="1"/>
  <c r="K278" i="40"/>
  <c r="L278" i="40" s="1"/>
  <c r="I278" i="40"/>
  <c r="J278" i="40" s="1"/>
  <c r="K275" i="40"/>
  <c r="L275" i="40" s="1"/>
  <c r="I275" i="40"/>
  <c r="J275" i="40" s="1"/>
  <c r="K274" i="40"/>
  <c r="L274" i="40" s="1"/>
  <c r="I274" i="40"/>
  <c r="J274" i="40" s="1"/>
  <c r="B423" i="30"/>
  <c r="E423" i="30" s="1"/>
  <c r="F270" i="30"/>
  <c r="F274" i="30"/>
  <c r="F278" i="30"/>
  <c r="F282" i="30"/>
  <c r="F271" i="30"/>
  <c r="F275" i="30"/>
  <c r="F279" i="30"/>
  <c r="F283" i="30"/>
  <c r="K283" i="30" s="1"/>
  <c r="L283" i="30" s="1"/>
  <c r="F272" i="30"/>
  <c r="F276" i="30"/>
  <c r="F280" i="30"/>
  <c r="F273" i="30"/>
  <c r="F277" i="30"/>
  <c r="F281" i="30"/>
  <c r="E272" i="30"/>
  <c r="G272" i="30" s="1"/>
  <c r="H272" i="30" s="1"/>
  <c r="E276" i="30"/>
  <c r="G276" i="30" s="1"/>
  <c r="H276" i="30" s="1"/>
  <c r="E280" i="30"/>
  <c r="G280" i="30" s="1"/>
  <c r="H280" i="30" s="1"/>
  <c r="E273" i="30"/>
  <c r="G273" i="30" s="1"/>
  <c r="H273" i="30" s="1"/>
  <c r="E277" i="30"/>
  <c r="G277" i="30" s="1"/>
  <c r="H277" i="30" s="1"/>
  <c r="E281" i="30"/>
  <c r="G281" i="30" s="1"/>
  <c r="H281" i="30" s="1"/>
  <c r="E270" i="30"/>
  <c r="G270" i="30" s="1"/>
  <c r="H270" i="30" s="1"/>
  <c r="E274" i="30"/>
  <c r="G274" i="30" s="1"/>
  <c r="H274" i="30" s="1"/>
  <c r="E278" i="30"/>
  <c r="G278" i="30" s="1"/>
  <c r="H278" i="30" s="1"/>
  <c r="E282" i="30"/>
  <c r="G282" i="30" s="1"/>
  <c r="H282" i="30" s="1"/>
  <c r="E275" i="30"/>
  <c r="G275" i="30" s="1"/>
  <c r="H275" i="30" s="1"/>
  <c r="E279" i="30"/>
  <c r="G279" i="30" s="1"/>
  <c r="H279" i="30" s="1"/>
  <c r="E283" i="30"/>
  <c r="G283" i="30" s="1"/>
  <c r="H283" i="30" s="1"/>
  <c r="E271" i="30"/>
  <c r="G271" i="30" s="1"/>
  <c r="H271" i="30" s="1"/>
  <c r="C293" i="30"/>
  <c r="C314" i="30" s="1"/>
  <c r="C316" i="30" s="1"/>
  <c r="C283" i="30"/>
  <c r="C302" i="30"/>
  <c r="C303" i="30" s="1"/>
  <c r="C309" i="30"/>
  <c r="C310" i="30" s="1"/>
  <c r="C253" i="30"/>
  <c r="C254" i="30" s="1"/>
  <c r="C260" i="30"/>
  <c r="C261" i="30" s="1"/>
  <c r="F284" i="30"/>
  <c r="K284" i="30" s="1"/>
  <c r="L284" i="30" s="1"/>
  <c r="F269" i="30"/>
  <c r="K269" i="30" s="1"/>
  <c r="L269" i="30" s="1"/>
  <c r="F268" i="30"/>
  <c r="I268" i="30" s="1"/>
  <c r="J268" i="30" s="1"/>
  <c r="C264" i="40"/>
  <c r="K272" i="40"/>
  <c r="L272" i="40" s="1"/>
  <c r="I272" i="40"/>
  <c r="J272" i="40" s="1"/>
  <c r="K273" i="40"/>
  <c r="L273" i="40" s="1"/>
  <c r="I273" i="40"/>
  <c r="J273" i="40" s="1"/>
  <c r="C302" i="40"/>
  <c r="D340" i="40" s="1"/>
  <c r="G340" i="40" s="1"/>
  <c r="H340" i="40" s="1"/>
  <c r="C304" i="40"/>
  <c r="D362" i="40" s="1"/>
  <c r="G362" i="40" s="1"/>
  <c r="H362" i="40" s="1"/>
  <c r="E286" i="40"/>
  <c r="G286" i="40" s="1"/>
  <c r="H286" i="40" s="1"/>
  <c r="E276" i="40"/>
  <c r="G276" i="40" s="1"/>
  <c r="H276" i="40" s="1"/>
  <c r="E272" i="40"/>
  <c r="G272" i="40" s="1"/>
  <c r="H272" i="40" s="1"/>
  <c r="E285" i="40"/>
  <c r="G285" i="40" s="1"/>
  <c r="H285" i="40" s="1"/>
  <c r="E283" i="40"/>
  <c r="G283" i="40" s="1"/>
  <c r="H283" i="40" s="1"/>
  <c r="E281" i="40"/>
  <c r="G281" i="40" s="1"/>
  <c r="H281" i="40" s="1"/>
  <c r="E280" i="40"/>
  <c r="G280" i="40" s="1"/>
  <c r="H280" i="40" s="1"/>
  <c r="E279" i="40"/>
  <c r="G279" i="40" s="1"/>
  <c r="H279" i="40" s="1"/>
  <c r="E278" i="40"/>
  <c r="G278" i="40" s="1"/>
  <c r="H278" i="40" s="1"/>
  <c r="E277" i="40"/>
  <c r="G277" i="40" s="1"/>
  <c r="H277" i="40" s="1"/>
  <c r="E273" i="40"/>
  <c r="G273" i="40" s="1"/>
  <c r="H273" i="40" s="1"/>
  <c r="E271" i="40"/>
  <c r="G271" i="40" s="1"/>
  <c r="H271" i="40" s="1"/>
  <c r="E282" i="40"/>
  <c r="G282" i="40" s="1"/>
  <c r="H282" i="40" s="1"/>
  <c r="E275" i="40"/>
  <c r="G275" i="40" s="1"/>
  <c r="H275" i="40" s="1"/>
  <c r="E274" i="40"/>
  <c r="G274" i="40" s="1"/>
  <c r="H274" i="40" s="1"/>
  <c r="C257" i="40"/>
  <c r="E287" i="40"/>
  <c r="G287" i="40" s="1"/>
  <c r="H287" i="40" s="1"/>
  <c r="K271" i="40"/>
  <c r="L271" i="40" s="1"/>
  <c r="I271" i="40"/>
  <c r="J271" i="40" s="1"/>
  <c r="K287" i="40"/>
  <c r="L287" i="40" s="1"/>
  <c r="I287" i="40"/>
  <c r="J287" i="40" s="1"/>
  <c r="B342" i="40"/>
  <c r="I286" i="40"/>
  <c r="J286" i="40" s="1"/>
  <c r="D456" i="39"/>
  <c r="G456" i="39" s="1"/>
  <c r="H456" i="39" s="1"/>
  <c r="D452" i="39"/>
  <c r="G452" i="39" s="1"/>
  <c r="H452" i="39" s="1"/>
  <c r="D448" i="39"/>
  <c r="G448" i="39" s="1"/>
  <c r="H448" i="39" s="1"/>
  <c r="D454" i="39"/>
  <c r="G454" i="39" s="1"/>
  <c r="H454" i="39" s="1"/>
  <c r="D451" i="39"/>
  <c r="G451" i="39" s="1"/>
  <c r="H451" i="39" s="1"/>
  <c r="D445" i="39"/>
  <c r="G445" i="39" s="1"/>
  <c r="H445" i="39" s="1"/>
  <c r="D441" i="39"/>
  <c r="G441" i="39" s="1"/>
  <c r="H441" i="39" s="1"/>
  <c r="D437" i="39"/>
  <c r="G437" i="39" s="1"/>
  <c r="H437" i="39" s="1"/>
  <c r="D453" i="39"/>
  <c r="G453" i="39" s="1"/>
  <c r="H453" i="39" s="1"/>
  <c r="D450" i="39"/>
  <c r="G450" i="39" s="1"/>
  <c r="H450" i="39" s="1"/>
  <c r="D447" i="39"/>
  <c r="G447" i="39" s="1"/>
  <c r="H447" i="39" s="1"/>
  <c r="D442" i="39"/>
  <c r="G442" i="39" s="1"/>
  <c r="H442" i="39" s="1"/>
  <c r="D438" i="39"/>
  <c r="G438" i="39" s="1"/>
  <c r="H438" i="39" s="1"/>
  <c r="D443" i="39"/>
  <c r="G443" i="39" s="1"/>
  <c r="H443" i="39" s="1"/>
  <c r="D446" i="39"/>
  <c r="G446" i="39" s="1"/>
  <c r="H446" i="39" s="1"/>
  <c r="D440" i="39"/>
  <c r="G440" i="39" s="1"/>
  <c r="H440" i="39" s="1"/>
  <c r="C380" i="39"/>
  <c r="C399" i="39" s="1"/>
  <c r="C400" i="39" s="1"/>
  <c r="D444" i="39"/>
  <c r="G444" i="39" s="1"/>
  <c r="H444" i="39" s="1"/>
  <c r="D449" i="39"/>
  <c r="G449" i="39" s="1"/>
  <c r="H449" i="39" s="1"/>
  <c r="D439" i="39"/>
  <c r="G439" i="39" s="1"/>
  <c r="H439" i="39" s="1"/>
  <c r="C378" i="39"/>
  <c r="D455" i="39"/>
  <c r="G455" i="39" s="1"/>
  <c r="H455" i="39" s="1"/>
  <c r="D436" i="39"/>
  <c r="G436" i="39" s="1"/>
  <c r="H436" i="39" s="1"/>
  <c r="D435" i="39"/>
  <c r="G435" i="39" s="1"/>
  <c r="H435" i="39" s="1"/>
  <c r="K197" i="25"/>
  <c r="L197" i="25" s="1"/>
  <c r="I197" i="25"/>
  <c r="J197" i="25" s="1"/>
  <c r="C553" i="36"/>
  <c r="D429" i="36"/>
  <c r="G429" i="36" s="1"/>
  <c r="H429" i="36" s="1"/>
  <c r="C545" i="36"/>
  <c r="D424" i="36"/>
  <c r="G424" i="36" s="1"/>
  <c r="H424" i="36" s="1"/>
  <c r="D420" i="36"/>
  <c r="G420" i="36" s="1"/>
  <c r="H420" i="36" s="1"/>
  <c r="D416" i="36"/>
  <c r="G416" i="36" s="1"/>
  <c r="H416" i="36" s="1"/>
  <c r="D412" i="36"/>
  <c r="G412" i="36" s="1"/>
  <c r="H412" i="36" s="1"/>
  <c r="D408" i="36"/>
  <c r="G408" i="36" s="1"/>
  <c r="H408" i="36" s="1"/>
  <c r="C401" i="36"/>
  <c r="D425" i="36"/>
  <c r="G425" i="36" s="1"/>
  <c r="H425" i="36" s="1"/>
  <c r="D421" i="36"/>
  <c r="G421" i="36" s="1"/>
  <c r="H421" i="36" s="1"/>
  <c r="D417" i="36"/>
  <c r="G417" i="36" s="1"/>
  <c r="H417" i="36" s="1"/>
  <c r="D413" i="36"/>
  <c r="G413" i="36" s="1"/>
  <c r="H413" i="36" s="1"/>
  <c r="D409" i="36"/>
  <c r="G409" i="36" s="1"/>
  <c r="H409" i="36" s="1"/>
  <c r="C392" i="36"/>
  <c r="D426" i="36"/>
  <c r="G426" i="36" s="1"/>
  <c r="H426" i="36" s="1"/>
  <c r="D418" i="36"/>
  <c r="G418" i="36" s="1"/>
  <c r="H418" i="36" s="1"/>
  <c r="D410" i="36"/>
  <c r="G410" i="36" s="1"/>
  <c r="H410" i="36" s="1"/>
  <c r="D428" i="36"/>
  <c r="G428" i="36" s="1"/>
  <c r="H428" i="36" s="1"/>
  <c r="D419" i="36"/>
  <c r="G419" i="36" s="1"/>
  <c r="H419" i="36" s="1"/>
  <c r="D411" i="36"/>
  <c r="G411" i="36" s="1"/>
  <c r="H411" i="36" s="1"/>
  <c r="D414" i="36"/>
  <c r="G414" i="36" s="1"/>
  <c r="H414" i="36" s="1"/>
  <c r="D423" i="36"/>
  <c r="G423" i="36" s="1"/>
  <c r="H423" i="36" s="1"/>
  <c r="D427" i="36"/>
  <c r="G427" i="36" s="1"/>
  <c r="H427" i="36" s="1"/>
  <c r="D422" i="36"/>
  <c r="G422" i="36" s="1"/>
  <c r="H422" i="36" s="1"/>
  <c r="D415" i="36"/>
  <c r="G415" i="36" s="1"/>
  <c r="H415" i="36" s="1"/>
  <c r="D456" i="36"/>
  <c r="G456" i="36" s="1"/>
  <c r="H456" i="36" s="1"/>
  <c r="D453" i="36"/>
  <c r="G453" i="36" s="1"/>
  <c r="H453" i="36" s="1"/>
  <c r="D450" i="36"/>
  <c r="G450" i="36" s="1"/>
  <c r="H450" i="36" s="1"/>
  <c r="D446" i="36"/>
  <c r="G446" i="36" s="1"/>
  <c r="H446" i="36" s="1"/>
  <c r="D442" i="36"/>
  <c r="G442" i="36" s="1"/>
  <c r="H442" i="36" s="1"/>
  <c r="D438" i="36"/>
  <c r="G438" i="36" s="1"/>
  <c r="H438" i="36" s="1"/>
  <c r="D451" i="36"/>
  <c r="G451" i="36" s="1"/>
  <c r="H451" i="36" s="1"/>
  <c r="D447" i="36"/>
  <c r="G447" i="36" s="1"/>
  <c r="H447" i="36" s="1"/>
  <c r="D443" i="36"/>
  <c r="G443" i="36" s="1"/>
  <c r="H443" i="36" s="1"/>
  <c r="D439" i="36"/>
  <c r="G439" i="36" s="1"/>
  <c r="H439" i="36" s="1"/>
  <c r="D435" i="36"/>
  <c r="G435" i="36" s="1"/>
  <c r="H435" i="36" s="1"/>
  <c r="D455" i="36"/>
  <c r="G455" i="36" s="1"/>
  <c r="H455" i="36" s="1"/>
  <c r="D452" i="36"/>
  <c r="G452" i="36" s="1"/>
  <c r="H452" i="36" s="1"/>
  <c r="D444" i="36"/>
  <c r="G444" i="36" s="1"/>
  <c r="H444" i="36" s="1"/>
  <c r="D436" i="36"/>
  <c r="G436" i="36" s="1"/>
  <c r="H436" i="36" s="1"/>
  <c r="C378" i="36"/>
  <c r="D445" i="36"/>
  <c r="G445" i="36" s="1"/>
  <c r="H445" i="36" s="1"/>
  <c r="D437" i="36"/>
  <c r="G437" i="36" s="1"/>
  <c r="H437" i="36" s="1"/>
  <c r="D440" i="36"/>
  <c r="G440" i="36" s="1"/>
  <c r="H440" i="36" s="1"/>
  <c r="D454" i="36"/>
  <c r="G454" i="36" s="1"/>
  <c r="H454" i="36" s="1"/>
  <c r="D449" i="36"/>
  <c r="G449" i="36" s="1"/>
  <c r="H449" i="36" s="1"/>
  <c r="D448" i="36"/>
  <c r="G448" i="36" s="1"/>
  <c r="H448" i="36" s="1"/>
  <c r="D441" i="36"/>
  <c r="G441" i="36" s="1"/>
  <c r="H441" i="36" s="1"/>
  <c r="C380" i="36"/>
  <c r="C399" i="36" s="1"/>
  <c r="C400" i="36" s="1"/>
  <c r="C252" i="35"/>
  <c r="I309" i="35"/>
  <c r="J309" i="35" s="1"/>
  <c r="B428" i="35"/>
  <c r="K289" i="35"/>
  <c r="L289" i="35" s="1"/>
  <c r="I289" i="35"/>
  <c r="J289" i="35" s="1"/>
  <c r="K294" i="35"/>
  <c r="L294" i="35" s="1"/>
  <c r="I294" i="35"/>
  <c r="J294" i="35" s="1"/>
  <c r="K301" i="35"/>
  <c r="L301" i="35" s="1"/>
  <c r="I301" i="35"/>
  <c r="J301" i="35" s="1"/>
  <c r="K303" i="35"/>
  <c r="L303" i="35" s="1"/>
  <c r="I303" i="35"/>
  <c r="J303" i="35" s="1"/>
  <c r="K291" i="35"/>
  <c r="L291" i="35" s="1"/>
  <c r="I291" i="35"/>
  <c r="J291" i="35" s="1"/>
  <c r="K307" i="35"/>
  <c r="L307" i="35" s="1"/>
  <c r="I307" i="35"/>
  <c r="J307" i="35" s="1"/>
  <c r="K310" i="35"/>
  <c r="L310" i="35" s="1"/>
  <c r="I310" i="35"/>
  <c r="J310" i="35" s="1"/>
  <c r="I298" i="35"/>
  <c r="J298" i="35" s="1"/>
  <c r="K298" i="35"/>
  <c r="L298" i="35" s="1"/>
  <c r="K292" i="35"/>
  <c r="L292" i="35" s="1"/>
  <c r="I292" i="35"/>
  <c r="J292" i="35" s="1"/>
  <c r="C345" i="35"/>
  <c r="C346" i="35" s="1"/>
  <c r="C333" i="35"/>
  <c r="C334" i="35" s="1"/>
  <c r="C370" i="35"/>
  <c r="C372" i="35" s="1"/>
  <c r="C365" i="35"/>
  <c r="C366" i="35" s="1"/>
  <c r="C357" i="35"/>
  <c r="C358" i="35" s="1"/>
  <c r="I295" i="35"/>
  <c r="J295" i="35" s="1"/>
  <c r="K295" i="35"/>
  <c r="L295" i="35" s="1"/>
  <c r="K304" i="35"/>
  <c r="L304" i="35" s="1"/>
  <c r="I304" i="35"/>
  <c r="J304" i="35" s="1"/>
  <c r="C263" i="35"/>
  <c r="K302" i="35"/>
  <c r="L302" i="35" s="1"/>
  <c r="I302" i="35"/>
  <c r="J302" i="35" s="1"/>
  <c r="I296" i="35"/>
  <c r="J296" i="35" s="1"/>
  <c r="K296" i="35"/>
  <c r="L296" i="35" s="1"/>
  <c r="K299" i="35"/>
  <c r="L299" i="35" s="1"/>
  <c r="I299" i="35"/>
  <c r="J299" i="35" s="1"/>
  <c r="K308" i="35"/>
  <c r="L308" i="35" s="1"/>
  <c r="I308" i="35"/>
  <c r="J308" i="35" s="1"/>
  <c r="I293" i="35"/>
  <c r="J293" i="35" s="1"/>
  <c r="K293" i="35"/>
  <c r="L293" i="35" s="1"/>
  <c r="K290" i="35"/>
  <c r="L290" i="35" s="1"/>
  <c r="I290" i="35"/>
  <c r="J290" i="35" s="1"/>
  <c r="K297" i="35"/>
  <c r="L297" i="35" s="1"/>
  <c r="I297" i="35"/>
  <c r="J297" i="35" s="1"/>
  <c r="K300" i="35"/>
  <c r="L300" i="35" s="1"/>
  <c r="I300" i="35"/>
  <c r="J300" i="35" s="1"/>
  <c r="I305" i="35"/>
  <c r="J305" i="35" s="1"/>
  <c r="K305" i="35"/>
  <c r="L305" i="35" s="1"/>
  <c r="K306" i="35"/>
  <c r="L306" i="35" s="1"/>
  <c r="I306" i="35"/>
  <c r="J306" i="35" s="1"/>
  <c r="B455" i="35"/>
  <c r="K309" i="35"/>
  <c r="L309" i="35" s="1"/>
  <c r="C567" i="13"/>
  <c r="C544" i="13"/>
  <c r="C568" i="13"/>
  <c r="C545" i="13"/>
  <c r="E268" i="30"/>
  <c r="G268" i="30" s="1"/>
  <c r="H268" i="30" s="1"/>
  <c r="E284" i="30"/>
  <c r="G284" i="30" s="1"/>
  <c r="H284" i="30" s="1"/>
  <c r="E269" i="30"/>
  <c r="G269" i="30" s="1"/>
  <c r="H269" i="30" s="1"/>
  <c r="B393" i="25"/>
  <c r="C209" i="25"/>
  <c r="G209" i="25"/>
  <c r="H209" i="25" s="1"/>
  <c r="B302" i="25"/>
  <c r="C208" i="25"/>
  <c r="G208" i="25"/>
  <c r="H208" i="25" s="1"/>
  <c r="C577" i="13"/>
  <c r="C578" i="13"/>
  <c r="C558" i="13"/>
  <c r="C559" i="13"/>
  <c r="I363" i="42" l="1"/>
  <c r="J363" i="42" s="1"/>
  <c r="I360" i="42"/>
  <c r="J360" i="42" s="1"/>
  <c r="I191" i="25"/>
  <c r="J191" i="25" s="1"/>
  <c r="K193" i="25"/>
  <c r="L193" i="25" s="1"/>
  <c r="C392" i="44"/>
  <c r="D427" i="44"/>
  <c r="G427" i="44" s="1"/>
  <c r="H427" i="44" s="1"/>
  <c r="D423" i="44"/>
  <c r="G423" i="44" s="1"/>
  <c r="H423" i="44" s="1"/>
  <c r="D408" i="44"/>
  <c r="G408" i="44" s="1"/>
  <c r="H408" i="44" s="1"/>
  <c r="D419" i="44"/>
  <c r="G419" i="44" s="1"/>
  <c r="H419" i="44" s="1"/>
  <c r="D412" i="44"/>
  <c r="G412" i="44" s="1"/>
  <c r="H412" i="44" s="1"/>
  <c r="D409" i="44"/>
  <c r="G409" i="44" s="1"/>
  <c r="H409" i="44" s="1"/>
  <c r="D418" i="44"/>
  <c r="G418" i="44" s="1"/>
  <c r="H418" i="44" s="1"/>
  <c r="C545" i="44"/>
  <c r="D416" i="44"/>
  <c r="G416" i="44" s="1"/>
  <c r="H416" i="44" s="1"/>
  <c r="D424" i="44"/>
  <c r="G424" i="44" s="1"/>
  <c r="H424" i="44" s="1"/>
  <c r="D411" i="44"/>
  <c r="G411" i="44" s="1"/>
  <c r="H411" i="44" s="1"/>
  <c r="D417" i="44"/>
  <c r="G417" i="44" s="1"/>
  <c r="H417" i="44" s="1"/>
  <c r="C252" i="37"/>
  <c r="D327" i="37" s="1"/>
  <c r="G327" i="37" s="1"/>
  <c r="H327" i="37" s="1"/>
  <c r="I198" i="25"/>
  <c r="J198" i="25" s="1"/>
  <c r="I206" i="25"/>
  <c r="J206" i="25" s="1"/>
  <c r="D420" i="39"/>
  <c r="G420" i="39" s="1"/>
  <c r="H420" i="39" s="1"/>
  <c r="D415" i="44"/>
  <c r="G415" i="44" s="1"/>
  <c r="H415" i="44" s="1"/>
  <c r="D422" i="44"/>
  <c r="G422" i="44" s="1"/>
  <c r="H422" i="44" s="1"/>
  <c r="I204" i="25"/>
  <c r="J204" i="25" s="1"/>
  <c r="D414" i="39"/>
  <c r="G414" i="39" s="1"/>
  <c r="H414" i="39" s="1"/>
  <c r="I309" i="38"/>
  <c r="J309" i="38" s="1"/>
  <c r="I199" i="25"/>
  <c r="J199" i="25" s="1"/>
  <c r="I203" i="25"/>
  <c r="J203" i="25" s="1"/>
  <c r="K210" i="25"/>
  <c r="L210" i="25" s="1"/>
  <c r="C401" i="44"/>
  <c r="C402" i="44" s="1"/>
  <c r="D410" i="44"/>
  <c r="G410" i="44" s="1"/>
  <c r="H410" i="44" s="1"/>
  <c r="D426" i="44"/>
  <c r="G426" i="44" s="1"/>
  <c r="H426" i="44" s="1"/>
  <c r="D425" i="44"/>
  <c r="G425" i="44" s="1"/>
  <c r="H425" i="44" s="1"/>
  <c r="D420" i="44"/>
  <c r="G420" i="44" s="1"/>
  <c r="H420" i="44" s="1"/>
  <c r="D414" i="44"/>
  <c r="G414" i="44" s="1"/>
  <c r="H414" i="44" s="1"/>
  <c r="D413" i="44"/>
  <c r="G413" i="44" s="1"/>
  <c r="H413" i="44" s="1"/>
  <c r="D429" i="44"/>
  <c r="G429" i="44" s="1"/>
  <c r="H429" i="44" s="1"/>
  <c r="C553" i="44"/>
  <c r="C247" i="25"/>
  <c r="C249" i="25" s="1"/>
  <c r="C253" i="25" s="1"/>
  <c r="D314" i="25" s="1"/>
  <c r="G314" i="25" s="1"/>
  <c r="H314" i="25" s="1"/>
  <c r="C242" i="25"/>
  <c r="C243" i="25" s="1"/>
  <c r="I194" i="25"/>
  <c r="J194" i="25" s="1"/>
  <c r="D424" i="39"/>
  <c r="G424" i="39" s="1"/>
  <c r="H424" i="39" s="1"/>
  <c r="D417" i="39"/>
  <c r="G417" i="39" s="1"/>
  <c r="H417" i="39" s="1"/>
  <c r="K211" i="25"/>
  <c r="L211" i="25" s="1"/>
  <c r="C234" i="25"/>
  <c r="C235" i="25" s="1"/>
  <c r="D418" i="39"/>
  <c r="G418" i="39" s="1"/>
  <c r="H418" i="39" s="1"/>
  <c r="D425" i="39"/>
  <c r="G425" i="39" s="1"/>
  <c r="H425" i="39" s="1"/>
  <c r="K196" i="25"/>
  <c r="L196" i="25" s="1"/>
  <c r="I205" i="25"/>
  <c r="J205" i="25" s="1"/>
  <c r="D427" i="39"/>
  <c r="G427" i="39" s="1"/>
  <c r="H427" i="39" s="1"/>
  <c r="D422" i="39"/>
  <c r="G422" i="39" s="1"/>
  <c r="H422" i="39" s="1"/>
  <c r="D421" i="39"/>
  <c r="G421" i="39" s="1"/>
  <c r="H421" i="39" s="1"/>
  <c r="I200" i="25"/>
  <c r="J200" i="25" s="1"/>
  <c r="D419" i="39"/>
  <c r="G419" i="39" s="1"/>
  <c r="H419" i="39" s="1"/>
  <c r="D412" i="39"/>
  <c r="G412" i="39" s="1"/>
  <c r="H412" i="39" s="1"/>
  <c r="D428" i="39"/>
  <c r="G428" i="39" s="1"/>
  <c r="H428" i="39" s="1"/>
  <c r="D408" i="39"/>
  <c r="G408" i="39" s="1"/>
  <c r="H408" i="39" s="1"/>
  <c r="D409" i="39"/>
  <c r="G409" i="39" s="1"/>
  <c r="H409" i="39" s="1"/>
  <c r="D423" i="39"/>
  <c r="G423" i="39" s="1"/>
  <c r="H423" i="39" s="1"/>
  <c r="C547" i="39"/>
  <c r="C549" i="39" s="1"/>
  <c r="C556" i="39" s="1"/>
  <c r="D454" i="46"/>
  <c r="G454" i="46" s="1"/>
  <c r="H454" i="46" s="1"/>
  <c r="D455" i="46"/>
  <c r="G455" i="46" s="1"/>
  <c r="H455" i="46" s="1"/>
  <c r="D451" i="46"/>
  <c r="G451" i="46" s="1"/>
  <c r="H451" i="46" s="1"/>
  <c r="D447" i="46"/>
  <c r="G447" i="46" s="1"/>
  <c r="H447" i="46" s="1"/>
  <c r="D443" i="46"/>
  <c r="G443" i="46" s="1"/>
  <c r="H443" i="46" s="1"/>
  <c r="D439" i="46"/>
  <c r="G439" i="46" s="1"/>
  <c r="H439" i="46" s="1"/>
  <c r="D435" i="46"/>
  <c r="G435" i="46" s="1"/>
  <c r="H435" i="46" s="1"/>
  <c r="D452" i="46"/>
  <c r="G452" i="46" s="1"/>
  <c r="H452" i="46" s="1"/>
  <c r="D448" i="46"/>
  <c r="G448" i="46" s="1"/>
  <c r="H448" i="46" s="1"/>
  <c r="D444" i="46"/>
  <c r="G444" i="46" s="1"/>
  <c r="H444" i="46" s="1"/>
  <c r="D440" i="46"/>
  <c r="G440" i="46" s="1"/>
  <c r="H440" i="46" s="1"/>
  <c r="D436" i="46"/>
  <c r="G436" i="46" s="1"/>
  <c r="H436" i="46" s="1"/>
  <c r="D445" i="46"/>
  <c r="G445" i="46" s="1"/>
  <c r="H445" i="46" s="1"/>
  <c r="D437" i="46"/>
  <c r="G437" i="46" s="1"/>
  <c r="H437" i="46" s="1"/>
  <c r="C378" i="46"/>
  <c r="D456" i="46"/>
  <c r="G456" i="46" s="1"/>
  <c r="H456" i="46" s="1"/>
  <c r="D453" i="46"/>
  <c r="G453" i="46" s="1"/>
  <c r="H453" i="46" s="1"/>
  <c r="D446" i="46"/>
  <c r="G446" i="46" s="1"/>
  <c r="H446" i="46" s="1"/>
  <c r="D438" i="46"/>
  <c r="G438" i="46" s="1"/>
  <c r="H438" i="46" s="1"/>
  <c r="D450" i="46"/>
  <c r="G450" i="46" s="1"/>
  <c r="H450" i="46" s="1"/>
  <c r="D449" i="46"/>
  <c r="G449" i="46" s="1"/>
  <c r="H449" i="46" s="1"/>
  <c r="C380" i="46"/>
  <c r="C399" i="46" s="1"/>
  <c r="C400" i="46" s="1"/>
  <c r="D442" i="46"/>
  <c r="G442" i="46" s="1"/>
  <c r="H442" i="46" s="1"/>
  <c r="D441" i="46"/>
  <c r="G441" i="46" s="1"/>
  <c r="H441" i="46" s="1"/>
  <c r="C401" i="39"/>
  <c r="C402" i="39" s="1"/>
  <c r="C542" i="39"/>
  <c r="C392" i="39"/>
  <c r="D429" i="39"/>
  <c r="G429" i="39" s="1"/>
  <c r="H429" i="39" s="1"/>
  <c r="I192" i="25"/>
  <c r="J192" i="25" s="1"/>
  <c r="D415" i="39"/>
  <c r="G415" i="39" s="1"/>
  <c r="H415" i="39" s="1"/>
  <c r="D416" i="39"/>
  <c r="G416" i="39" s="1"/>
  <c r="H416" i="39" s="1"/>
  <c r="D410" i="39"/>
  <c r="G410" i="39" s="1"/>
  <c r="H410" i="39" s="1"/>
  <c r="D411" i="39"/>
  <c r="G411" i="39" s="1"/>
  <c r="H411" i="39" s="1"/>
  <c r="D413" i="39"/>
  <c r="G413" i="39" s="1"/>
  <c r="H413" i="39" s="1"/>
  <c r="C553" i="46"/>
  <c r="C545" i="46"/>
  <c r="D427" i="46"/>
  <c r="G427" i="46" s="1"/>
  <c r="H427" i="46" s="1"/>
  <c r="D423" i="46"/>
  <c r="G423" i="46" s="1"/>
  <c r="H423" i="46" s="1"/>
  <c r="D419" i="46"/>
  <c r="G419" i="46" s="1"/>
  <c r="H419" i="46" s="1"/>
  <c r="D420" i="46"/>
  <c r="G420" i="46" s="1"/>
  <c r="H420" i="46" s="1"/>
  <c r="D416" i="46"/>
  <c r="G416" i="46" s="1"/>
  <c r="H416" i="46" s="1"/>
  <c r="D412" i="46"/>
  <c r="G412" i="46" s="1"/>
  <c r="H412" i="46" s="1"/>
  <c r="D408" i="46"/>
  <c r="G408" i="46" s="1"/>
  <c r="H408" i="46" s="1"/>
  <c r="C401" i="46"/>
  <c r="D426" i="46"/>
  <c r="G426" i="46" s="1"/>
  <c r="H426" i="46" s="1"/>
  <c r="D417" i="46"/>
  <c r="G417" i="46" s="1"/>
  <c r="H417" i="46" s="1"/>
  <c r="D413" i="46"/>
  <c r="G413" i="46" s="1"/>
  <c r="H413" i="46" s="1"/>
  <c r="D409" i="46"/>
  <c r="G409" i="46" s="1"/>
  <c r="H409" i="46" s="1"/>
  <c r="C392" i="46"/>
  <c r="D429" i="46"/>
  <c r="G429" i="46" s="1"/>
  <c r="H429" i="46" s="1"/>
  <c r="D424" i="46"/>
  <c r="G424" i="46" s="1"/>
  <c r="H424" i="46" s="1"/>
  <c r="D421" i="46"/>
  <c r="G421" i="46" s="1"/>
  <c r="H421" i="46" s="1"/>
  <c r="D418" i="46"/>
  <c r="G418" i="46" s="1"/>
  <c r="H418" i="46" s="1"/>
  <c r="D411" i="46"/>
  <c r="G411" i="46" s="1"/>
  <c r="H411" i="46" s="1"/>
  <c r="D428" i="46"/>
  <c r="G428" i="46" s="1"/>
  <c r="H428" i="46" s="1"/>
  <c r="D425" i="46"/>
  <c r="G425" i="46" s="1"/>
  <c r="H425" i="46" s="1"/>
  <c r="D422" i="46"/>
  <c r="G422" i="46" s="1"/>
  <c r="H422" i="46" s="1"/>
  <c r="D414" i="46"/>
  <c r="G414" i="46" s="1"/>
  <c r="H414" i="46" s="1"/>
  <c r="D415" i="46"/>
  <c r="G415" i="46" s="1"/>
  <c r="H415" i="46" s="1"/>
  <c r="D410" i="46"/>
  <c r="G410" i="46" s="1"/>
  <c r="H410" i="46" s="1"/>
  <c r="C553" i="45"/>
  <c r="C588" i="45"/>
  <c r="C425" i="45"/>
  <c r="B612" i="45"/>
  <c r="F612" i="45" s="1"/>
  <c r="E517" i="45"/>
  <c r="I207" i="25"/>
  <c r="J207" i="25" s="1"/>
  <c r="C468" i="45"/>
  <c r="E468" i="45" s="1"/>
  <c r="F468" i="45" s="1"/>
  <c r="C467" i="45"/>
  <c r="E467" i="45" s="1"/>
  <c r="F467" i="45" s="1"/>
  <c r="C463" i="45"/>
  <c r="E463" i="45" s="1"/>
  <c r="F463" i="45" s="1"/>
  <c r="C459" i="45"/>
  <c r="E459" i="45" s="1"/>
  <c r="F459" i="45" s="1"/>
  <c r="C455" i="45"/>
  <c r="E455" i="45" s="1"/>
  <c r="F455" i="45" s="1"/>
  <c r="C469" i="45"/>
  <c r="E469" i="45" s="1"/>
  <c r="F469" i="45" s="1"/>
  <c r="C464" i="45"/>
  <c r="E464" i="45" s="1"/>
  <c r="F464" i="45" s="1"/>
  <c r="C453" i="45"/>
  <c r="E453" i="45" s="1"/>
  <c r="F453" i="45" s="1"/>
  <c r="C466" i="45"/>
  <c r="E466" i="45" s="1"/>
  <c r="F466" i="45" s="1"/>
  <c r="C462" i="45"/>
  <c r="E462" i="45" s="1"/>
  <c r="F462" i="45" s="1"/>
  <c r="C461" i="45"/>
  <c r="E461" i="45" s="1"/>
  <c r="F461" i="45" s="1"/>
  <c r="C457" i="45"/>
  <c r="E457" i="45" s="1"/>
  <c r="F457" i="45" s="1"/>
  <c r="C456" i="45"/>
  <c r="E456" i="45" s="1"/>
  <c r="F456" i="45" s="1"/>
  <c r="C465" i="45"/>
  <c r="E465" i="45" s="1"/>
  <c r="F465" i="45" s="1"/>
  <c r="C460" i="45"/>
  <c r="E460" i="45" s="1"/>
  <c r="F460" i="45" s="1"/>
  <c r="C458" i="45"/>
  <c r="E458" i="45" s="1"/>
  <c r="F458" i="45" s="1"/>
  <c r="C417" i="45"/>
  <c r="C418" i="45" s="1"/>
  <c r="C454" i="45"/>
  <c r="E454" i="45" s="1"/>
  <c r="F454" i="45" s="1"/>
  <c r="I190" i="25"/>
  <c r="J190" i="25" s="1"/>
  <c r="I202" i="25"/>
  <c r="J202" i="25" s="1"/>
  <c r="I201" i="25"/>
  <c r="J201" i="25" s="1"/>
  <c r="I195" i="25"/>
  <c r="J195" i="25" s="1"/>
  <c r="C571" i="44"/>
  <c r="C538" i="44"/>
  <c r="C456" i="44"/>
  <c r="E456" i="44" s="1"/>
  <c r="F456" i="44" s="1"/>
  <c r="C452" i="44"/>
  <c r="E452" i="44" s="1"/>
  <c r="F452" i="44" s="1"/>
  <c r="C448" i="44"/>
  <c r="E448" i="44" s="1"/>
  <c r="F448" i="44" s="1"/>
  <c r="C444" i="44"/>
  <c r="E444" i="44" s="1"/>
  <c r="F444" i="44" s="1"/>
  <c r="C440" i="44"/>
  <c r="E440" i="44" s="1"/>
  <c r="F440" i="44" s="1"/>
  <c r="C436" i="44"/>
  <c r="E436" i="44" s="1"/>
  <c r="F436" i="44" s="1"/>
  <c r="C453" i="44"/>
  <c r="E453" i="44" s="1"/>
  <c r="F453" i="44" s="1"/>
  <c r="C449" i="44"/>
  <c r="E449" i="44" s="1"/>
  <c r="F449" i="44" s="1"/>
  <c r="C445" i="44"/>
  <c r="E445" i="44" s="1"/>
  <c r="F445" i="44" s="1"/>
  <c r="C441" i="44"/>
  <c r="E441" i="44" s="1"/>
  <c r="F441" i="44" s="1"/>
  <c r="C437" i="44"/>
  <c r="E437" i="44" s="1"/>
  <c r="F437" i="44" s="1"/>
  <c r="C451" i="44"/>
  <c r="E451" i="44" s="1"/>
  <c r="F451" i="44" s="1"/>
  <c r="C443" i="44"/>
  <c r="E443" i="44" s="1"/>
  <c r="F443" i="44" s="1"/>
  <c r="C435" i="44"/>
  <c r="E435" i="44" s="1"/>
  <c r="F435" i="44" s="1"/>
  <c r="C446" i="44"/>
  <c r="E446" i="44" s="1"/>
  <c r="F446" i="44" s="1"/>
  <c r="C438" i="44"/>
  <c r="E438" i="44" s="1"/>
  <c r="F438" i="44" s="1"/>
  <c r="C439" i="44"/>
  <c r="E439" i="44" s="1"/>
  <c r="F439" i="44" s="1"/>
  <c r="C455" i="44"/>
  <c r="E455" i="44" s="1"/>
  <c r="F455" i="44" s="1"/>
  <c r="C454" i="44"/>
  <c r="E454" i="44" s="1"/>
  <c r="F454" i="44" s="1"/>
  <c r="C442" i="44"/>
  <c r="E442" i="44" s="1"/>
  <c r="F442" i="44" s="1"/>
  <c r="C447" i="44"/>
  <c r="E447" i="44" s="1"/>
  <c r="F447" i="44" s="1"/>
  <c r="C450" i="44"/>
  <c r="E450" i="44" s="1"/>
  <c r="F450" i="44" s="1"/>
  <c r="C390" i="44"/>
  <c r="C391" i="44" s="1"/>
  <c r="D419" i="38"/>
  <c r="G419" i="38" s="1"/>
  <c r="H419" i="38" s="1"/>
  <c r="D417" i="38"/>
  <c r="G417" i="38" s="1"/>
  <c r="H417" i="38" s="1"/>
  <c r="D424" i="38"/>
  <c r="G424" i="38" s="1"/>
  <c r="H424" i="38" s="1"/>
  <c r="D429" i="38"/>
  <c r="G429" i="38" s="1"/>
  <c r="H429" i="38" s="1"/>
  <c r="D422" i="38"/>
  <c r="G422" i="38" s="1"/>
  <c r="H422" i="38" s="1"/>
  <c r="D408" i="38"/>
  <c r="G408" i="38" s="1"/>
  <c r="H408" i="38" s="1"/>
  <c r="D428" i="38"/>
  <c r="G428" i="38" s="1"/>
  <c r="H428" i="38" s="1"/>
  <c r="D418" i="38"/>
  <c r="G418" i="38" s="1"/>
  <c r="H418" i="38" s="1"/>
  <c r="C553" i="38"/>
  <c r="D415" i="38"/>
  <c r="G415" i="38" s="1"/>
  <c r="H415" i="38" s="1"/>
  <c r="D414" i="38"/>
  <c r="G414" i="38" s="1"/>
  <c r="H414" i="38" s="1"/>
  <c r="D413" i="38"/>
  <c r="G413" i="38" s="1"/>
  <c r="H413" i="38" s="1"/>
  <c r="D421" i="38"/>
  <c r="G421" i="38" s="1"/>
  <c r="H421" i="38" s="1"/>
  <c r="D425" i="38"/>
  <c r="G425" i="38" s="1"/>
  <c r="H425" i="38" s="1"/>
  <c r="D412" i="38"/>
  <c r="G412" i="38" s="1"/>
  <c r="H412" i="38" s="1"/>
  <c r="D423" i="38"/>
  <c r="G423" i="38" s="1"/>
  <c r="H423" i="38" s="1"/>
  <c r="C545" i="38"/>
  <c r="D427" i="38"/>
  <c r="G427" i="38" s="1"/>
  <c r="H427" i="38" s="1"/>
  <c r="D411" i="38"/>
  <c r="G411" i="38" s="1"/>
  <c r="H411" i="38" s="1"/>
  <c r="C392" i="38"/>
  <c r="D409" i="38"/>
  <c r="G409" i="38" s="1"/>
  <c r="H409" i="38" s="1"/>
  <c r="D410" i="38"/>
  <c r="G410" i="38" s="1"/>
  <c r="H410" i="38" s="1"/>
  <c r="D426" i="38"/>
  <c r="G426" i="38" s="1"/>
  <c r="H426" i="38" s="1"/>
  <c r="D416" i="38"/>
  <c r="G416" i="38" s="1"/>
  <c r="H416" i="38" s="1"/>
  <c r="D420" i="38"/>
  <c r="G420" i="38" s="1"/>
  <c r="H420" i="38" s="1"/>
  <c r="C401" i="38"/>
  <c r="B525" i="42"/>
  <c r="D466" i="42"/>
  <c r="G466" i="42" s="1"/>
  <c r="H466" i="42" s="1"/>
  <c r="D462" i="42"/>
  <c r="G462" i="42" s="1"/>
  <c r="H462" i="42" s="1"/>
  <c r="D464" i="42"/>
  <c r="G464" i="42" s="1"/>
  <c r="H464" i="42" s="1"/>
  <c r="D461" i="42"/>
  <c r="G461" i="42" s="1"/>
  <c r="H461" i="42" s="1"/>
  <c r="D457" i="42"/>
  <c r="G457" i="42" s="1"/>
  <c r="H457" i="42" s="1"/>
  <c r="D453" i="42"/>
  <c r="G453" i="42" s="1"/>
  <c r="H453" i="42" s="1"/>
  <c r="D463" i="42"/>
  <c r="G463" i="42" s="1"/>
  <c r="H463" i="42" s="1"/>
  <c r="D458" i="42"/>
  <c r="G458" i="42" s="1"/>
  <c r="H458" i="42" s="1"/>
  <c r="D454" i="42"/>
  <c r="G454" i="42" s="1"/>
  <c r="H454" i="42" s="1"/>
  <c r="D450" i="42"/>
  <c r="G450" i="42" s="1"/>
  <c r="H450" i="42" s="1"/>
  <c r="D460" i="42"/>
  <c r="G460" i="42" s="1"/>
  <c r="H460" i="42" s="1"/>
  <c r="D452" i="42"/>
  <c r="G452" i="42" s="1"/>
  <c r="H452" i="42" s="1"/>
  <c r="D451" i="42"/>
  <c r="G451" i="42" s="1"/>
  <c r="H451" i="42" s="1"/>
  <c r="C409" i="42"/>
  <c r="C419" i="42" s="1"/>
  <c r="C420" i="42" s="1"/>
  <c r="D459" i="42"/>
  <c r="G459" i="42" s="1"/>
  <c r="H459" i="42" s="1"/>
  <c r="D455" i="42"/>
  <c r="G455" i="42" s="1"/>
  <c r="H455" i="42" s="1"/>
  <c r="C407" i="42"/>
  <c r="D456" i="42"/>
  <c r="G456" i="42" s="1"/>
  <c r="H456" i="42" s="1"/>
  <c r="D465" i="42"/>
  <c r="G465" i="42" s="1"/>
  <c r="H465" i="42" s="1"/>
  <c r="B513" i="42"/>
  <c r="C563" i="42"/>
  <c r="C555" i="42"/>
  <c r="D444" i="42"/>
  <c r="G444" i="42" s="1"/>
  <c r="H444" i="42" s="1"/>
  <c r="D440" i="42"/>
  <c r="G440" i="42" s="1"/>
  <c r="H440" i="42" s="1"/>
  <c r="D443" i="42"/>
  <c r="G443" i="42" s="1"/>
  <c r="H443" i="42" s="1"/>
  <c r="D436" i="42"/>
  <c r="G436" i="42" s="1"/>
  <c r="H436" i="42" s="1"/>
  <c r="D432" i="42"/>
  <c r="G432" i="42" s="1"/>
  <c r="H432" i="42" s="1"/>
  <c r="D428" i="42"/>
  <c r="G428" i="42" s="1"/>
  <c r="H428" i="42" s="1"/>
  <c r="C421" i="42"/>
  <c r="D442" i="42"/>
  <c r="G442" i="42" s="1"/>
  <c r="H442" i="42" s="1"/>
  <c r="D439" i="42"/>
  <c r="G439" i="42" s="1"/>
  <c r="H439" i="42" s="1"/>
  <c r="D437" i="42"/>
  <c r="G437" i="42" s="1"/>
  <c r="H437" i="42" s="1"/>
  <c r="D433" i="42"/>
  <c r="G433" i="42" s="1"/>
  <c r="H433" i="42" s="1"/>
  <c r="D429" i="42"/>
  <c r="G429" i="42" s="1"/>
  <c r="H429" i="42" s="1"/>
  <c r="C416" i="42"/>
  <c r="D434" i="42"/>
  <c r="G434" i="42" s="1"/>
  <c r="H434" i="42" s="1"/>
  <c r="D435" i="42"/>
  <c r="G435" i="42" s="1"/>
  <c r="H435" i="42" s="1"/>
  <c r="D441" i="42"/>
  <c r="G441" i="42" s="1"/>
  <c r="H441" i="42" s="1"/>
  <c r="D438" i="42"/>
  <c r="G438" i="42" s="1"/>
  <c r="H438" i="42" s="1"/>
  <c r="D431" i="42"/>
  <c r="G431" i="42" s="1"/>
  <c r="H431" i="42" s="1"/>
  <c r="D430" i="42"/>
  <c r="G430" i="42" s="1"/>
  <c r="H430" i="42" s="1"/>
  <c r="D454" i="38"/>
  <c r="G454" i="38" s="1"/>
  <c r="H454" i="38" s="1"/>
  <c r="D444" i="38"/>
  <c r="G444" i="38" s="1"/>
  <c r="H444" i="38" s="1"/>
  <c r="D441" i="38"/>
  <c r="G441" i="38" s="1"/>
  <c r="H441" i="38" s="1"/>
  <c r="D437" i="38"/>
  <c r="G437" i="38" s="1"/>
  <c r="H437" i="38" s="1"/>
  <c r="D442" i="38"/>
  <c r="G442" i="38" s="1"/>
  <c r="H442" i="38" s="1"/>
  <c r="D439" i="38"/>
  <c r="G439" i="38" s="1"/>
  <c r="H439" i="38" s="1"/>
  <c r="D445" i="38"/>
  <c r="G445" i="38" s="1"/>
  <c r="H445" i="38" s="1"/>
  <c r="D443" i="38"/>
  <c r="G443" i="38" s="1"/>
  <c r="H443" i="38" s="1"/>
  <c r="D449" i="38"/>
  <c r="G449" i="38" s="1"/>
  <c r="H449" i="38" s="1"/>
  <c r="D451" i="38"/>
  <c r="G451" i="38" s="1"/>
  <c r="H451" i="38" s="1"/>
  <c r="D446" i="38"/>
  <c r="G446" i="38" s="1"/>
  <c r="H446" i="38" s="1"/>
  <c r="D455" i="38"/>
  <c r="G455" i="38" s="1"/>
  <c r="H455" i="38" s="1"/>
  <c r="D440" i="38"/>
  <c r="G440" i="38" s="1"/>
  <c r="H440" i="38" s="1"/>
  <c r="D438" i="38"/>
  <c r="G438" i="38" s="1"/>
  <c r="H438" i="38" s="1"/>
  <c r="D453" i="38"/>
  <c r="G453" i="38" s="1"/>
  <c r="H453" i="38" s="1"/>
  <c r="D456" i="38"/>
  <c r="G456" i="38" s="1"/>
  <c r="H456" i="38" s="1"/>
  <c r="C380" i="38"/>
  <c r="C399" i="38" s="1"/>
  <c r="C400" i="38" s="1"/>
  <c r="D452" i="38"/>
  <c r="G452" i="38" s="1"/>
  <c r="H452" i="38" s="1"/>
  <c r="D436" i="38"/>
  <c r="G436" i="38" s="1"/>
  <c r="H436" i="38" s="1"/>
  <c r="D435" i="38"/>
  <c r="G435" i="38" s="1"/>
  <c r="H435" i="38" s="1"/>
  <c r="C378" i="38"/>
  <c r="D447" i="38"/>
  <c r="G447" i="38" s="1"/>
  <c r="H447" i="38" s="1"/>
  <c r="D448" i="38"/>
  <c r="G448" i="38" s="1"/>
  <c r="H448" i="38" s="1"/>
  <c r="D450" i="38"/>
  <c r="G450" i="38" s="1"/>
  <c r="H450" i="38" s="1"/>
  <c r="B424" i="30"/>
  <c r="E424" i="30" s="1"/>
  <c r="D343" i="30"/>
  <c r="G343" i="30" s="1"/>
  <c r="H343" i="30" s="1"/>
  <c r="D347" i="30"/>
  <c r="G347" i="30" s="1"/>
  <c r="H347" i="30" s="1"/>
  <c r="D351" i="30"/>
  <c r="G351" i="30" s="1"/>
  <c r="H351" i="30" s="1"/>
  <c r="D355" i="30"/>
  <c r="G355" i="30" s="1"/>
  <c r="H355" i="30" s="1"/>
  <c r="D352" i="30"/>
  <c r="G352" i="30" s="1"/>
  <c r="H352" i="30" s="1"/>
  <c r="D345" i="30"/>
  <c r="G345" i="30" s="1"/>
  <c r="H345" i="30" s="1"/>
  <c r="D349" i="30"/>
  <c r="G349" i="30" s="1"/>
  <c r="H349" i="30" s="1"/>
  <c r="D353" i="30"/>
  <c r="G353" i="30" s="1"/>
  <c r="H353" i="30" s="1"/>
  <c r="D344" i="30"/>
  <c r="G344" i="30" s="1"/>
  <c r="H344" i="30" s="1"/>
  <c r="D356" i="30"/>
  <c r="D346" i="30"/>
  <c r="G346" i="30" s="1"/>
  <c r="H346" i="30" s="1"/>
  <c r="D350" i="30"/>
  <c r="G350" i="30" s="1"/>
  <c r="H350" i="30" s="1"/>
  <c r="D354" i="30"/>
  <c r="G354" i="30" s="1"/>
  <c r="H354" i="30" s="1"/>
  <c r="D348" i="30"/>
  <c r="G348" i="30" s="1"/>
  <c r="H348" i="30" s="1"/>
  <c r="K274" i="30"/>
  <c r="L274" i="30" s="1"/>
  <c r="I274" i="30"/>
  <c r="J274" i="30" s="1"/>
  <c r="K277" i="30"/>
  <c r="L277" i="30" s="1"/>
  <c r="I277" i="30"/>
  <c r="J277" i="30" s="1"/>
  <c r="K272" i="30"/>
  <c r="L272" i="30" s="1"/>
  <c r="I272" i="30"/>
  <c r="J272" i="30" s="1"/>
  <c r="K271" i="30"/>
  <c r="L271" i="30" s="1"/>
  <c r="I271" i="30"/>
  <c r="J271" i="30" s="1"/>
  <c r="K270" i="30"/>
  <c r="L270" i="30" s="1"/>
  <c r="I270" i="30"/>
  <c r="J270" i="30" s="1"/>
  <c r="B356" i="30"/>
  <c r="I283" i="30"/>
  <c r="J283" i="30" s="1"/>
  <c r="K280" i="30"/>
  <c r="L280" i="30" s="1"/>
  <c r="I280" i="30"/>
  <c r="J280" i="30" s="1"/>
  <c r="K279" i="30"/>
  <c r="L279" i="30" s="1"/>
  <c r="I279" i="30"/>
  <c r="J279" i="30" s="1"/>
  <c r="K278" i="30"/>
  <c r="L278" i="30" s="1"/>
  <c r="I278" i="30"/>
  <c r="J278" i="30" s="1"/>
  <c r="K281" i="30"/>
  <c r="L281" i="30" s="1"/>
  <c r="I281" i="30"/>
  <c r="J281" i="30" s="1"/>
  <c r="K276" i="30"/>
  <c r="L276" i="30" s="1"/>
  <c r="I276" i="30"/>
  <c r="J276" i="30" s="1"/>
  <c r="K275" i="30"/>
  <c r="L275" i="30" s="1"/>
  <c r="I275" i="30"/>
  <c r="J275" i="30" s="1"/>
  <c r="K273" i="30"/>
  <c r="L273" i="30" s="1"/>
  <c r="I273" i="30"/>
  <c r="J273" i="30" s="1"/>
  <c r="K282" i="30"/>
  <c r="L282" i="30" s="1"/>
  <c r="I282" i="30"/>
  <c r="J282" i="30" s="1"/>
  <c r="I284" i="30"/>
  <c r="J284" i="30" s="1"/>
  <c r="I269" i="30"/>
  <c r="J269" i="30" s="1"/>
  <c r="K268" i="30"/>
  <c r="L268" i="30" s="1"/>
  <c r="C465" i="40"/>
  <c r="D339" i="40"/>
  <c r="G339" i="40" s="1"/>
  <c r="H339" i="40" s="1"/>
  <c r="D336" i="40"/>
  <c r="G336" i="40" s="1"/>
  <c r="H336" i="40" s="1"/>
  <c r="D332" i="40"/>
  <c r="G332" i="40" s="1"/>
  <c r="H332" i="40" s="1"/>
  <c r="D329" i="40"/>
  <c r="G329" i="40" s="1"/>
  <c r="H329" i="40" s="1"/>
  <c r="D341" i="40"/>
  <c r="G341" i="40" s="1"/>
  <c r="H341" i="40" s="1"/>
  <c r="D337" i="40"/>
  <c r="G337" i="40" s="1"/>
  <c r="H337" i="40" s="1"/>
  <c r="C456" i="40"/>
  <c r="D335" i="40"/>
  <c r="G335" i="40" s="1"/>
  <c r="H335" i="40" s="1"/>
  <c r="D334" i="40"/>
  <c r="G334" i="40" s="1"/>
  <c r="H334" i="40" s="1"/>
  <c r="D331" i="40"/>
  <c r="G331" i="40" s="1"/>
  <c r="H331" i="40" s="1"/>
  <c r="D328" i="40"/>
  <c r="G328" i="40" s="1"/>
  <c r="H328" i="40" s="1"/>
  <c r="C320" i="40"/>
  <c r="C315" i="40"/>
  <c r="D327" i="40"/>
  <c r="G327" i="40" s="1"/>
  <c r="H327" i="40" s="1"/>
  <c r="D343" i="40"/>
  <c r="G343" i="40" s="1"/>
  <c r="H343" i="40" s="1"/>
  <c r="D330" i="40"/>
  <c r="G330" i="40" s="1"/>
  <c r="H330" i="40" s="1"/>
  <c r="D333" i="40"/>
  <c r="G333" i="40" s="1"/>
  <c r="H333" i="40" s="1"/>
  <c r="D342" i="40"/>
  <c r="G342" i="40" s="1"/>
  <c r="H342" i="40" s="1"/>
  <c r="D338" i="40"/>
  <c r="G338" i="40" s="1"/>
  <c r="H338" i="40" s="1"/>
  <c r="B413" i="40"/>
  <c r="E413" i="40" s="1"/>
  <c r="D361" i="40"/>
  <c r="G361" i="40" s="1"/>
  <c r="H361" i="40" s="1"/>
  <c r="D365" i="40"/>
  <c r="G365" i="40" s="1"/>
  <c r="H365" i="40" s="1"/>
  <c r="D357" i="40"/>
  <c r="G357" i="40" s="1"/>
  <c r="H357" i="40" s="1"/>
  <c r="D353" i="40"/>
  <c r="G353" i="40" s="1"/>
  <c r="H353" i="40" s="1"/>
  <c r="D349" i="40"/>
  <c r="G349" i="40" s="1"/>
  <c r="H349" i="40" s="1"/>
  <c r="D364" i="40"/>
  <c r="G364" i="40" s="1"/>
  <c r="H364" i="40" s="1"/>
  <c r="D360" i="40"/>
  <c r="G360" i="40" s="1"/>
  <c r="H360" i="40" s="1"/>
  <c r="D358" i="40"/>
  <c r="G358" i="40" s="1"/>
  <c r="H358" i="40" s="1"/>
  <c r="D354" i="40"/>
  <c r="G354" i="40" s="1"/>
  <c r="H354" i="40" s="1"/>
  <c r="D350" i="40"/>
  <c r="G350" i="40" s="1"/>
  <c r="H350" i="40" s="1"/>
  <c r="D352" i="40"/>
  <c r="G352" i="40" s="1"/>
  <c r="H352" i="40" s="1"/>
  <c r="C308" i="40"/>
  <c r="C318" i="40" s="1"/>
  <c r="C319" i="40" s="1"/>
  <c r="D355" i="40"/>
  <c r="G355" i="40" s="1"/>
  <c r="H355" i="40" s="1"/>
  <c r="C306" i="40"/>
  <c r="C362" i="40" s="1"/>
  <c r="E362" i="40" s="1"/>
  <c r="F362" i="40" s="1"/>
  <c r="D356" i="40"/>
  <c r="G356" i="40" s="1"/>
  <c r="H356" i="40" s="1"/>
  <c r="D363" i="40"/>
  <c r="G363" i="40" s="1"/>
  <c r="H363" i="40" s="1"/>
  <c r="D359" i="40"/>
  <c r="G359" i="40" s="1"/>
  <c r="H359" i="40" s="1"/>
  <c r="D351" i="40"/>
  <c r="G351" i="40" s="1"/>
  <c r="H351" i="40" s="1"/>
  <c r="C455" i="39"/>
  <c r="E455" i="39" s="1"/>
  <c r="F455" i="39" s="1"/>
  <c r="C451" i="39"/>
  <c r="E451" i="39" s="1"/>
  <c r="F451" i="39" s="1"/>
  <c r="C447" i="39"/>
  <c r="E447" i="39" s="1"/>
  <c r="F447" i="39" s="1"/>
  <c r="C448" i="39"/>
  <c r="E448" i="39" s="1"/>
  <c r="F448" i="39" s="1"/>
  <c r="C444" i="39"/>
  <c r="E444" i="39" s="1"/>
  <c r="F444" i="39" s="1"/>
  <c r="C440" i="39"/>
  <c r="E440" i="39" s="1"/>
  <c r="F440" i="39" s="1"/>
  <c r="C454" i="39"/>
  <c r="E454" i="39" s="1"/>
  <c r="F454" i="39" s="1"/>
  <c r="C445" i="39"/>
  <c r="E445" i="39" s="1"/>
  <c r="F445" i="39" s="1"/>
  <c r="C441" i="39"/>
  <c r="E441" i="39" s="1"/>
  <c r="F441" i="39" s="1"/>
  <c r="C437" i="39"/>
  <c r="E437" i="39" s="1"/>
  <c r="F437" i="39" s="1"/>
  <c r="C456" i="39"/>
  <c r="E456" i="39" s="1"/>
  <c r="F456" i="39" s="1"/>
  <c r="C453" i="39"/>
  <c r="E453" i="39" s="1"/>
  <c r="F453" i="39" s="1"/>
  <c r="C450" i="39"/>
  <c r="E450" i="39" s="1"/>
  <c r="F450" i="39" s="1"/>
  <c r="C442" i="39"/>
  <c r="E442" i="39" s="1"/>
  <c r="F442" i="39" s="1"/>
  <c r="C435" i="39"/>
  <c r="E435" i="39" s="1"/>
  <c r="F435" i="39" s="1"/>
  <c r="C443" i="39"/>
  <c r="E443" i="39" s="1"/>
  <c r="F443" i="39" s="1"/>
  <c r="C436" i="39"/>
  <c r="E436" i="39" s="1"/>
  <c r="F436" i="39" s="1"/>
  <c r="C452" i="39"/>
  <c r="E452" i="39" s="1"/>
  <c r="F452" i="39" s="1"/>
  <c r="C446" i="39"/>
  <c r="E446" i="39" s="1"/>
  <c r="F446" i="39" s="1"/>
  <c r="C438" i="39"/>
  <c r="E438" i="39" s="1"/>
  <c r="F438" i="39" s="1"/>
  <c r="C439" i="39"/>
  <c r="E439" i="39" s="1"/>
  <c r="F439" i="39" s="1"/>
  <c r="C390" i="39"/>
  <c r="C391" i="39" s="1"/>
  <c r="C449" i="39"/>
  <c r="E449" i="39" s="1"/>
  <c r="F449" i="39" s="1"/>
  <c r="C558" i="39"/>
  <c r="C559" i="39" s="1"/>
  <c r="C536" i="39"/>
  <c r="D326" i="25"/>
  <c r="G326" i="25" s="1"/>
  <c r="H326" i="25" s="1"/>
  <c r="C429" i="37"/>
  <c r="C421" i="37"/>
  <c r="D302" i="37"/>
  <c r="G302" i="37" s="1"/>
  <c r="H302" i="37" s="1"/>
  <c r="D303" i="37"/>
  <c r="G303" i="37" s="1"/>
  <c r="H303" i="37" s="1"/>
  <c r="D299" i="37"/>
  <c r="G299" i="37" s="1"/>
  <c r="H299" i="37" s="1"/>
  <c r="D293" i="37"/>
  <c r="G293" i="37" s="1"/>
  <c r="H293" i="37" s="1"/>
  <c r="D289" i="37"/>
  <c r="G289" i="37" s="1"/>
  <c r="H289" i="37" s="1"/>
  <c r="D285" i="37"/>
  <c r="G285" i="37" s="1"/>
  <c r="H285" i="37" s="1"/>
  <c r="C268" i="37"/>
  <c r="D301" i="37"/>
  <c r="G301" i="37" s="1"/>
  <c r="H301" i="37" s="1"/>
  <c r="D298" i="37"/>
  <c r="G298" i="37" s="1"/>
  <c r="H298" i="37" s="1"/>
  <c r="D294" i="37"/>
  <c r="G294" i="37" s="1"/>
  <c r="H294" i="37" s="1"/>
  <c r="D290" i="37"/>
  <c r="G290" i="37" s="1"/>
  <c r="H290" i="37" s="1"/>
  <c r="D286" i="37"/>
  <c r="G286" i="37" s="1"/>
  <c r="H286" i="37" s="1"/>
  <c r="D304" i="37"/>
  <c r="G304" i="37" s="1"/>
  <c r="H304" i="37" s="1"/>
  <c r="D300" i="37"/>
  <c r="G300" i="37" s="1"/>
  <c r="H300" i="37" s="1"/>
  <c r="D297" i="37"/>
  <c r="G297" i="37" s="1"/>
  <c r="H297" i="37" s="1"/>
  <c r="D295" i="37"/>
  <c r="G295" i="37" s="1"/>
  <c r="H295" i="37" s="1"/>
  <c r="D291" i="37"/>
  <c r="G291" i="37" s="1"/>
  <c r="H291" i="37" s="1"/>
  <c r="D287" i="37"/>
  <c r="G287" i="37" s="1"/>
  <c r="H287" i="37" s="1"/>
  <c r="D296" i="37"/>
  <c r="G296" i="37" s="1"/>
  <c r="H296" i="37" s="1"/>
  <c r="D284" i="37"/>
  <c r="G284" i="37" s="1"/>
  <c r="H284" i="37" s="1"/>
  <c r="D305" i="37"/>
  <c r="G305" i="37" s="1"/>
  <c r="H305" i="37" s="1"/>
  <c r="D288" i="37"/>
  <c r="G288" i="37" s="1"/>
  <c r="H288" i="37" s="1"/>
  <c r="C277" i="37"/>
  <c r="D292" i="37"/>
  <c r="G292" i="37" s="1"/>
  <c r="H292" i="37" s="1"/>
  <c r="D332" i="37"/>
  <c r="G332" i="37" s="1"/>
  <c r="H332" i="37" s="1"/>
  <c r="C538" i="36"/>
  <c r="C571" i="36"/>
  <c r="C402" i="36"/>
  <c r="C455" i="36"/>
  <c r="E455" i="36" s="1"/>
  <c r="F455" i="36" s="1"/>
  <c r="C454" i="36"/>
  <c r="E454" i="36" s="1"/>
  <c r="F454" i="36" s="1"/>
  <c r="C449" i="36"/>
  <c r="E449" i="36" s="1"/>
  <c r="F449" i="36" s="1"/>
  <c r="C445" i="36"/>
  <c r="E445" i="36" s="1"/>
  <c r="F445" i="36" s="1"/>
  <c r="C441" i="36"/>
  <c r="E441" i="36" s="1"/>
  <c r="F441" i="36" s="1"/>
  <c r="C437" i="36"/>
  <c r="E437" i="36" s="1"/>
  <c r="F437" i="36" s="1"/>
  <c r="C456" i="36"/>
  <c r="E456" i="36" s="1"/>
  <c r="F456" i="36" s="1"/>
  <c r="C453" i="36"/>
  <c r="E453" i="36" s="1"/>
  <c r="F453" i="36" s="1"/>
  <c r="C450" i="36"/>
  <c r="E450" i="36" s="1"/>
  <c r="F450" i="36" s="1"/>
  <c r="C446" i="36"/>
  <c r="E446" i="36" s="1"/>
  <c r="F446" i="36" s="1"/>
  <c r="C442" i="36"/>
  <c r="E442" i="36" s="1"/>
  <c r="F442" i="36" s="1"/>
  <c r="C438" i="36"/>
  <c r="E438" i="36" s="1"/>
  <c r="F438" i="36" s="1"/>
  <c r="C451" i="36"/>
  <c r="E451" i="36" s="1"/>
  <c r="F451" i="36" s="1"/>
  <c r="C443" i="36"/>
  <c r="E443" i="36" s="1"/>
  <c r="F443" i="36" s="1"/>
  <c r="C435" i="36"/>
  <c r="E435" i="36" s="1"/>
  <c r="F435" i="36" s="1"/>
  <c r="C452" i="36"/>
  <c r="E452" i="36" s="1"/>
  <c r="F452" i="36" s="1"/>
  <c r="C444" i="36"/>
  <c r="E444" i="36" s="1"/>
  <c r="F444" i="36" s="1"/>
  <c r="C436" i="36"/>
  <c r="E436" i="36" s="1"/>
  <c r="F436" i="36" s="1"/>
  <c r="C447" i="36"/>
  <c r="E447" i="36" s="1"/>
  <c r="F447" i="36" s="1"/>
  <c r="C440" i="36"/>
  <c r="E440" i="36" s="1"/>
  <c r="F440" i="36" s="1"/>
  <c r="C439" i="36"/>
  <c r="E439" i="36" s="1"/>
  <c r="F439" i="36" s="1"/>
  <c r="C390" i="36"/>
  <c r="C391" i="36" s="1"/>
  <c r="C448" i="36"/>
  <c r="E448" i="36" s="1"/>
  <c r="F448" i="36" s="1"/>
  <c r="C374" i="35"/>
  <c r="C376" i="35"/>
  <c r="C318" i="30"/>
  <c r="C476" i="30"/>
  <c r="D357" i="30"/>
  <c r="G357" i="30" s="1"/>
  <c r="H357" i="30" s="1"/>
  <c r="C468" i="30"/>
  <c r="C329" i="30"/>
  <c r="D341" i="30"/>
  <c r="G341" i="30" s="1"/>
  <c r="H341" i="30" s="1"/>
  <c r="D342" i="30"/>
  <c r="G342" i="30" s="1"/>
  <c r="H342" i="30" s="1"/>
  <c r="C334" i="30"/>
  <c r="I209" i="25"/>
  <c r="J209" i="25" s="1"/>
  <c r="B304" i="25"/>
  <c r="B303" i="25"/>
  <c r="I208" i="25"/>
  <c r="J208" i="25" s="1"/>
  <c r="D67" i="13"/>
  <c r="D70" i="13"/>
  <c r="B128" i="13" s="1"/>
  <c r="D71" i="13"/>
  <c r="B129" i="13" s="1"/>
  <c r="D72" i="13"/>
  <c r="D73" i="13"/>
  <c r="D74" i="13"/>
  <c r="D75" i="13"/>
  <c r="B133" i="13" s="1"/>
  <c r="D76" i="13"/>
  <c r="D77" i="13"/>
  <c r="D78" i="13"/>
  <c r="D632" i="13" s="1"/>
  <c r="E632" i="13" s="1"/>
  <c r="D79" i="13"/>
  <c r="D139" i="13" s="1"/>
  <c r="D80" i="13"/>
  <c r="D66" i="13"/>
  <c r="D69" i="13"/>
  <c r="D68" i="13"/>
  <c r="B126" i="13" s="1"/>
  <c r="C50" i="2"/>
  <c r="C49" i="2"/>
  <c r="C48" i="2"/>
  <c r="C47" i="2"/>
  <c r="C46" i="2"/>
  <c r="C76" i="1"/>
  <c r="C75" i="1"/>
  <c r="C74" i="1"/>
  <c r="C73" i="1"/>
  <c r="C158" i="17"/>
  <c r="C23" i="17"/>
  <c r="C377" i="17"/>
  <c r="C379" i="17" s="1"/>
  <c r="C373" i="17"/>
  <c r="C26" i="17"/>
  <c r="C31" i="17"/>
  <c r="C519" i="17"/>
  <c r="B514" i="17"/>
  <c r="D591" i="17" s="1"/>
  <c r="B221" i="17"/>
  <c r="B224" i="17"/>
  <c r="B222" i="17"/>
  <c r="B220" i="17"/>
  <c r="B216" i="17"/>
  <c r="B223" i="17"/>
  <c r="B234" i="17"/>
  <c r="B217" i="17"/>
  <c r="B219" i="17"/>
  <c r="C160" i="17"/>
  <c r="C277" i="17"/>
  <c r="B75" i="4"/>
  <c r="C255" i="25" l="1"/>
  <c r="C327" i="25" s="1"/>
  <c r="E327" i="25" s="1"/>
  <c r="F327" i="25" s="1"/>
  <c r="C257" i="25"/>
  <c r="C276" i="25" s="1"/>
  <c r="C277" i="25" s="1"/>
  <c r="C413" i="25" s="1"/>
  <c r="D330" i="25"/>
  <c r="G330" i="25" s="1"/>
  <c r="H330" i="25" s="1"/>
  <c r="D329" i="37"/>
  <c r="G329" i="37" s="1"/>
  <c r="H329" i="37" s="1"/>
  <c r="C256" i="37"/>
  <c r="C275" i="37" s="1"/>
  <c r="C276" i="37" s="1"/>
  <c r="C447" i="37" s="1"/>
  <c r="D321" i="37"/>
  <c r="G321" i="37" s="1"/>
  <c r="H321" i="37" s="1"/>
  <c r="D324" i="37"/>
  <c r="G324" i="37" s="1"/>
  <c r="H324" i="37" s="1"/>
  <c r="C254" i="37"/>
  <c r="C330" i="37" s="1"/>
  <c r="E330" i="37" s="1"/>
  <c r="F330" i="37" s="1"/>
  <c r="D328" i="37"/>
  <c r="G328" i="37" s="1"/>
  <c r="H328" i="37" s="1"/>
  <c r="D314" i="37"/>
  <c r="G314" i="37" s="1"/>
  <c r="H314" i="37" s="1"/>
  <c r="D315" i="37"/>
  <c r="G315" i="37" s="1"/>
  <c r="H315" i="37" s="1"/>
  <c r="C267" i="25"/>
  <c r="C268" i="25" s="1"/>
  <c r="E375" i="25" s="1"/>
  <c r="F375" i="25" s="1"/>
  <c r="G375" i="25" s="1"/>
  <c r="D326" i="37"/>
  <c r="G326" i="37" s="1"/>
  <c r="H326" i="37" s="1"/>
  <c r="D312" i="37"/>
  <c r="G312" i="37" s="1"/>
  <c r="H312" i="37" s="1"/>
  <c r="D319" i="37"/>
  <c r="G319" i="37" s="1"/>
  <c r="H319" i="37" s="1"/>
  <c r="D313" i="25"/>
  <c r="G313" i="25" s="1"/>
  <c r="H313" i="25" s="1"/>
  <c r="D312" i="25"/>
  <c r="G312" i="25" s="1"/>
  <c r="H312" i="25" s="1"/>
  <c r="D318" i="37"/>
  <c r="G318" i="37" s="1"/>
  <c r="H318" i="37" s="1"/>
  <c r="D317" i="37"/>
  <c r="G317" i="37" s="1"/>
  <c r="H317" i="37" s="1"/>
  <c r="D322" i="37"/>
  <c r="G322" i="37" s="1"/>
  <c r="H322" i="37" s="1"/>
  <c r="D316" i="37"/>
  <c r="G316" i="37" s="1"/>
  <c r="H316" i="37" s="1"/>
  <c r="D331" i="37"/>
  <c r="G331" i="37" s="1"/>
  <c r="H331" i="37" s="1"/>
  <c r="D323" i="37"/>
  <c r="G323" i="37" s="1"/>
  <c r="H323" i="37" s="1"/>
  <c r="D328" i="25"/>
  <c r="G328" i="25" s="1"/>
  <c r="H328" i="25" s="1"/>
  <c r="C316" i="25"/>
  <c r="E316" i="25" s="1"/>
  <c r="F316" i="25" s="1"/>
  <c r="D330" i="37"/>
  <c r="G330" i="37" s="1"/>
  <c r="H330" i="37" s="1"/>
  <c r="D325" i="37"/>
  <c r="G325" i="37" s="1"/>
  <c r="H325" i="37" s="1"/>
  <c r="D313" i="37"/>
  <c r="G313" i="37" s="1"/>
  <c r="H313" i="37" s="1"/>
  <c r="D320" i="37"/>
  <c r="G320" i="37" s="1"/>
  <c r="H320" i="37" s="1"/>
  <c r="D311" i="37"/>
  <c r="G311" i="37" s="1"/>
  <c r="H311" i="37" s="1"/>
  <c r="D323" i="25"/>
  <c r="G323" i="25" s="1"/>
  <c r="H323" i="25" s="1"/>
  <c r="B127" i="13"/>
  <c r="B501" i="13" s="1"/>
  <c r="D631" i="13"/>
  <c r="E631" i="13" s="1"/>
  <c r="D325" i="25"/>
  <c r="G325" i="25" s="1"/>
  <c r="H325" i="25" s="1"/>
  <c r="D319" i="25"/>
  <c r="G319" i="25" s="1"/>
  <c r="H319" i="25" s="1"/>
  <c r="C435" i="25"/>
  <c r="C436" i="25" s="1"/>
  <c r="D321" i="25"/>
  <c r="G321" i="25" s="1"/>
  <c r="H321" i="25" s="1"/>
  <c r="D320" i="25"/>
  <c r="G320" i="25" s="1"/>
  <c r="H320" i="25" s="1"/>
  <c r="D315" i="25"/>
  <c r="G315" i="25" s="1"/>
  <c r="H315" i="25" s="1"/>
  <c r="D318" i="25"/>
  <c r="G318" i="25" s="1"/>
  <c r="H318" i="25" s="1"/>
  <c r="C314" i="25"/>
  <c r="E314" i="25" s="1"/>
  <c r="F314" i="25" s="1"/>
  <c r="C251" i="25"/>
  <c r="D301" i="25" s="1"/>
  <c r="G301" i="25" s="1"/>
  <c r="H301" i="25" s="1"/>
  <c r="D329" i="25"/>
  <c r="G329" i="25" s="1"/>
  <c r="H329" i="25" s="1"/>
  <c r="D324" i="25"/>
  <c r="G324" i="25" s="1"/>
  <c r="H324" i="25" s="1"/>
  <c r="D322" i="25"/>
  <c r="G322" i="25" s="1"/>
  <c r="H322" i="25" s="1"/>
  <c r="D332" i="25"/>
  <c r="G332" i="25" s="1"/>
  <c r="H332" i="25" s="1"/>
  <c r="D331" i="25"/>
  <c r="G331" i="25" s="1"/>
  <c r="H331" i="25" s="1"/>
  <c r="D317" i="25"/>
  <c r="G317" i="25" s="1"/>
  <c r="H317" i="25" s="1"/>
  <c r="D316" i="25"/>
  <c r="G316" i="25" s="1"/>
  <c r="H316" i="25" s="1"/>
  <c r="D327" i="25"/>
  <c r="G327" i="25" s="1"/>
  <c r="H327" i="25" s="1"/>
  <c r="C586" i="39"/>
  <c r="C560" i="39"/>
  <c r="C561" i="39" s="1"/>
  <c r="D333" i="25"/>
  <c r="G333" i="25" s="1"/>
  <c r="H333" i="25" s="1"/>
  <c r="C322" i="25"/>
  <c r="E322" i="25" s="1"/>
  <c r="F322" i="25" s="1"/>
  <c r="C329" i="25"/>
  <c r="E329" i="25" s="1"/>
  <c r="F329" i="25" s="1"/>
  <c r="C319" i="25"/>
  <c r="E319" i="25" s="1"/>
  <c r="F319" i="25" s="1"/>
  <c r="C328" i="25"/>
  <c r="E328" i="25" s="1"/>
  <c r="F328" i="25" s="1"/>
  <c r="C318" i="25"/>
  <c r="E318" i="25" s="1"/>
  <c r="F318" i="25" s="1"/>
  <c r="C317" i="25"/>
  <c r="E317" i="25" s="1"/>
  <c r="F317" i="25" s="1"/>
  <c r="C315" i="25"/>
  <c r="E315" i="25" s="1"/>
  <c r="F315" i="25" s="1"/>
  <c r="C453" i="46"/>
  <c r="E453" i="46" s="1"/>
  <c r="F453" i="46" s="1"/>
  <c r="C456" i="46"/>
  <c r="E456" i="46" s="1"/>
  <c r="F456" i="46" s="1"/>
  <c r="C450" i="46"/>
  <c r="E450" i="46" s="1"/>
  <c r="F450" i="46" s="1"/>
  <c r="C446" i="46"/>
  <c r="E446" i="46" s="1"/>
  <c r="F446" i="46" s="1"/>
  <c r="C442" i="46"/>
  <c r="E442" i="46" s="1"/>
  <c r="F442" i="46" s="1"/>
  <c r="C438" i="46"/>
  <c r="E438" i="46" s="1"/>
  <c r="F438" i="46" s="1"/>
  <c r="C455" i="46"/>
  <c r="E455" i="46" s="1"/>
  <c r="F455" i="46" s="1"/>
  <c r="C451" i="46"/>
  <c r="E451" i="46" s="1"/>
  <c r="F451" i="46" s="1"/>
  <c r="C447" i="46"/>
  <c r="E447" i="46" s="1"/>
  <c r="F447" i="46" s="1"/>
  <c r="C443" i="46"/>
  <c r="E443" i="46" s="1"/>
  <c r="F443" i="46" s="1"/>
  <c r="C439" i="46"/>
  <c r="E439" i="46" s="1"/>
  <c r="F439" i="46" s="1"/>
  <c r="C435" i="46"/>
  <c r="E435" i="46" s="1"/>
  <c r="F435" i="46" s="1"/>
  <c r="C452" i="46"/>
  <c r="E452" i="46" s="1"/>
  <c r="F452" i="46" s="1"/>
  <c r="C444" i="46"/>
  <c r="E444" i="46" s="1"/>
  <c r="F444" i="46" s="1"/>
  <c r="C436" i="46"/>
  <c r="E436" i="46" s="1"/>
  <c r="F436" i="46" s="1"/>
  <c r="C445" i="46"/>
  <c r="E445" i="46" s="1"/>
  <c r="F445" i="46" s="1"/>
  <c r="C437" i="46"/>
  <c r="E437" i="46" s="1"/>
  <c r="F437" i="46" s="1"/>
  <c r="C441" i="46"/>
  <c r="E441" i="46" s="1"/>
  <c r="F441" i="46" s="1"/>
  <c r="C454" i="46"/>
  <c r="E454" i="46" s="1"/>
  <c r="F454" i="46" s="1"/>
  <c r="C440" i="46"/>
  <c r="E440" i="46" s="1"/>
  <c r="F440" i="46" s="1"/>
  <c r="C449" i="46"/>
  <c r="E449" i="46" s="1"/>
  <c r="F449" i="46" s="1"/>
  <c r="C390" i="46"/>
  <c r="C391" i="46" s="1"/>
  <c r="C448" i="46"/>
  <c r="E448" i="46" s="1"/>
  <c r="F448" i="46" s="1"/>
  <c r="C324" i="25"/>
  <c r="E324" i="25" s="1"/>
  <c r="F324" i="25" s="1"/>
  <c r="C571" i="46"/>
  <c r="C538" i="46"/>
  <c r="C402" i="46"/>
  <c r="C526" i="45"/>
  <c r="F518" i="45"/>
  <c r="G518" i="45" s="1"/>
  <c r="H518" i="45" s="1"/>
  <c r="F514" i="45"/>
  <c r="G514" i="45" s="1"/>
  <c r="H514" i="45" s="1"/>
  <c r="F511" i="45"/>
  <c r="G511" i="45" s="1"/>
  <c r="H511" i="45" s="1"/>
  <c r="F507" i="45"/>
  <c r="G507" i="45" s="1"/>
  <c r="H507" i="45" s="1"/>
  <c r="F503" i="45"/>
  <c r="G503" i="45" s="1"/>
  <c r="H503" i="45" s="1"/>
  <c r="F517" i="45"/>
  <c r="F513" i="45"/>
  <c r="G513" i="45" s="1"/>
  <c r="H513" i="45" s="1"/>
  <c r="F510" i="45"/>
  <c r="G510" i="45" s="1"/>
  <c r="H510" i="45" s="1"/>
  <c r="C546" i="45"/>
  <c r="C551" i="45" s="1"/>
  <c r="C552" i="45" s="1"/>
  <c r="C556" i="45" s="1"/>
  <c r="C447" i="45"/>
  <c r="E447" i="45" s="1"/>
  <c r="F447" i="45" s="1"/>
  <c r="C443" i="45"/>
  <c r="E443" i="45" s="1"/>
  <c r="F443" i="45" s="1"/>
  <c r="C439" i="45"/>
  <c r="E439" i="45" s="1"/>
  <c r="F439" i="45" s="1"/>
  <c r="F516" i="45"/>
  <c r="G516" i="45" s="1"/>
  <c r="H516" i="45" s="1"/>
  <c r="F509" i="45"/>
  <c r="G509" i="45" s="1"/>
  <c r="H509" i="45" s="1"/>
  <c r="F505" i="45"/>
  <c r="G505" i="45" s="1"/>
  <c r="H505" i="45" s="1"/>
  <c r="C445" i="45"/>
  <c r="E445" i="45" s="1"/>
  <c r="F445" i="45" s="1"/>
  <c r="C442" i="45"/>
  <c r="E442" i="45" s="1"/>
  <c r="F442" i="45" s="1"/>
  <c r="C434" i="45"/>
  <c r="E434" i="45" s="1"/>
  <c r="F434" i="45" s="1"/>
  <c r="C420" i="45"/>
  <c r="F512" i="45"/>
  <c r="G512" i="45" s="1"/>
  <c r="H512" i="45" s="1"/>
  <c r="C435" i="45"/>
  <c r="E435" i="45" s="1"/>
  <c r="F435" i="45" s="1"/>
  <c r="C432" i="45"/>
  <c r="E432" i="45" s="1"/>
  <c r="F432" i="45" s="1"/>
  <c r="F502" i="45"/>
  <c r="G502" i="45" s="1"/>
  <c r="H502" i="45" s="1"/>
  <c r="C444" i="45"/>
  <c r="E444" i="45" s="1"/>
  <c r="F444" i="45" s="1"/>
  <c r="C440" i="45"/>
  <c r="E440" i="45" s="1"/>
  <c r="F440" i="45" s="1"/>
  <c r="C446" i="45"/>
  <c r="E446" i="45" s="1"/>
  <c r="F446" i="45" s="1"/>
  <c r="F508" i="45"/>
  <c r="G508" i="45" s="1"/>
  <c r="H508" i="45" s="1"/>
  <c r="C441" i="45"/>
  <c r="E441" i="45" s="1"/>
  <c r="F441" i="45" s="1"/>
  <c r="C431" i="45"/>
  <c r="E431" i="45" s="1"/>
  <c r="F431" i="45" s="1"/>
  <c r="F504" i="45"/>
  <c r="G504" i="45" s="1"/>
  <c r="H504" i="45" s="1"/>
  <c r="C438" i="45"/>
  <c r="E438" i="45" s="1"/>
  <c r="F438" i="45" s="1"/>
  <c r="C436" i="45"/>
  <c r="E436" i="45" s="1"/>
  <c r="F436" i="45" s="1"/>
  <c r="C579" i="45"/>
  <c r="C584" i="45" s="1"/>
  <c r="F506" i="45"/>
  <c r="G506" i="45" s="1"/>
  <c r="H506" i="45" s="1"/>
  <c r="F515" i="45"/>
  <c r="G515" i="45" s="1"/>
  <c r="H515" i="45" s="1"/>
  <c r="C433" i="45"/>
  <c r="E433" i="45" s="1"/>
  <c r="F433" i="45" s="1"/>
  <c r="C437" i="45"/>
  <c r="E437" i="45" s="1"/>
  <c r="F437" i="45" s="1"/>
  <c r="G517" i="45"/>
  <c r="H517" i="45" s="1"/>
  <c r="C532" i="44"/>
  <c r="C536" i="44" s="1"/>
  <c r="C537" i="44" s="1"/>
  <c r="C540" i="44" s="1"/>
  <c r="E498" i="44"/>
  <c r="F498" i="44" s="1"/>
  <c r="G498" i="44" s="1"/>
  <c r="C512" i="44"/>
  <c r="E504" i="44"/>
  <c r="F504" i="44" s="1"/>
  <c r="G504" i="44" s="1"/>
  <c r="E502" i="44"/>
  <c r="F502" i="44" s="1"/>
  <c r="G502" i="44" s="1"/>
  <c r="E500" i="44"/>
  <c r="F500" i="44" s="1"/>
  <c r="G500" i="44" s="1"/>
  <c r="E499" i="44"/>
  <c r="F499" i="44" s="1"/>
  <c r="G499" i="44" s="1"/>
  <c r="E492" i="44"/>
  <c r="F492" i="44" s="1"/>
  <c r="G492" i="44" s="1"/>
  <c r="E491" i="44"/>
  <c r="F491" i="44" s="1"/>
  <c r="G491" i="44" s="1"/>
  <c r="C562" i="44"/>
  <c r="C566" i="44" s="1"/>
  <c r="E503" i="44"/>
  <c r="F503" i="44" s="1"/>
  <c r="G503" i="44" s="1"/>
  <c r="E490" i="44"/>
  <c r="F490" i="44" s="1"/>
  <c r="G490" i="44" s="1"/>
  <c r="E489" i="44"/>
  <c r="F489" i="44" s="1"/>
  <c r="G489" i="44" s="1"/>
  <c r="C428" i="44"/>
  <c r="E428" i="44" s="1"/>
  <c r="F428" i="44" s="1"/>
  <c r="E496" i="44"/>
  <c r="F496" i="44" s="1"/>
  <c r="G496" i="44" s="1"/>
  <c r="C427" i="44"/>
  <c r="E427" i="44" s="1"/>
  <c r="F427" i="44" s="1"/>
  <c r="C424" i="44"/>
  <c r="E424" i="44" s="1"/>
  <c r="F424" i="44" s="1"/>
  <c r="C420" i="44"/>
  <c r="E420" i="44" s="1"/>
  <c r="F420" i="44" s="1"/>
  <c r="C416" i="44"/>
  <c r="E416" i="44" s="1"/>
  <c r="F416" i="44" s="1"/>
  <c r="E501" i="44"/>
  <c r="F501" i="44" s="1"/>
  <c r="G501" i="44" s="1"/>
  <c r="E494" i="44"/>
  <c r="F494" i="44" s="1"/>
  <c r="G494" i="44" s="1"/>
  <c r="C425" i="44"/>
  <c r="E425" i="44" s="1"/>
  <c r="F425" i="44" s="1"/>
  <c r="C421" i="44"/>
  <c r="E421" i="44" s="1"/>
  <c r="F421" i="44" s="1"/>
  <c r="C417" i="44"/>
  <c r="E417" i="44" s="1"/>
  <c r="F417" i="44" s="1"/>
  <c r="C413" i="44"/>
  <c r="E413" i="44" s="1"/>
  <c r="F413" i="44" s="1"/>
  <c r="C409" i="44"/>
  <c r="E409" i="44" s="1"/>
  <c r="F409" i="44" s="1"/>
  <c r="E493" i="44"/>
  <c r="F493" i="44" s="1"/>
  <c r="G493" i="44" s="1"/>
  <c r="C426" i="44"/>
  <c r="E426" i="44" s="1"/>
  <c r="F426" i="44" s="1"/>
  <c r="C418" i="44"/>
  <c r="E418" i="44" s="1"/>
  <c r="F418" i="44" s="1"/>
  <c r="C411" i="44"/>
  <c r="E411" i="44" s="1"/>
  <c r="F411" i="44" s="1"/>
  <c r="C408" i="44"/>
  <c r="E408" i="44" s="1"/>
  <c r="F408" i="44" s="1"/>
  <c r="C414" i="44"/>
  <c r="E414" i="44" s="1"/>
  <c r="F414" i="44" s="1"/>
  <c r="E488" i="44"/>
  <c r="F488" i="44" s="1"/>
  <c r="G488" i="44" s="1"/>
  <c r="C423" i="44"/>
  <c r="E423" i="44" s="1"/>
  <c r="F423" i="44" s="1"/>
  <c r="C393" i="44"/>
  <c r="E497" i="44"/>
  <c r="F497" i="44" s="1"/>
  <c r="G497" i="44" s="1"/>
  <c r="C415" i="44"/>
  <c r="E415" i="44" s="1"/>
  <c r="F415" i="44" s="1"/>
  <c r="C410" i="44"/>
  <c r="E410" i="44" s="1"/>
  <c r="F410" i="44" s="1"/>
  <c r="C419" i="44"/>
  <c r="E419" i="44" s="1"/>
  <c r="F419" i="44" s="1"/>
  <c r="C412" i="44"/>
  <c r="E412" i="44" s="1"/>
  <c r="F412" i="44" s="1"/>
  <c r="E495" i="44"/>
  <c r="F495" i="44" s="1"/>
  <c r="G495" i="44" s="1"/>
  <c r="C429" i="44"/>
  <c r="E429" i="44" s="1"/>
  <c r="F429" i="44" s="1"/>
  <c r="C422" i="44"/>
  <c r="E422" i="44" s="1"/>
  <c r="F422" i="44" s="1"/>
  <c r="C580" i="42"/>
  <c r="C548" i="42"/>
  <c r="C422" i="42"/>
  <c r="C456" i="38"/>
  <c r="E456" i="38" s="1"/>
  <c r="F456" i="38" s="1"/>
  <c r="C443" i="38"/>
  <c r="E443" i="38" s="1"/>
  <c r="F443" i="38" s="1"/>
  <c r="C448" i="38"/>
  <c r="E448" i="38" s="1"/>
  <c r="F448" i="38" s="1"/>
  <c r="C452" i="38"/>
  <c r="E452" i="38" s="1"/>
  <c r="F452" i="38" s="1"/>
  <c r="C444" i="38"/>
  <c r="E444" i="38" s="1"/>
  <c r="F444" i="38" s="1"/>
  <c r="C438" i="38"/>
  <c r="E438" i="38" s="1"/>
  <c r="F438" i="38" s="1"/>
  <c r="C454" i="38"/>
  <c r="E454" i="38" s="1"/>
  <c r="F454" i="38" s="1"/>
  <c r="C439" i="38"/>
  <c r="E439" i="38" s="1"/>
  <c r="F439" i="38" s="1"/>
  <c r="C445" i="38"/>
  <c r="E445" i="38" s="1"/>
  <c r="F445" i="38" s="1"/>
  <c r="C450" i="38"/>
  <c r="E450" i="38" s="1"/>
  <c r="F450" i="38" s="1"/>
  <c r="C440" i="38"/>
  <c r="E440" i="38" s="1"/>
  <c r="F440" i="38" s="1"/>
  <c r="C441" i="38"/>
  <c r="E441" i="38" s="1"/>
  <c r="F441" i="38" s="1"/>
  <c r="C455" i="38"/>
  <c r="E455" i="38" s="1"/>
  <c r="F455" i="38" s="1"/>
  <c r="C390" i="38"/>
  <c r="C391" i="38" s="1"/>
  <c r="C446" i="38"/>
  <c r="E446" i="38" s="1"/>
  <c r="F446" i="38" s="1"/>
  <c r="C451" i="38"/>
  <c r="E451" i="38" s="1"/>
  <c r="F451" i="38" s="1"/>
  <c r="C435" i="38"/>
  <c r="E435" i="38" s="1"/>
  <c r="F435" i="38" s="1"/>
  <c r="C442" i="38"/>
  <c r="E442" i="38" s="1"/>
  <c r="F442" i="38" s="1"/>
  <c r="C449" i="38"/>
  <c r="E449" i="38" s="1"/>
  <c r="F449" i="38" s="1"/>
  <c r="C436" i="38"/>
  <c r="E436" i="38" s="1"/>
  <c r="F436" i="38" s="1"/>
  <c r="C447" i="38"/>
  <c r="E447" i="38" s="1"/>
  <c r="F447" i="38" s="1"/>
  <c r="C453" i="38"/>
  <c r="E453" i="38" s="1"/>
  <c r="F453" i="38" s="1"/>
  <c r="C437" i="38"/>
  <c r="E437" i="38" s="1"/>
  <c r="F437" i="38" s="1"/>
  <c r="C571" i="38"/>
  <c r="C538" i="38"/>
  <c r="C402" i="38"/>
  <c r="C465" i="42"/>
  <c r="E465" i="42" s="1"/>
  <c r="F465" i="42" s="1"/>
  <c r="C460" i="42"/>
  <c r="E460" i="42" s="1"/>
  <c r="F460" i="42" s="1"/>
  <c r="C456" i="42"/>
  <c r="E456" i="42" s="1"/>
  <c r="F456" i="42" s="1"/>
  <c r="C452" i="42"/>
  <c r="E452" i="42" s="1"/>
  <c r="F452" i="42" s="1"/>
  <c r="C464" i="42"/>
  <c r="E464" i="42" s="1"/>
  <c r="F464" i="42" s="1"/>
  <c r="C461" i="42"/>
  <c r="E461" i="42" s="1"/>
  <c r="F461" i="42" s="1"/>
  <c r="C457" i="42"/>
  <c r="E457" i="42" s="1"/>
  <c r="F457" i="42" s="1"/>
  <c r="C453" i="42"/>
  <c r="E453" i="42" s="1"/>
  <c r="F453" i="42" s="1"/>
  <c r="C459" i="42"/>
  <c r="E459" i="42" s="1"/>
  <c r="F459" i="42" s="1"/>
  <c r="C458" i="42"/>
  <c r="E458" i="42" s="1"/>
  <c r="F458" i="42" s="1"/>
  <c r="C450" i="42"/>
  <c r="E450" i="42" s="1"/>
  <c r="F450" i="42" s="1"/>
  <c r="C451" i="42"/>
  <c r="E451" i="42" s="1"/>
  <c r="F451" i="42" s="1"/>
  <c r="C455" i="42"/>
  <c r="E455" i="42" s="1"/>
  <c r="F455" i="42" s="1"/>
  <c r="C463" i="42"/>
  <c r="E463" i="42" s="1"/>
  <c r="F463" i="42" s="1"/>
  <c r="C462" i="42"/>
  <c r="E462" i="42" s="1"/>
  <c r="F462" i="42" s="1"/>
  <c r="C454" i="42"/>
  <c r="E454" i="42" s="1"/>
  <c r="F454" i="42" s="1"/>
  <c r="C466" i="42"/>
  <c r="E466" i="42" s="1"/>
  <c r="F466" i="42" s="1"/>
  <c r="C414" i="42"/>
  <c r="C415" i="42" s="1"/>
  <c r="B604" i="42"/>
  <c r="F604" i="42" s="1"/>
  <c r="E513" i="42"/>
  <c r="B515" i="30"/>
  <c r="F515" i="30" s="1"/>
  <c r="B435" i="30"/>
  <c r="B438" i="30" s="1"/>
  <c r="D363" i="30"/>
  <c r="G363" i="30" s="1"/>
  <c r="H363" i="30" s="1"/>
  <c r="D366" i="30"/>
  <c r="G366" i="30" s="1"/>
  <c r="H366" i="30" s="1"/>
  <c r="D370" i="30"/>
  <c r="G370" i="30" s="1"/>
  <c r="H370" i="30" s="1"/>
  <c r="D374" i="30"/>
  <c r="G374" i="30" s="1"/>
  <c r="H374" i="30" s="1"/>
  <c r="D378" i="30"/>
  <c r="G378" i="30" s="1"/>
  <c r="H378" i="30" s="1"/>
  <c r="D369" i="30"/>
  <c r="G369" i="30" s="1"/>
  <c r="H369" i="30" s="1"/>
  <c r="D367" i="30"/>
  <c r="G367" i="30" s="1"/>
  <c r="H367" i="30" s="1"/>
  <c r="D371" i="30"/>
  <c r="G371" i="30" s="1"/>
  <c r="H371" i="30" s="1"/>
  <c r="D375" i="30"/>
  <c r="G375" i="30" s="1"/>
  <c r="H375" i="30" s="1"/>
  <c r="D365" i="30"/>
  <c r="G365" i="30" s="1"/>
  <c r="H365" i="30" s="1"/>
  <c r="D377" i="30"/>
  <c r="G377" i="30" s="1"/>
  <c r="H377" i="30" s="1"/>
  <c r="D368" i="30"/>
  <c r="G368" i="30" s="1"/>
  <c r="H368" i="30" s="1"/>
  <c r="D372" i="30"/>
  <c r="G372" i="30" s="1"/>
  <c r="H372" i="30" s="1"/>
  <c r="D376" i="30"/>
  <c r="G376" i="30" s="1"/>
  <c r="H376" i="30" s="1"/>
  <c r="D373" i="30"/>
  <c r="G373" i="30" s="1"/>
  <c r="H373" i="30" s="1"/>
  <c r="B426" i="30"/>
  <c r="E426" i="30" s="1"/>
  <c r="G356" i="30"/>
  <c r="H356" i="30" s="1"/>
  <c r="C484" i="40"/>
  <c r="C449" i="40"/>
  <c r="C321" i="40"/>
  <c r="B508" i="40"/>
  <c r="F508" i="40" s="1"/>
  <c r="C365" i="40"/>
  <c r="E365" i="40" s="1"/>
  <c r="F365" i="40" s="1"/>
  <c r="C360" i="40"/>
  <c r="E360" i="40" s="1"/>
  <c r="F360" i="40" s="1"/>
  <c r="C361" i="40"/>
  <c r="E361" i="40" s="1"/>
  <c r="F361" i="40" s="1"/>
  <c r="C356" i="40"/>
  <c r="E356" i="40" s="1"/>
  <c r="F356" i="40" s="1"/>
  <c r="C352" i="40"/>
  <c r="E352" i="40" s="1"/>
  <c r="F352" i="40" s="1"/>
  <c r="C357" i="40"/>
  <c r="E357" i="40" s="1"/>
  <c r="F357" i="40" s="1"/>
  <c r="C353" i="40"/>
  <c r="E353" i="40" s="1"/>
  <c r="F353" i="40" s="1"/>
  <c r="C349" i="40"/>
  <c r="E349" i="40" s="1"/>
  <c r="F349" i="40" s="1"/>
  <c r="C363" i="40"/>
  <c r="E363" i="40" s="1"/>
  <c r="F363" i="40" s="1"/>
  <c r="C359" i="40"/>
  <c r="E359" i="40" s="1"/>
  <c r="F359" i="40" s="1"/>
  <c r="C351" i="40"/>
  <c r="E351" i="40" s="1"/>
  <c r="F351" i="40" s="1"/>
  <c r="C350" i="40"/>
  <c r="E350" i="40" s="1"/>
  <c r="F350" i="40" s="1"/>
  <c r="C364" i="40"/>
  <c r="E364" i="40" s="1"/>
  <c r="F364" i="40" s="1"/>
  <c r="C354" i="40"/>
  <c r="E354" i="40" s="1"/>
  <c r="F354" i="40" s="1"/>
  <c r="C358" i="40"/>
  <c r="E358" i="40" s="1"/>
  <c r="F358" i="40" s="1"/>
  <c r="C313" i="40"/>
  <c r="C314" i="40" s="1"/>
  <c r="C355" i="40"/>
  <c r="E355" i="40" s="1"/>
  <c r="F355" i="40" s="1"/>
  <c r="E498" i="39"/>
  <c r="F498" i="39" s="1"/>
  <c r="G498" i="39" s="1"/>
  <c r="E496" i="39"/>
  <c r="F496" i="39" s="1"/>
  <c r="G496" i="39" s="1"/>
  <c r="E494" i="39"/>
  <c r="F494" i="39" s="1"/>
  <c r="G494" i="39" s="1"/>
  <c r="E492" i="39"/>
  <c r="F492" i="39" s="1"/>
  <c r="G492" i="39" s="1"/>
  <c r="E490" i="39"/>
  <c r="F490" i="39" s="1"/>
  <c r="G490" i="39" s="1"/>
  <c r="E488" i="39"/>
  <c r="F488" i="39" s="1"/>
  <c r="G488" i="39" s="1"/>
  <c r="C553" i="39"/>
  <c r="C555" i="39" s="1"/>
  <c r="C513" i="39"/>
  <c r="E504" i="39"/>
  <c r="F504" i="39" s="1"/>
  <c r="G504" i="39" s="1"/>
  <c r="E502" i="39"/>
  <c r="F502" i="39" s="1"/>
  <c r="G502" i="39" s="1"/>
  <c r="E500" i="39"/>
  <c r="F500" i="39" s="1"/>
  <c r="G500" i="39" s="1"/>
  <c r="E497" i="39"/>
  <c r="F497" i="39" s="1"/>
  <c r="G497" i="39" s="1"/>
  <c r="E495" i="39"/>
  <c r="F495" i="39" s="1"/>
  <c r="G495" i="39" s="1"/>
  <c r="E501" i="39"/>
  <c r="F501" i="39" s="1"/>
  <c r="G501" i="39" s="1"/>
  <c r="E493" i="39"/>
  <c r="F493" i="39" s="1"/>
  <c r="G493" i="39" s="1"/>
  <c r="C428" i="39"/>
  <c r="E428" i="39" s="1"/>
  <c r="F428" i="39" s="1"/>
  <c r="C424" i="39"/>
  <c r="E424" i="39" s="1"/>
  <c r="F424" i="39" s="1"/>
  <c r="C532" i="39"/>
  <c r="C534" i="39" s="1"/>
  <c r="C535" i="39" s="1"/>
  <c r="E499" i="39"/>
  <c r="F499" i="39" s="1"/>
  <c r="G499" i="39" s="1"/>
  <c r="E491" i="39"/>
  <c r="F491" i="39" s="1"/>
  <c r="G491" i="39" s="1"/>
  <c r="C427" i="39"/>
  <c r="E427" i="39" s="1"/>
  <c r="F427" i="39" s="1"/>
  <c r="C420" i="39"/>
  <c r="E420" i="39" s="1"/>
  <c r="F420" i="39" s="1"/>
  <c r="C416" i="39"/>
  <c r="E416" i="39" s="1"/>
  <c r="F416" i="39" s="1"/>
  <c r="C412" i="39"/>
  <c r="E412" i="39" s="1"/>
  <c r="F412" i="39" s="1"/>
  <c r="C408" i="39"/>
  <c r="E408" i="39" s="1"/>
  <c r="F408" i="39" s="1"/>
  <c r="E489" i="39"/>
  <c r="F489" i="39" s="1"/>
  <c r="G489" i="39" s="1"/>
  <c r="C421" i="39"/>
  <c r="E421" i="39" s="1"/>
  <c r="F421" i="39" s="1"/>
  <c r="C418" i="39"/>
  <c r="E418" i="39" s="1"/>
  <c r="F418" i="39" s="1"/>
  <c r="C415" i="39"/>
  <c r="E415" i="39" s="1"/>
  <c r="F415" i="39" s="1"/>
  <c r="C417" i="39"/>
  <c r="E417" i="39" s="1"/>
  <c r="F417" i="39" s="1"/>
  <c r="C414" i="39"/>
  <c r="E414" i="39" s="1"/>
  <c r="F414" i="39" s="1"/>
  <c r="C411" i="39"/>
  <c r="E411" i="39" s="1"/>
  <c r="F411" i="39" s="1"/>
  <c r="C393" i="39"/>
  <c r="E503" i="39"/>
  <c r="F503" i="39" s="1"/>
  <c r="G503" i="39" s="1"/>
  <c r="C425" i="39"/>
  <c r="E425" i="39" s="1"/>
  <c r="F425" i="39" s="1"/>
  <c r="C410" i="39"/>
  <c r="E410" i="39" s="1"/>
  <c r="F410" i="39" s="1"/>
  <c r="C423" i="39"/>
  <c r="E423" i="39" s="1"/>
  <c r="F423" i="39" s="1"/>
  <c r="C409" i="39"/>
  <c r="E409" i="39" s="1"/>
  <c r="F409" i="39" s="1"/>
  <c r="C429" i="39"/>
  <c r="E429" i="39" s="1"/>
  <c r="F429" i="39" s="1"/>
  <c r="C426" i="39"/>
  <c r="E426" i="39" s="1"/>
  <c r="F426" i="39" s="1"/>
  <c r="C422" i="39"/>
  <c r="E422" i="39" s="1"/>
  <c r="F422" i="39" s="1"/>
  <c r="C419" i="39"/>
  <c r="E419" i="39" s="1"/>
  <c r="F419" i="39" s="1"/>
  <c r="C413" i="39"/>
  <c r="E413" i="39" s="1"/>
  <c r="F413" i="39" s="1"/>
  <c r="C296" i="25"/>
  <c r="E296" i="25" s="1"/>
  <c r="F296" i="25" s="1"/>
  <c r="C278" i="37"/>
  <c r="C532" i="36"/>
  <c r="C536" i="36" s="1"/>
  <c r="C537" i="36" s="1"/>
  <c r="C540" i="36" s="1"/>
  <c r="E498" i="36"/>
  <c r="F498" i="36" s="1"/>
  <c r="G498" i="36" s="1"/>
  <c r="E496" i="36"/>
  <c r="F496" i="36" s="1"/>
  <c r="G496" i="36" s="1"/>
  <c r="E494" i="36"/>
  <c r="F494" i="36" s="1"/>
  <c r="G494" i="36" s="1"/>
  <c r="E492" i="36"/>
  <c r="F492" i="36" s="1"/>
  <c r="G492" i="36" s="1"/>
  <c r="E490" i="36"/>
  <c r="F490" i="36" s="1"/>
  <c r="G490" i="36" s="1"/>
  <c r="E488" i="36"/>
  <c r="F488" i="36" s="1"/>
  <c r="G488" i="36" s="1"/>
  <c r="C512" i="36"/>
  <c r="E504" i="36"/>
  <c r="F504" i="36" s="1"/>
  <c r="G504" i="36" s="1"/>
  <c r="E502" i="36"/>
  <c r="F502" i="36" s="1"/>
  <c r="G502" i="36" s="1"/>
  <c r="E500" i="36"/>
  <c r="F500" i="36" s="1"/>
  <c r="G500" i="36" s="1"/>
  <c r="C562" i="36"/>
  <c r="C566" i="36" s="1"/>
  <c r="E503" i="36"/>
  <c r="F503" i="36" s="1"/>
  <c r="G503" i="36" s="1"/>
  <c r="C428" i="36"/>
  <c r="E428" i="36" s="1"/>
  <c r="F428" i="36" s="1"/>
  <c r="E497" i="36"/>
  <c r="F497" i="36" s="1"/>
  <c r="G497" i="36" s="1"/>
  <c r="E493" i="36"/>
  <c r="F493" i="36" s="1"/>
  <c r="G493" i="36" s="1"/>
  <c r="E491" i="36"/>
  <c r="F491" i="36" s="1"/>
  <c r="G491" i="36" s="1"/>
  <c r="C429" i="36"/>
  <c r="E429" i="36" s="1"/>
  <c r="F429" i="36" s="1"/>
  <c r="E501" i="36"/>
  <c r="F501" i="36" s="1"/>
  <c r="G501" i="36" s="1"/>
  <c r="E489" i="36"/>
  <c r="F489" i="36" s="1"/>
  <c r="G489" i="36" s="1"/>
  <c r="C423" i="36"/>
  <c r="E423" i="36" s="1"/>
  <c r="F423" i="36" s="1"/>
  <c r="C419" i="36"/>
  <c r="E419" i="36" s="1"/>
  <c r="F419" i="36" s="1"/>
  <c r="C415" i="36"/>
  <c r="E415" i="36" s="1"/>
  <c r="F415" i="36" s="1"/>
  <c r="C411" i="36"/>
  <c r="E411" i="36" s="1"/>
  <c r="F411" i="36" s="1"/>
  <c r="C393" i="36"/>
  <c r="E495" i="36"/>
  <c r="F495" i="36" s="1"/>
  <c r="G495" i="36" s="1"/>
  <c r="C424" i="36"/>
  <c r="E424" i="36" s="1"/>
  <c r="F424" i="36" s="1"/>
  <c r="C420" i="36"/>
  <c r="E420" i="36" s="1"/>
  <c r="F420" i="36" s="1"/>
  <c r="C416" i="36"/>
  <c r="E416" i="36" s="1"/>
  <c r="F416" i="36" s="1"/>
  <c r="C412" i="36"/>
  <c r="E412" i="36" s="1"/>
  <c r="F412" i="36" s="1"/>
  <c r="C408" i="36"/>
  <c r="E408" i="36" s="1"/>
  <c r="F408" i="36" s="1"/>
  <c r="E499" i="36"/>
  <c r="F499" i="36" s="1"/>
  <c r="G499" i="36" s="1"/>
  <c r="C425" i="36"/>
  <c r="E425" i="36" s="1"/>
  <c r="F425" i="36" s="1"/>
  <c r="C417" i="36"/>
  <c r="E417" i="36" s="1"/>
  <c r="F417" i="36" s="1"/>
  <c r="C409" i="36"/>
  <c r="E409" i="36" s="1"/>
  <c r="F409" i="36" s="1"/>
  <c r="C426" i="36"/>
  <c r="E426" i="36" s="1"/>
  <c r="F426" i="36" s="1"/>
  <c r="C418" i="36"/>
  <c r="E418" i="36" s="1"/>
  <c r="F418" i="36" s="1"/>
  <c r="C410" i="36"/>
  <c r="E410" i="36" s="1"/>
  <c r="F410" i="36" s="1"/>
  <c r="C421" i="36"/>
  <c r="E421" i="36" s="1"/>
  <c r="F421" i="36" s="1"/>
  <c r="C414" i="36"/>
  <c r="E414" i="36" s="1"/>
  <c r="F414" i="36" s="1"/>
  <c r="C413" i="36"/>
  <c r="E413" i="36" s="1"/>
  <c r="F413" i="36" s="1"/>
  <c r="C422" i="36"/>
  <c r="E422" i="36" s="1"/>
  <c r="F422" i="36" s="1"/>
  <c r="C427" i="36"/>
  <c r="E427" i="36" s="1"/>
  <c r="F427" i="36" s="1"/>
  <c r="D455" i="35"/>
  <c r="G455" i="35" s="1"/>
  <c r="H455" i="35" s="1"/>
  <c r="D456" i="35"/>
  <c r="G456" i="35" s="1"/>
  <c r="H456" i="35" s="1"/>
  <c r="D453" i="35"/>
  <c r="G453" i="35" s="1"/>
  <c r="H453" i="35" s="1"/>
  <c r="D451" i="35"/>
  <c r="G451" i="35" s="1"/>
  <c r="H451" i="35" s="1"/>
  <c r="D447" i="35"/>
  <c r="G447" i="35" s="1"/>
  <c r="H447" i="35" s="1"/>
  <c r="D452" i="35"/>
  <c r="G452" i="35" s="1"/>
  <c r="H452" i="35" s="1"/>
  <c r="D448" i="35"/>
  <c r="G448" i="35" s="1"/>
  <c r="H448" i="35" s="1"/>
  <c r="D444" i="35"/>
  <c r="G444" i="35" s="1"/>
  <c r="H444" i="35" s="1"/>
  <c r="D440" i="35"/>
  <c r="G440" i="35" s="1"/>
  <c r="H440" i="35" s="1"/>
  <c r="D436" i="35"/>
  <c r="G436" i="35" s="1"/>
  <c r="H436" i="35" s="1"/>
  <c r="D449" i="35"/>
  <c r="G449" i="35" s="1"/>
  <c r="H449" i="35" s="1"/>
  <c r="D445" i="35"/>
  <c r="G445" i="35" s="1"/>
  <c r="H445" i="35" s="1"/>
  <c r="D441" i="35"/>
  <c r="G441" i="35" s="1"/>
  <c r="H441" i="35" s="1"/>
  <c r="D437" i="35"/>
  <c r="G437" i="35" s="1"/>
  <c r="H437" i="35" s="1"/>
  <c r="D450" i="35"/>
  <c r="G450" i="35" s="1"/>
  <c r="H450" i="35" s="1"/>
  <c r="D446" i="35"/>
  <c r="G446" i="35" s="1"/>
  <c r="H446" i="35" s="1"/>
  <c r="D438" i="35"/>
  <c r="G438" i="35" s="1"/>
  <c r="H438" i="35" s="1"/>
  <c r="D439" i="35"/>
  <c r="G439" i="35" s="1"/>
  <c r="H439" i="35" s="1"/>
  <c r="C378" i="35"/>
  <c r="D454" i="35"/>
  <c r="G454" i="35" s="1"/>
  <c r="H454" i="35" s="1"/>
  <c r="D442" i="35"/>
  <c r="G442" i="35" s="1"/>
  <c r="H442" i="35" s="1"/>
  <c r="D435" i="35"/>
  <c r="G435" i="35" s="1"/>
  <c r="H435" i="35" s="1"/>
  <c r="D443" i="35"/>
  <c r="G443" i="35" s="1"/>
  <c r="H443" i="35" s="1"/>
  <c r="C380" i="35"/>
  <c r="C399" i="35" s="1"/>
  <c r="C400" i="35" s="1"/>
  <c r="C553" i="35"/>
  <c r="C545" i="35"/>
  <c r="D427" i="35"/>
  <c r="G427" i="35" s="1"/>
  <c r="H427" i="35" s="1"/>
  <c r="D428" i="35"/>
  <c r="G428" i="35" s="1"/>
  <c r="H428" i="35" s="1"/>
  <c r="D425" i="35"/>
  <c r="G425" i="35" s="1"/>
  <c r="H425" i="35" s="1"/>
  <c r="D423" i="35"/>
  <c r="G423" i="35" s="1"/>
  <c r="H423" i="35" s="1"/>
  <c r="D419" i="35"/>
  <c r="G419" i="35" s="1"/>
  <c r="H419" i="35" s="1"/>
  <c r="D415" i="35"/>
  <c r="G415" i="35" s="1"/>
  <c r="H415" i="35" s="1"/>
  <c r="D411" i="35"/>
  <c r="G411" i="35" s="1"/>
  <c r="H411" i="35" s="1"/>
  <c r="D424" i="35"/>
  <c r="G424" i="35" s="1"/>
  <c r="H424" i="35" s="1"/>
  <c r="D420" i="35"/>
  <c r="G420" i="35" s="1"/>
  <c r="H420" i="35" s="1"/>
  <c r="D416" i="35"/>
  <c r="G416" i="35" s="1"/>
  <c r="H416" i="35" s="1"/>
  <c r="D412" i="35"/>
  <c r="G412" i="35" s="1"/>
  <c r="H412" i="35" s="1"/>
  <c r="D408" i="35"/>
  <c r="G408" i="35" s="1"/>
  <c r="H408" i="35" s="1"/>
  <c r="C401" i="35"/>
  <c r="D421" i="35"/>
  <c r="G421" i="35" s="1"/>
  <c r="H421" i="35" s="1"/>
  <c r="D417" i="35"/>
  <c r="G417" i="35" s="1"/>
  <c r="H417" i="35" s="1"/>
  <c r="D413" i="35"/>
  <c r="G413" i="35" s="1"/>
  <c r="H413" i="35" s="1"/>
  <c r="D409" i="35"/>
  <c r="G409" i="35" s="1"/>
  <c r="H409" i="35" s="1"/>
  <c r="C392" i="35"/>
  <c r="D429" i="35"/>
  <c r="G429" i="35" s="1"/>
  <c r="H429" i="35" s="1"/>
  <c r="D426" i="35"/>
  <c r="G426" i="35" s="1"/>
  <c r="H426" i="35" s="1"/>
  <c r="D422" i="35"/>
  <c r="G422" i="35" s="1"/>
  <c r="H422" i="35" s="1"/>
  <c r="D418" i="35"/>
  <c r="G418" i="35" s="1"/>
  <c r="H418" i="35" s="1"/>
  <c r="D414" i="35"/>
  <c r="G414" i="35" s="1"/>
  <c r="H414" i="35" s="1"/>
  <c r="D410" i="35"/>
  <c r="G410" i="35" s="1"/>
  <c r="H410" i="35" s="1"/>
  <c r="B138" i="13"/>
  <c r="C565" i="17"/>
  <c r="C535" i="17"/>
  <c r="D379" i="30"/>
  <c r="G379" i="30" s="1"/>
  <c r="H379" i="30" s="1"/>
  <c r="C322" i="30"/>
  <c r="C332" i="30" s="1"/>
  <c r="C333" i="30" s="1"/>
  <c r="C493" i="30" s="1"/>
  <c r="D364" i="30"/>
  <c r="G364" i="30" s="1"/>
  <c r="H364" i="30" s="1"/>
  <c r="C320" i="30"/>
  <c r="E366" i="25"/>
  <c r="F366" i="25" s="1"/>
  <c r="G366" i="25" s="1"/>
  <c r="B255" i="13"/>
  <c r="B229" i="13"/>
  <c r="F68" i="13"/>
  <c r="D126" i="13" s="1"/>
  <c r="B242" i="13" s="1"/>
  <c r="C500" i="13" s="1"/>
  <c r="C597" i="13" s="1"/>
  <c r="E68" i="13"/>
  <c r="C126" i="13" s="1"/>
  <c r="B216" i="13" s="1"/>
  <c r="B359" i="13" s="1"/>
  <c r="E75" i="13"/>
  <c r="C133" i="13" s="1"/>
  <c r="B223" i="13" s="1"/>
  <c r="B366" i="13" s="1"/>
  <c r="F75" i="13"/>
  <c r="D133" i="13" s="1"/>
  <c r="B249" i="13" s="1"/>
  <c r="C507" i="13" s="1"/>
  <c r="C604" i="13" s="1"/>
  <c r="F72" i="13"/>
  <c r="E72" i="13"/>
  <c r="F80" i="13"/>
  <c r="E80" i="13"/>
  <c r="F76" i="13"/>
  <c r="E76" i="13"/>
  <c r="F67" i="13"/>
  <c r="E67" i="13"/>
  <c r="F74" i="13"/>
  <c r="E74" i="13"/>
  <c r="E70" i="13"/>
  <c r="C128" i="13" s="1"/>
  <c r="B218" i="13" s="1"/>
  <c r="B361" i="13" s="1"/>
  <c r="F70" i="13"/>
  <c r="D128" i="13" s="1"/>
  <c r="B244" i="13" s="1"/>
  <c r="C502" i="13" s="1"/>
  <c r="C599" i="13" s="1"/>
  <c r="F66" i="13"/>
  <c r="E66" i="13"/>
  <c r="F73" i="13"/>
  <c r="E73" i="13"/>
  <c r="F78" i="13"/>
  <c r="D138" i="13" s="1"/>
  <c r="B254" i="13" s="1"/>
  <c r="C512" i="13" s="1"/>
  <c r="C607" i="13" s="1"/>
  <c r="E78" i="13"/>
  <c r="C138" i="13" s="1"/>
  <c r="B228" i="13" s="1"/>
  <c r="F71" i="13"/>
  <c r="E71" i="13"/>
  <c r="B139" i="13"/>
  <c r="B135" i="13"/>
  <c r="B509" i="13" s="1"/>
  <c r="E509" i="13" s="1"/>
  <c r="B144" i="13"/>
  <c r="B134" i="13"/>
  <c r="B130" i="13"/>
  <c r="B131" i="13"/>
  <c r="B124" i="13"/>
  <c r="B132" i="13"/>
  <c r="B125" i="13"/>
  <c r="D71" i="17"/>
  <c r="C462" i="17"/>
  <c r="C22" i="17"/>
  <c r="D66" i="17"/>
  <c r="D67" i="17"/>
  <c r="B124" i="17" s="1"/>
  <c r="D69" i="17"/>
  <c r="B126" i="17" s="1"/>
  <c r="B292" i="17" s="1"/>
  <c r="D68" i="17"/>
  <c r="D72" i="17"/>
  <c r="D73" i="17"/>
  <c r="D75" i="17"/>
  <c r="B132" i="17" s="1"/>
  <c r="B298" i="17" s="1"/>
  <c r="B134" i="17"/>
  <c r="D80" i="17"/>
  <c r="D74" i="17"/>
  <c r="D76" i="17"/>
  <c r="D78" i="17"/>
  <c r="B137" i="17" s="1"/>
  <c r="B303" i="17" s="1"/>
  <c r="D79" i="17"/>
  <c r="D138" i="17" s="1"/>
  <c r="D70" i="17"/>
  <c r="B127" i="17" s="1"/>
  <c r="B293" i="17" s="1"/>
  <c r="D514" i="17"/>
  <c r="E514" i="17" s="1"/>
  <c r="C246" i="17"/>
  <c r="C395" i="17"/>
  <c r="C360" i="17"/>
  <c r="C339" i="17"/>
  <c r="C387" i="17"/>
  <c r="C257" i="17"/>
  <c r="C184" i="17"/>
  <c r="C353" i="17"/>
  <c r="C191" i="17"/>
  <c r="C328" i="17"/>
  <c r="C270" i="17"/>
  <c r="C520" i="17"/>
  <c r="C539" i="17" s="1"/>
  <c r="C569" i="17" s="1"/>
  <c r="C414" i="37" l="1"/>
  <c r="C320" i="25"/>
  <c r="E320" i="25" s="1"/>
  <c r="F320" i="25" s="1"/>
  <c r="C313" i="25"/>
  <c r="E313" i="25" s="1"/>
  <c r="F313" i="25" s="1"/>
  <c r="C333" i="25"/>
  <c r="E333" i="25" s="1"/>
  <c r="F333" i="25" s="1"/>
  <c r="C325" i="25"/>
  <c r="E325" i="25" s="1"/>
  <c r="F325" i="25" s="1"/>
  <c r="C323" i="25"/>
  <c r="E323" i="25" s="1"/>
  <c r="F323" i="25" s="1"/>
  <c r="C331" i="25"/>
  <c r="E331" i="25" s="1"/>
  <c r="F331" i="25" s="1"/>
  <c r="C331" i="37"/>
  <c r="E331" i="37" s="1"/>
  <c r="F331" i="37" s="1"/>
  <c r="C292" i="25"/>
  <c r="E292" i="25" s="1"/>
  <c r="F292" i="25" s="1"/>
  <c r="C286" i="25"/>
  <c r="E286" i="25" s="1"/>
  <c r="F286" i="25" s="1"/>
  <c r="C298" i="25"/>
  <c r="E298" i="25" s="1"/>
  <c r="F298" i="25" s="1"/>
  <c r="E369" i="25"/>
  <c r="F369" i="25" s="1"/>
  <c r="G369" i="25" s="1"/>
  <c r="C312" i="25"/>
  <c r="E312" i="25" s="1"/>
  <c r="F312" i="25" s="1"/>
  <c r="C321" i="25"/>
  <c r="E321" i="25" s="1"/>
  <c r="F321" i="25" s="1"/>
  <c r="C332" i="25"/>
  <c r="E332" i="25" s="1"/>
  <c r="F332" i="25" s="1"/>
  <c r="C326" i="25"/>
  <c r="E326" i="25" s="1"/>
  <c r="F326" i="25" s="1"/>
  <c r="C330" i="25"/>
  <c r="E330" i="25" s="1"/>
  <c r="F330" i="25" s="1"/>
  <c r="E381" i="25"/>
  <c r="F381" i="25" s="1"/>
  <c r="G381" i="25" s="1"/>
  <c r="C299" i="25"/>
  <c r="E299" i="25" s="1"/>
  <c r="F299" i="25" s="1"/>
  <c r="C302" i="25"/>
  <c r="E302" i="25" s="1"/>
  <c r="F302" i="25" s="1"/>
  <c r="C294" i="25"/>
  <c r="E294" i="25" s="1"/>
  <c r="F294" i="25" s="1"/>
  <c r="E372" i="25"/>
  <c r="F372" i="25" s="1"/>
  <c r="G372" i="25" s="1"/>
  <c r="E378" i="25"/>
  <c r="F378" i="25" s="1"/>
  <c r="G378" i="25" s="1"/>
  <c r="C297" i="25"/>
  <c r="E297" i="25" s="1"/>
  <c r="F297" i="25" s="1"/>
  <c r="E373" i="25"/>
  <c r="F373" i="25" s="1"/>
  <c r="G373" i="25" s="1"/>
  <c r="C305" i="25"/>
  <c r="E305" i="25" s="1"/>
  <c r="F305" i="25" s="1"/>
  <c r="C304" i="25"/>
  <c r="E304" i="25" s="1"/>
  <c r="F304" i="25" s="1"/>
  <c r="C295" i="25"/>
  <c r="E295" i="25" s="1"/>
  <c r="F295" i="25" s="1"/>
  <c r="C293" i="25"/>
  <c r="E293" i="25" s="1"/>
  <c r="F293" i="25" s="1"/>
  <c r="E374" i="25"/>
  <c r="F374" i="25" s="1"/>
  <c r="G374" i="25" s="1"/>
  <c r="E379" i="25"/>
  <c r="F379" i="25" s="1"/>
  <c r="G379" i="25" s="1"/>
  <c r="C303" i="25"/>
  <c r="E303" i="25" s="1"/>
  <c r="F303" i="25" s="1"/>
  <c r="E365" i="25"/>
  <c r="F365" i="25" s="1"/>
  <c r="G365" i="25" s="1"/>
  <c r="C390" i="25"/>
  <c r="C393" i="25" s="1"/>
  <c r="D393" i="25" s="1"/>
  <c r="E393" i="25" s="1"/>
  <c r="C291" i="25"/>
  <c r="E291" i="25" s="1"/>
  <c r="F291" i="25" s="1"/>
  <c r="C290" i="25"/>
  <c r="E290" i="25" s="1"/>
  <c r="F290" i="25" s="1"/>
  <c r="C289" i="25"/>
  <c r="E289" i="25" s="1"/>
  <c r="F289" i="25" s="1"/>
  <c r="C288" i="25"/>
  <c r="E288" i="25" s="1"/>
  <c r="F288" i="25" s="1"/>
  <c r="E370" i="25"/>
  <c r="F370" i="25" s="1"/>
  <c r="G370" i="25" s="1"/>
  <c r="E380" i="25"/>
  <c r="F380" i="25" s="1"/>
  <c r="G380" i="25" s="1"/>
  <c r="E371" i="25"/>
  <c r="F371" i="25" s="1"/>
  <c r="G371" i="25" s="1"/>
  <c r="C285" i="25"/>
  <c r="E285" i="25" s="1"/>
  <c r="F285" i="25" s="1"/>
  <c r="C306" i="25"/>
  <c r="E306" i="25" s="1"/>
  <c r="F306" i="25" s="1"/>
  <c r="C430" i="25"/>
  <c r="C432" i="25" s="1"/>
  <c r="F446" i="25" s="1"/>
  <c r="G446" i="25" s="1"/>
  <c r="H446" i="25" s="1"/>
  <c r="C287" i="25"/>
  <c r="E287" i="25" s="1"/>
  <c r="F287" i="25" s="1"/>
  <c r="C301" i="25"/>
  <c r="E301" i="25" s="1"/>
  <c r="F301" i="25" s="1"/>
  <c r="C300" i="25"/>
  <c r="E300" i="25" s="1"/>
  <c r="F300" i="25" s="1"/>
  <c r="C409" i="25"/>
  <c r="C411" i="25" s="1"/>
  <c r="C412" i="25" s="1"/>
  <c r="E377" i="25"/>
  <c r="F377" i="25" s="1"/>
  <c r="G377" i="25" s="1"/>
  <c r="E376" i="25"/>
  <c r="F376" i="25" s="1"/>
  <c r="G376" i="25" s="1"/>
  <c r="E368" i="25"/>
  <c r="F368" i="25" s="1"/>
  <c r="G368" i="25" s="1"/>
  <c r="E367" i="25"/>
  <c r="F367" i="25" s="1"/>
  <c r="G367" i="25" s="1"/>
  <c r="C313" i="37"/>
  <c r="E313" i="37" s="1"/>
  <c r="F313" i="37" s="1"/>
  <c r="C327" i="37"/>
  <c r="E327" i="37" s="1"/>
  <c r="F327" i="37" s="1"/>
  <c r="C311" i="37"/>
  <c r="E311" i="37" s="1"/>
  <c r="F311" i="37" s="1"/>
  <c r="C266" i="37"/>
  <c r="C267" i="37" s="1"/>
  <c r="E372" i="37" s="1"/>
  <c r="F372" i="37" s="1"/>
  <c r="G372" i="37" s="1"/>
  <c r="C326" i="37"/>
  <c r="E326" i="37" s="1"/>
  <c r="F326" i="37" s="1"/>
  <c r="C316" i="37"/>
  <c r="E316" i="37" s="1"/>
  <c r="F316" i="37" s="1"/>
  <c r="C321" i="37"/>
  <c r="E321" i="37" s="1"/>
  <c r="F321" i="37" s="1"/>
  <c r="C315" i="37"/>
  <c r="E315" i="37" s="1"/>
  <c r="F315" i="37" s="1"/>
  <c r="C314" i="37"/>
  <c r="E314" i="37" s="1"/>
  <c r="F314" i="37" s="1"/>
  <c r="C329" i="37"/>
  <c r="E329" i="37" s="1"/>
  <c r="F329" i="37" s="1"/>
  <c r="C325" i="37"/>
  <c r="E325" i="37" s="1"/>
  <c r="F325" i="37" s="1"/>
  <c r="C324" i="37"/>
  <c r="E324" i="37" s="1"/>
  <c r="F324" i="37" s="1"/>
  <c r="C312" i="37"/>
  <c r="E312" i="37" s="1"/>
  <c r="F312" i="37" s="1"/>
  <c r="C319" i="37"/>
  <c r="E319" i="37" s="1"/>
  <c r="F319" i="37" s="1"/>
  <c r="C318" i="37"/>
  <c r="E318" i="37" s="1"/>
  <c r="F318" i="37" s="1"/>
  <c r="C332" i="37"/>
  <c r="E332" i="37" s="1"/>
  <c r="F332" i="37" s="1"/>
  <c r="C317" i="37"/>
  <c r="E317" i="37" s="1"/>
  <c r="F317" i="37" s="1"/>
  <c r="C328" i="37"/>
  <c r="E328" i="37" s="1"/>
  <c r="F328" i="37" s="1"/>
  <c r="C320" i="37"/>
  <c r="E320" i="37" s="1"/>
  <c r="F320" i="37" s="1"/>
  <c r="C323" i="37"/>
  <c r="E323" i="37" s="1"/>
  <c r="F323" i="37" s="1"/>
  <c r="C322" i="37"/>
  <c r="E322" i="37" s="1"/>
  <c r="F322" i="37" s="1"/>
  <c r="E501" i="13"/>
  <c r="B598" i="13"/>
  <c r="F598" i="13" s="1"/>
  <c r="C638" i="13" s="1"/>
  <c r="D303" i="25"/>
  <c r="G303" i="25" s="1"/>
  <c r="H303" i="25" s="1"/>
  <c r="C424" i="25"/>
  <c r="C426" i="25" s="1"/>
  <c r="C437" i="25" s="1"/>
  <c r="C438" i="25" s="1"/>
  <c r="D302" i="25"/>
  <c r="G302" i="25" s="1"/>
  <c r="H302" i="25" s="1"/>
  <c r="C269" i="25"/>
  <c r="C270" i="25" s="1"/>
  <c r="D298" i="25"/>
  <c r="G298" i="25" s="1"/>
  <c r="H298" i="25" s="1"/>
  <c r="D285" i="25"/>
  <c r="G285" i="25" s="1"/>
  <c r="H285" i="25" s="1"/>
  <c r="D289" i="25"/>
  <c r="G289" i="25" s="1"/>
  <c r="H289" i="25" s="1"/>
  <c r="D304" i="25"/>
  <c r="G304" i="25" s="1"/>
  <c r="H304" i="25" s="1"/>
  <c r="D293" i="25"/>
  <c r="G293" i="25" s="1"/>
  <c r="H293" i="25" s="1"/>
  <c r="D288" i="25"/>
  <c r="G288" i="25" s="1"/>
  <c r="H288" i="25" s="1"/>
  <c r="D306" i="25"/>
  <c r="G306" i="25" s="1"/>
  <c r="H306" i="25" s="1"/>
  <c r="D290" i="25"/>
  <c r="G290" i="25" s="1"/>
  <c r="H290" i="25" s="1"/>
  <c r="D300" i="25"/>
  <c r="G300" i="25" s="1"/>
  <c r="H300" i="25" s="1"/>
  <c r="D295" i="25"/>
  <c r="G295" i="25" s="1"/>
  <c r="H295" i="25" s="1"/>
  <c r="D296" i="25"/>
  <c r="G296" i="25" s="1"/>
  <c r="H296" i="25" s="1"/>
  <c r="D291" i="25"/>
  <c r="G291" i="25" s="1"/>
  <c r="H291" i="25" s="1"/>
  <c r="C419" i="25"/>
  <c r="D294" i="25"/>
  <c r="G294" i="25" s="1"/>
  <c r="H294" i="25" s="1"/>
  <c r="D292" i="25"/>
  <c r="G292" i="25" s="1"/>
  <c r="H292" i="25" s="1"/>
  <c r="D286" i="25"/>
  <c r="G286" i="25" s="1"/>
  <c r="H286" i="25" s="1"/>
  <c r="D287" i="25"/>
  <c r="G287" i="25" s="1"/>
  <c r="H287" i="25" s="1"/>
  <c r="D305" i="25"/>
  <c r="G305" i="25" s="1"/>
  <c r="H305" i="25" s="1"/>
  <c r="D297" i="25"/>
  <c r="G297" i="25" s="1"/>
  <c r="H297" i="25" s="1"/>
  <c r="C278" i="25"/>
  <c r="C279" i="25" s="1"/>
  <c r="D299" i="25"/>
  <c r="G299" i="25" s="1"/>
  <c r="H299" i="25" s="1"/>
  <c r="E472" i="17"/>
  <c r="E476" i="17"/>
  <c r="E480" i="17"/>
  <c r="C617" i="17" s="1"/>
  <c r="E469" i="17"/>
  <c r="E473" i="17"/>
  <c r="E477" i="17"/>
  <c r="E481" i="17"/>
  <c r="E470" i="17"/>
  <c r="E474" i="17"/>
  <c r="E478" i="17"/>
  <c r="E482" i="17"/>
  <c r="E471" i="17"/>
  <c r="C616" i="17" s="1"/>
  <c r="E475" i="17"/>
  <c r="E479" i="17"/>
  <c r="E468" i="17"/>
  <c r="D472" i="17"/>
  <c r="D476" i="17"/>
  <c r="D480" i="17"/>
  <c r="B617" i="17" s="1"/>
  <c r="D469" i="17"/>
  <c r="D477" i="17"/>
  <c r="D471" i="17"/>
  <c r="B616" i="17" s="1"/>
  <c r="D473" i="17"/>
  <c r="D481" i="17"/>
  <c r="F481" i="17" s="1"/>
  <c r="D475" i="17"/>
  <c r="D468" i="17"/>
  <c r="D470" i="17"/>
  <c r="D474" i="17"/>
  <c r="D478" i="17"/>
  <c r="D482" i="17"/>
  <c r="D479" i="17"/>
  <c r="C267" i="17"/>
  <c r="E87" i="48"/>
  <c r="E85" i="48"/>
  <c r="C147" i="48"/>
  <c r="C185" i="48" s="1"/>
  <c r="C120" i="48"/>
  <c r="C122" i="48" s="1"/>
  <c r="C138" i="48" s="1"/>
  <c r="E84" i="48"/>
  <c r="E77" i="48"/>
  <c r="E76" i="48"/>
  <c r="E86" i="48"/>
  <c r="E83" i="48"/>
  <c r="E82" i="48"/>
  <c r="E79" i="48"/>
  <c r="E74" i="48"/>
  <c r="E80" i="48"/>
  <c r="E78" i="48"/>
  <c r="E75" i="48"/>
  <c r="E81" i="48"/>
  <c r="E73" i="48"/>
  <c r="C532" i="46"/>
  <c r="C536" i="46" s="1"/>
  <c r="C537" i="46" s="1"/>
  <c r="C540" i="46" s="1"/>
  <c r="E498" i="46"/>
  <c r="F498" i="46" s="1"/>
  <c r="G498" i="46" s="1"/>
  <c r="C512" i="46"/>
  <c r="E504" i="46"/>
  <c r="F504" i="46" s="1"/>
  <c r="G504" i="46" s="1"/>
  <c r="E502" i="46"/>
  <c r="F502" i="46" s="1"/>
  <c r="G502" i="46" s="1"/>
  <c r="E500" i="46"/>
  <c r="F500" i="46" s="1"/>
  <c r="G500" i="46" s="1"/>
  <c r="E499" i="46"/>
  <c r="F499" i="46" s="1"/>
  <c r="G499" i="46" s="1"/>
  <c r="E497" i="46"/>
  <c r="F497" i="46" s="1"/>
  <c r="G497" i="46" s="1"/>
  <c r="E495" i="46"/>
  <c r="F495" i="46" s="1"/>
  <c r="G495" i="46" s="1"/>
  <c r="E493" i="46"/>
  <c r="F493" i="46" s="1"/>
  <c r="G493" i="46" s="1"/>
  <c r="E491" i="46"/>
  <c r="F491" i="46" s="1"/>
  <c r="G491" i="46" s="1"/>
  <c r="E489" i="46"/>
  <c r="F489" i="46" s="1"/>
  <c r="G489" i="46" s="1"/>
  <c r="C562" i="46"/>
  <c r="C566" i="46" s="1"/>
  <c r="E496" i="46"/>
  <c r="F496" i="46" s="1"/>
  <c r="G496" i="46" s="1"/>
  <c r="E488" i="46"/>
  <c r="F488" i="46" s="1"/>
  <c r="G488" i="46" s="1"/>
  <c r="C429" i="46"/>
  <c r="E429" i="46" s="1"/>
  <c r="F429" i="46" s="1"/>
  <c r="C426" i="46"/>
  <c r="E426" i="46" s="1"/>
  <c r="F426" i="46" s="1"/>
  <c r="C422" i="46"/>
  <c r="E422" i="46" s="1"/>
  <c r="F422" i="46" s="1"/>
  <c r="C418" i="46"/>
  <c r="E418" i="46" s="1"/>
  <c r="F418" i="46" s="1"/>
  <c r="E501" i="46"/>
  <c r="F501" i="46" s="1"/>
  <c r="G501" i="46" s="1"/>
  <c r="E494" i="46"/>
  <c r="F494" i="46" s="1"/>
  <c r="G494" i="46" s="1"/>
  <c r="E492" i="46"/>
  <c r="F492" i="46" s="1"/>
  <c r="G492" i="46" s="1"/>
  <c r="C427" i="46"/>
  <c r="E427" i="46" s="1"/>
  <c r="F427" i="46" s="1"/>
  <c r="C424" i="46"/>
  <c r="E424" i="46" s="1"/>
  <c r="F424" i="46" s="1"/>
  <c r="C421" i="46"/>
  <c r="E421" i="46" s="1"/>
  <c r="F421" i="46" s="1"/>
  <c r="C415" i="46"/>
  <c r="E415" i="46" s="1"/>
  <c r="F415" i="46" s="1"/>
  <c r="C411" i="46"/>
  <c r="E411" i="46" s="1"/>
  <c r="F411" i="46" s="1"/>
  <c r="C393" i="46"/>
  <c r="E490" i="46"/>
  <c r="F490" i="46" s="1"/>
  <c r="G490" i="46" s="1"/>
  <c r="C423" i="46"/>
  <c r="E423" i="46" s="1"/>
  <c r="F423" i="46" s="1"/>
  <c r="C420" i="46"/>
  <c r="E420" i="46" s="1"/>
  <c r="F420" i="46" s="1"/>
  <c r="C416" i="46"/>
  <c r="E416" i="46" s="1"/>
  <c r="F416" i="46" s="1"/>
  <c r="C412" i="46"/>
  <c r="E412" i="46" s="1"/>
  <c r="F412" i="46" s="1"/>
  <c r="C408" i="46"/>
  <c r="E408" i="46" s="1"/>
  <c r="F408" i="46" s="1"/>
  <c r="E503" i="46"/>
  <c r="F503" i="46" s="1"/>
  <c r="G503" i="46" s="1"/>
  <c r="C410" i="46"/>
  <c r="E410" i="46" s="1"/>
  <c r="F410" i="46" s="1"/>
  <c r="C419" i="46"/>
  <c r="E419" i="46" s="1"/>
  <c r="F419" i="46" s="1"/>
  <c r="C413" i="46"/>
  <c r="E413" i="46" s="1"/>
  <c r="F413" i="46" s="1"/>
  <c r="C428" i="46"/>
  <c r="E428" i="46" s="1"/>
  <c r="F428" i="46" s="1"/>
  <c r="C425" i="46"/>
  <c r="E425" i="46" s="1"/>
  <c r="F425" i="46" s="1"/>
  <c r="C414" i="46"/>
  <c r="E414" i="46" s="1"/>
  <c r="F414" i="46" s="1"/>
  <c r="C409" i="46"/>
  <c r="E409" i="46" s="1"/>
  <c r="F409" i="46" s="1"/>
  <c r="C417" i="46"/>
  <c r="E417" i="46" s="1"/>
  <c r="F417" i="46" s="1"/>
  <c r="G612" i="45"/>
  <c r="H612" i="45" s="1"/>
  <c r="I612" i="45" s="1"/>
  <c r="G607" i="45"/>
  <c r="H607" i="45" s="1"/>
  <c r="I607" i="45" s="1"/>
  <c r="G603" i="45"/>
  <c r="H603" i="45" s="1"/>
  <c r="I603" i="45" s="1"/>
  <c r="G599" i="45"/>
  <c r="H599" i="45" s="1"/>
  <c r="I599" i="45" s="1"/>
  <c r="G613" i="45"/>
  <c r="H613" i="45" s="1"/>
  <c r="G610" i="45"/>
  <c r="H610" i="45" s="1"/>
  <c r="I610" i="45" s="1"/>
  <c r="G604" i="45"/>
  <c r="H604" i="45" s="1"/>
  <c r="G601" i="45"/>
  <c r="H601" i="45" s="1"/>
  <c r="I601" i="45" s="1"/>
  <c r="G611" i="45"/>
  <c r="H611" i="45" s="1"/>
  <c r="G609" i="45"/>
  <c r="H609" i="45" s="1"/>
  <c r="G608" i="45"/>
  <c r="H608" i="45" s="1"/>
  <c r="I608" i="45" s="1"/>
  <c r="G606" i="45"/>
  <c r="H606" i="45" s="1"/>
  <c r="I606" i="45" s="1"/>
  <c r="G605" i="45"/>
  <c r="H605" i="45" s="1"/>
  <c r="I605" i="45" s="1"/>
  <c r="G602" i="45"/>
  <c r="H602" i="45" s="1"/>
  <c r="I602" i="45" s="1"/>
  <c r="G600" i="45"/>
  <c r="H600" i="45" s="1"/>
  <c r="C624" i="45"/>
  <c r="C590" i="45"/>
  <c r="C591" i="45" s="1"/>
  <c r="C574" i="45"/>
  <c r="C575" i="45" s="1"/>
  <c r="C565" i="45"/>
  <c r="C529" i="45"/>
  <c r="D529" i="45" s="1"/>
  <c r="E529" i="45" s="1"/>
  <c r="D526" i="45"/>
  <c r="E526" i="45" s="1"/>
  <c r="C422" i="40"/>
  <c r="C340" i="40"/>
  <c r="E340" i="40" s="1"/>
  <c r="F340" i="40" s="1"/>
  <c r="C515" i="44"/>
  <c r="D515" i="44" s="1"/>
  <c r="E515" i="44" s="1"/>
  <c r="D512" i="44"/>
  <c r="E512" i="44" s="1"/>
  <c r="F593" i="44"/>
  <c r="G593" i="44" s="1"/>
  <c r="H593" i="44" s="1"/>
  <c r="F591" i="44"/>
  <c r="G591" i="44" s="1"/>
  <c r="H591" i="44" s="1"/>
  <c r="F589" i="44"/>
  <c r="G589" i="44" s="1"/>
  <c r="H589" i="44" s="1"/>
  <c r="F587" i="44"/>
  <c r="G587" i="44" s="1"/>
  <c r="H587" i="44" s="1"/>
  <c r="F585" i="44"/>
  <c r="G585" i="44" s="1"/>
  <c r="F583" i="44"/>
  <c r="G583" i="44" s="1"/>
  <c r="H583" i="44" s="1"/>
  <c r="F581" i="44"/>
  <c r="G581" i="44" s="1"/>
  <c r="C605" i="44"/>
  <c r="F592" i="44"/>
  <c r="G592" i="44" s="1"/>
  <c r="F588" i="44"/>
  <c r="G588" i="44" s="1"/>
  <c r="H588" i="44" s="1"/>
  <c r="F584" i="44"/>
  <c r="G584" i="44" s="1"/>
  <c r="H584" i="44" s="1"/>
  <c r="F580" i="44"/>
  <c r="G580" i="44" s="1"/>
  <c r="H580" i="44" s="1"/>
  <c r="F590" i="44"/>
  <c r="G590" i="44" s="1"/>
  <c r="F582" i="44"/>
  <c r="G582" i="44" s="1"/>
  <c r="H582" i="44" s="1"/>
  <c r="F594" i="44"/>
  <c r="G594" i="44" s="1"/>
  <c r="F586" i="44"/>
  <c r="G586" i="44" s="1"/>
  <c r="H586" i="44" s="1"/>
  <c r="C557" i="44"/>
  <c r="C558" i="44" s="1"/>
  <c r="C549" i="44"/>
  <c r="C570" i="44"/>
  <c r="C572" i="44" s="1"/>
  <c r="C541" i="44"/>
  <c r="C522" i="42"/>
  <c r="F514" i="42"/>
  <c r="G514" i="42" s="1"/>
  <c r="H514" i="42" s="1"/>
  <c r="F510" i="42"/>
  <c r="G510" i="42" s="1"/>
  <c r="H510" i="42" s="1"/>
  <c r="F507" i="42"/>
  <c r="G507" i="42" s="1"/>
  <c r="H507" i="42" s="1"/>
  <c r="F503" i="42"/>
  <c r="G503" i="42" s="1"/>
  <c r="H503" i="42" s="1"/>
  <c r="F499" i="42"/>
  <c r="G499" i="42" s="1"/>
  <c r="H499" i="42" s="1"/>
  <c r="C542" i="42"/>
  <c r="C546" i="42" s="1"/>
  <c r="C547" i="42" s="1"/>
  <c r="C551" i="42" s="1"/>
  <c r="F500" i="42"/>
  <c r="G500" i="42" s="1"/>
  <c r="H500" i="42" s="1"/>
  <c r="C443" i="42"/>
  <c r="E443" i="42" s="1"/>
  <c r="F443" i="42" s="1"/>
  <c r="C439" i="42"/>
  <c r="E439" i="42" s="1"/>
  <c r="F439" i="42" s="1"/>
  <c r="C572" i="42"/>
  <c r="C576" i="42" s="1"/>
  <c r="F513" i="42"/>
  <c r="G513" i="42" s="1"/>
  <c r="H513" i="42" s="1"/>
  <c r="F509" i="42"/>
  <c r="G509" i="42" s="1"/>
  <c r="H509" i="42" s="1"/>
  <c r="F506" i="42"/>
  <c r="G506" i="42" s="1"/>
  <c r="H506" i="42" s="1"/>
  <c r="C444" i="42"/>
  <c r="E444" i="42" s="1"/>
  <c r="F444" i="42" s="1"/>
  <c r="F511" i="42"/>
  <c r="G511" i="42" s="1"/>
  <c r="H511" i="42" s="1"/>
  <c r="F505" i="42"/>
  <c r="G505" i="42" s="1"/>
  <c r="H505" i="42" s="1"/>
  <c r="F501" i="42"/>
  <c r="G501" i="42" s="1"/>
  <c r="H501" i="42" s="1"/>
  <c r="F498" i="42"/>
  <c r="G498" i="42" s="1"/>
  <c r="H498" i="42" s="1"/>
  <c r="C440" i="42"/>
  <c r="E440" i="42" s="1"/>
  <c r="F440" i="42" s="1"/>
  <c r="C435" i="42"/>
  <c r="E435" i="42" s="1"/>
  <c r="F435" i="42" s="1"/>
  <c r="C431" i="42"/>
  <c r="E431" i="42" s="1"/>
  <c r="F431" i="42" s="1"/>
  <c r="C417" i="42"/>
  <c r="F512" i="42"/>
  <c r="G512" i="42" s="1"/>
  <c r="H512" i="42" s="1"/>
  <c r="F502" i="42"/>
  <c r="G502" i="42" s="1"/>
  <c r="H502" i="42" s="1"/>
  <c r="C436" i="42"/>
  <c r="E436" i="42" s="1"/>
  <c r="F436" i="42" s="1"/>
  <c r="C432" i="42"/>
  <c r="E432" i="42" s="1"/>
  <c r="F432" i="42" s="1"/>
  <c r="C428" i="42"/>
  <c r="E428" i="42" s="1"/>
  <c r="F428" i="42" s="1"/>
  <c r="F508" i="42"/>
  <c r="G508" i="42" s="1"/>
  <c r="H508" i="42" s="1"/>
  <c r="C442" i="42"/>
  <c r="E442" i="42" s="1"/>
  <c r="F442" i="42" s="1"/>
  <c r="C433" i="42"/>
  <c r="E433" i="42" s="1"/>
  <c r="F433" i="42" s="1"/>
  <c r="C434" i="42"/>
  <c r="E434" i="42" s="1"/>
  <c r="F434" i="42" s="1"/>
  <c r="F504" i="42"/>
  <c r="G504" i="42" s="1"/>
  <c r="H504" i="42" s="1"/>
  <c r="C430" i="42"/>
  <c r="E430" i="42" s="1"/>
  <c r="F430" i="42" s="1"/>
  <c r="C438" i="42"/>
  <c r="E438" i="42" s="1"/>
  <c r="F438" i="42" s="1"/>
  <c r="C437" i="42"/>
  <c r="E437" i="42" s="1"/>
  <c r="F437" i="42" s="1"/>
  <c r="C429" i="42"/>
  <c r="E429" i="42" s="1"/>
  <c r="F429" i="42" s="1"/>
  <c r="C441" i="42"/>
  <c r="E441" i="42" s="1"/>
  <c r="F441" i="42" s="1"/>
  <c r="E498" i="38"/>
  <c r="F498" i="38" s="1"/>
  <c r="G498" i="38" s="1"/>
  <c r="E490" i="38"/>
  <c r="F490" i="38" s="1"/>
  <c r="G490" i="38" s="1"/>
  <c r="E502" i="38"/>
  <c r="F502" i="38" s="1"/>
  <c r="G502" i="38" s="1"/>
  <c r="E491" i="38"/>
  <c r="F491" i="38" s="1"/>
  <c r="G491" i="38" s="1"/>
  <c r="C422" i="38"/>
  <c r="E422" i="38" s="1"/>
  <c r="F422" i="38" s="1"/>
  <c r="C427" i="38"/>
  <c r="E427" i="38" s="1"/>
  <c r="F427" i="38" s="1"/>
  <c r="C408" i="38"/>
  <c r="E408" i="38" s="1"/>
  <c r="F408" i="38" s="1"/>
  <c r="C412" i="38"/>
  <c r="E412" i="38" s="1"/>
  <c r="F412" i="38" s="1"/>
  <c r="E493" i="38"/>
  <c r="F493" i="38" s="1"/>
  <c r="G493" i="38" s="1"/>
  <c r="E497" i="38"/>
  <c r="F497" i="38" s="1"/>
  <c r="G497" i="38" s="1"/>
  <c r="E501" i="38"/>
  <c r="F501" i="38" s="1"/>
  <c r="G501" i="38" s="1"/>
  <c r="E504" i="38"/>
  <c r="F504" i="38" s="1"/>
  <c r="G504" i="38" s="1"/>
  <c r="C410" i="38"/>
  <c r="E410" i="38" s="1"/>
  <c r="F410" i="38" s="1"/>
  <c r="C416" i="38"/>
  <c r="E416" i="38" s="1"/>
  <c r="F416" i="38" s="1"/>
  <c r="C423" i="38"/>
  <c r="E423" i="38" s="1"/>
  <c r="F423" i="38" s="1"/>
  <c r="E496" i="38"/>
  <c r="F496" i="38" s="1"/>
  <c r="G496" i="38" s="1"/>
  <c r="E488" i="38"/>
  <c r="F488" i="38" s="1"/>
  <c r="G488" i="38" s="1"/>
  <c r="E500" i="38"/>
  <c r="F500" i="38" s="1"/>
  <c r="G500" i="38" s="1"/>
  <c r="C562" i="38"/>
  <c r="C566" i="38" s="1"/>
  <c r="C418" i="38"/>
  <c r="E418" i="38" s="1"/>
  <c r="F418" i="38" s="1"/>
  <c r="C424" i="38"/>
  <c r="E424" i="38" s="1"/>
  <c r="F424" i="38" s="1"/>
  <c r="C393" i="38"/>
  <c r="E489" i="38"/>
  <c r="F489" i="38" s="1"/>
  <c r="G489" i="38" s="1"/>
  <c r="C428" i="38"/>
  <c r="E428" i="38" s="1"/>
  <c r="F428" i="38" s="1"/>
  <c r="C429" i="38"/>
  <c r="E429" i="38" s="1"/>
  <c r="F429" i="38" s="1"/>
  <c r="C415" i="38"/>
  <c r="E415" i="38" s="1"/>
  <c r="F415" i="38" s="1"/>
  <c r="E492" i="38"/>
  <c r="F492" i="38" s="1"/>
  <c r="G492" i="38" s="1"/>
  <c r="E495" i="38"/>
  <c r="F495" i="38" s="1"/>
  <c r="G495" i="38" s="1"/>
  <c r="C411" i="38"/>
  <c r="E411" i="38" s="1"/>
  <c r="F411" i="38" s="1"/>
  <c r="C409" i="38"/>
  <c r="E409" i="38" s="1"/>
  <c r="F409" i="38" s="1"/>
  <c r="E494" i="38"/>
  <c r="F494" i="38" s="1"/>
  <c r="G494" i="38" s="1"/>
  <c r="C512" i="38"/>
  <c r="E499" i="38"/>
  <c r="F499" i="38" s="1"/>
  <c r="G499" i="38" s="1"/>
  <c r="E503" i="38"/>
  <c r="F503" i="38" s="1"/>
  <c r="G503" i="38" s="1"/>
  <c r="C414" i="38"/>
  <c r="E414" i="38" s="1"/>
  <c r="F414" i="38" s="1"/>
  <c r="C421" i="38"/>
  <c r="E421" i="38" s="1"/>
  <c r="F421" i="38" s="1"/>
  <c r="C420" i="38"/>
  <c r="E420" i="38" s="1"/>
  <c r="F420" i="38" s="1"/>
  <c r="C413" i="38"/>
  <c r="E413" i="38" s="1"/>
  <c r="F413" i="38" s="1"/>
  <c r="C417" i="38"/>
  <c r="E417" i="38" s="1"/>
  <c r="F417" i="38" s="1"/>
  <c r="C419" i="38"/>
  <c r="E419" i="38" s="1"/>
  <c r="F419" i="38" s="1"/>
  <c r="C532" i="38"/>
  <c r="C536" i="38" s="1"/>
  <c r="C537" i="38" s="1"/>
  <c r="C540" i="38" s="1"/>
  <c r="C426" i="38"/>
  <c r="E426" i="38" s="1"/>
  <c r="F426" i="38" s="1"/>
  <c r="C425" i="38"/>
  <c r="E425" i="38" s="1"/>
  <c r="F425" i="38" s="1"/>
  <c r="C368" i="30"/>
  <c r="E368" i="30" s="1"/>
  <c r="F368" i="30" s="1"/>
  <c r="C372" i="30"/>
  <c r="E372" i="30" s="1"/>
  <c r="F372" i="30" s="1"/>
  <c r="C376" i="30"/>
  <c r="E376" i="30" s="1"/>
  <c r="F376" i="30" s="1"/>
  <c r="C367" i="30"/>
  <c r="E367" i="30" s="1"/>
  <c r="F367" i="30" s="1"/>
  <c r="C365" i="30"/>
  <c r="E365" i="30" s="1"/>
  <c r="F365" i="30" s="1"/>
  <c r="C369" i="30"/>
  <c r="E369" i="30" s="1"/>
  <c r="F369" i="30" s="1"/>
  <c r="C373" i="30"/>
  <c r="E373" i="30" s="1"/>
  <c r="F373" i="30" s="1"/>
  <c r="C377" i="30"/>
  <c r="E377" i="30" s="1"/>
  <c r="F377" i="30" s="1"/>
  <c r="C371" i="30"/>
  <c r="E371" i="30" s="1"/>
  <c r="F371" i="30" s="1"/>
  <c r="C366" i="30"/>
  <c r="E366" i="30" s="1"/>
  <c r="F366" i="30" s="1"/>
  <c r="C370" i="30"/>
  <c r="E370" i="30" s="1"/>
  <c r="F370" i="30" s="1"/>
  <c r="C374" i="30"/>
  <c r="E374" i="30" s="1"/>
  <c r="F374" i="30" s="1"/>
  <c r="C378" i="30"/>
  <c r="E378" i="30" s="1"/>
  <c r="F378" i="30" s="1"/>
  <c r="C375" i="30"/>
  <c r="E375" i="30" s="1"/>
  <c r="F375" i="30" s="1"/>
  <c r="B517" i="30"/>
  <c r="F517" i="30" s="1"/>
  <c r="F411" i="40"/>
  <c r="G411" i="40" s="1"/>
  <c r="H411" i="40" s="1"/>
  <c r="F407" i="40"/>
  <c r="G407" i="40" s="1"/>
  <c r="H407" i="40" s="1"/>
  <c r="F403" i="40"/>
  <c r="G403" i="40" s="1"/>
  <c r="H403" i="40" s="1"/>
  <c r="F400" i="40"/>
  <c r="G400" i="40" s="1"/>
  <c r="H400" i="40" s="1"/>
  <c r="F412" i="40"/>
  <c r="G412" i="40" s="1"/>
  <c r="H412" i="40" s="1"/>
  <c r="C475" i="40"/>
  <c r="C480" i="40" s="1"/>
  <c r="C442" i="40"/>
  <c r="C447" i="40" s="1"/>
  <c r="C448" i="40" s="1"/>
  <c r="C452" i="40" s="1"/>
  <c r="C540" i="40" s="1"/>
  <c r="F406" i="40"/>
  <c r="G406" i="40" s="1"/>
  <c r="H406" i="40" s="1"/>
  <c r="F399" i="40"/>
  <c r="G399" i="40" s="1"/>
  <c r="H399" i="40" s="1"/>
  <c r="C343" i="40"/>
  <c r="E343" i="40" s="1"/>
  <c r="F343" i="40" s="1"/>
  <c r="C338" i="40"/>
  <c r="E338" i="40" s="1"/>
  <c r="F338" i="40" s="1"/>
  <c r="C335" i="40"/>
  <c r="E335" i="40" s="1"/>
  <c r="F335" i="40" s="1"/>
  <c r="C331" i="40"/>
  <c r="E331" i="40" s="1"/>
  <c r="F331" i="40" s="1"/>
  <c r="C328" i="40"/>
  <c r="E328" i="40" s="1"/>
  <c r="F328" i="40" s="1"/>
  <c r="F413" i="40"/>
  <c r="G413" i="40" s="1"/>
  <c r="H413" i="40" s="1"/>
  <c r="F410" i="40"/>
  <c r="G410" i="40" s="1"/>
  <c r="H410" i="40" s="1"/>
  <c r="F409" i="40"/>
  <c r="G409" i="40" s="1"/>
  <c r="H409" i="40" s="1"/>
  <c r="F408" i="40"/>
  <c r="G408" i="40" s="1"/>
  <c r="H408" i="40" s="1"/>
  <c r="F405" i="40"/>
  <c r="G405" i="40" s="1"/>
  <c r="H405" i="40" s="1"/>
  <c r="F402" i="40"/>
  <c r="G402" i="40" s="1"/>
  <c r="H402" i="40" s="1"/>
  <c r="F398" i="40"/>
  <c r="G398" i="40" s="1"/>
  <c r="H398" i="40" s="1"/>
  <c r="C339" i="40"/>
  <c r="E339" i="40" s="1"/>
  <c r="F339" i="40" s="1"/>
  <c r="C332" i="40"/>
  <c r="E332" i="40" s="1"/>
  <c r="F332" i="40" s="1"/>
  <c r="C330" i="40"/>
  <c r="E330" i="40" s="1"/>
  <c r="F330" i="40" s="1"/>
  <c r="C329" i="40"/>
  <c r="E329" i="40" s="1"/>
  <c r="F329" i="40" s="1"/>
  <c r="C316" i="40"/>
  <c r="F404" i="40"/>
  <c r="G404" i="40" s="1"/>
  <c r="H404" i="40" s="1"/>
  <c r="F401" i="40"/>
  <c r="G401" i="40" s="1"/>
  <c r="H401" i="40" s="1"/>
  <c r="C341" i="40"/>
  <c r="C337" i="40"/>
  <c r="E337" i="40" s="1"/>
  <c r="F337" i="40" s="1"/>
  <c r="C334" i="40"/>
  <c r="E334" i="40" s="1"/>
  <c r="F334" i="40" s="1"/>
  <c r="C327" i="40"/>
  <c r="E327" i="40" s="1"/>
  <c r="F327" i="40" s="1"/>
  <c r="F414" i="40"/>
  <c r="G414" i="40" s="1"/>
  <c r="H414" i="40" s="1"/>
  <c r="C342" i="40"/>
  <c r="E342" i="40" s="1"/>
  <c r="F342" i="40" s="1"/>
  <c r="C333" i="40"/>
  <c r="E333" i="40" s="1"/>
  <c r="F333" i="40" s="1"/>
  <c r="C336" i="40"/>
  <c r="E336" i="40" s="1"/>
  <c r="F336" i="40" s="1"/>
  <c r="C608" i="39"/>
  <c r="C592" i="39"/>
  <c r="C594" i="39" s="1"/>
  <c r="C596" i="39" s="1"/>
  <c r="C597" i="39" s="1"/>
  <c r="B620" i="39" s="1"/>
  <c r="F581" i="39"/>
  <c r="G581" i="39" s="1"/>
  <c r="F579" i="39"/>
  <c r="G579" i="39" s="1"/>
  <c r="H579" i="39" s="1"/>
  <c r="F577" i="39"/>
  <c r="G577" i="39" s="1"/>
  <c r="F575" i="39"/>
  <c r="G575" i="39" s="1"/>
  <c r="H575" i="39" s="1"/>
  <c r="F573" i="39"/>
  <c r="G573" i="39" s="1"/>
  <c r="H573" i="39" s="1"/>
  <c r="F571" i="39"/>
  <c r="G571" i="39" s="1"/>
  <c r="H571" i="39" s="1"/>
  <c r="F569" i="39"/>
  <c r="G569" i="39" s="1"/>
  <c r="H569" i="39" s="1"/>
  <c r="F567" i="39"/>
  <c r="G567" i="39" s="1"/>
  <c r="H567" i="39" s="1"/>
  <c r="C557" i="39"/>
  <c r="F580" i="39"/>
  <c r="G580" i="39" s="1"/>
  <c r="H580" i="39" s="1"/>
  <c r="F576" i="39"/>
  <c r="G576" i="39" s="1"/>
  <c r="H576" i="39" s="1"/>
  <c r="F572" i="39"/>
  <c r="G572" i="39" s="1"/>
  <c r="F568" i="39"/>
  <c r="G568" i="39" s="1"/>
  <c r="F574" i="39"/>
  <c r="G574" i="39" s="1"/>
  <c r="H574" i="39" s="1"/>
  <c r="F570" i="39"/>
  <c r="G570" i="39" s="1"/>
  <c r="H570" i="39" s="1"/>
  <c r="F578" i="39"/>
  <c r="G578" i="39" s="1"/>
  <c r="H578" i="39" s="1"/>
  <c r="C607" i="39" s="1"/>
  <c r="C516" i="39"/>
  <c r="D516" i="39" s="1"/>
  <c r="E516" i="39" s="1"/>
  <c r="D513" i="39"/>
  <c r="E513" i="39" s="1"/>
  <c r="C408" i="37"/>
  <c r="C412" i="37" s="1"/>
  <c r="C413" i="37" s="1"/>
  <c r="C416" i="37" s="1"/>
  <c r="C502" i="37" s="1"/>
  <c r="C515" i="36"/>
  <c r="D515" i="36" s="1"/>
  <c r="E515" i="36" s="1"/>
  <c r="D512" i="36"/>
  <c r="E512" i="36" s="1"/>
  <c r="F593" i="36"/>
  <c r="G593" i="36" s="1"/>
  <c r="H593" i="36" s="1"/>
  <c r="F591" i="36"/>
  <c r="G591" i="36" s="1"/>
  <c r="H591" i="36" s="1"/>
  <c r="F589" i="36"/>
  <c r="G589" i="36" s="1"/>
  <c r="H589" i="36" s="1"/>
  <c r="F587" i="36"/>
  <c r="G587" i="36" s="1"/>
  <c r="H587" i="36" s="1"/>
  <c r="F585" i="36"/>
  <c r="G585" i="36" s="1"/>
  <c r="F583" i="36"/>
  <c r="G583" i="36" s="1"/>
  <c r="H583" i="36" s="1"/>
  <c r="F581" i="36"/>
  <c r="G581" i="36" s="1"/>
  <c r="F588" i="36"/>
  <c r="G588" i="36" s="1"/>
  <c r="H588" i="36" s="1"/>
  <c r="F584" i="36"/>
  <c r="G584" i="36" s="1"/>
  <c r="H584" i="36" s="1"/>
  <c r="F580" i="36"/>
  <c r="G580" i="36" s="1"/>
  <c r="H580" i="36" s="1"/>
  <c r="F594" i="36"/>
  <c r="G594" i="36" s="1"/>
  <c r="F590" i="36"/>
  <c r="G590" i="36" s="1"/>
  <c r="F582" i="36"/>
  <c r="G582" i="36" s="1"/>
  <c r="H582" i="36" s="1"/>
  <c r="C605" i="36"/>
  <c r="F586" i="36"/>
  <c r="G586" i="36" s="1"/>
  <c r="H586" i="36" s="1"/>
  <c r="F592" i="36"/>
  <c r="G592" i="36" s="1"/>
  <c r="H592" i="36" s="1"/>
  <c r="C557" i="36"/>
  <c r="C558" i="36" s="1"/>
  <c r="C570" i="36"/>
  <c r="C572" i="36" s="1"/>
  <c r="C549" i="36"/>
  <c r="C541" i="36"/>
  <c r="C571" i="35"/>
  <c r="C538" i="35"/>
  <c r="C402" i="35"/>
  <c r="C454" i="35"/>
  <c r="E454" i="35" s="1"/>
  <c r="F454" i="35" s="1"/>
  <c r="C450" i="35"/>
  <c r="E450" i="35" s="1"/>
  <c r="F450" i="35" s="1"/>
  <c r="C456" i="35"/>
  <c r="E456" i="35" s="1"/>
  <c r="F456" i="35" s="1"/>
  <c r="C453" i="35"/>
  <c r="E453" i="35" s="1"/>
  <c r="F453" i="35" s="1"/>
  <c r="C451" i="35"/>
  <c r="E451" i="35" s="1"/>
  <c r="F451" i="35" s="1"/>
  <c r="C447" i="35"/>
  <c r="E447" i="35" s="1"/>
  <c r="F447" i="35" s="1"/>
  <c r="C443" i="35"/>
  <c r="E443" i="35" s="1"/>
  <c r="F443" i="35" s="1"/>
  <c r="C439" i="35"/>
  <c r="E439" i="35" s="1"/>
  <c r="F439" i="35" s="1"/>
  <c r="C435" i="35"/>
  <c r="E435" i="35" s="1"/>
  <c r="F435" i="35" s="1"/>
  <c r="C455" i="35"/>
  <c r="E455" i="35" s="1"/>
  <c r="F455" i="35" s="1"/>
  <c r="C452" i="35"/>
  <c r="E452" i="35" s="1"/>
  <c r="F452" i="35" s="1"/>
  <c r="C448" i="35"/>
  <c r="E448" i="35" s="1"/>
  <c r="F448" i="35" s="1"/>
  <c r="C444" i="35"/>
  <c r="E444" i="35" s="1"/>
  <c r="F444" i="35" s="1"/>
  <c r="C440" i="35"/>
  <c r="E440" i="35" s="1"/>
  <c r="F440" i="35" s="1"/>
  <c r="C445" i="35"/>
  <c r="E445" i="35" s="1"/>
  <c r="F445" i="35" s="1"/>
  <c r="C437" i="35"/>
  <c r="E437" i="35" s="1"/>
  <c r="F437" i="35" s="1"/>
  <c r="C390" i="35"/>
  <c r="C391" i="35" s="1"/>
  <c r="C446" i="35"/>
  <c r="E446" i="35" s="1"/>
  <c r="F446" i="35" s="1"/>
  <c r="C438" i="35"/>
  <c r="E438" i="35" s="1"/>
  <c r="F438" i="35" s="1"/>
  <c r="C436" i="35"/>
  <c r="E436" i="35" s="1"/>
  <c r="F436" i="35" s="1"/>
  <c r="C449" i="35"/>
  <c r="E449" i="35" s="1"/>
  <c r="F449" i="35" s="1"/>
  <c r="C441" i="35"/>
  <c r="E441" i="35" s="1"/>
  <c r="F441" i="35" s="1"/>
  <c r="C442" i="35"/>
  <c r="E442" i="35" s="1"/>
  <c r="F442" i="35" s="1"/>
  <c r="C361" i="13"/>
  <c r="B433" i="13" s="1"/>
  <c r="B502" i="13" s="1"/>
  <c r="C366" i="13"/>
  <c r="B438" i="13" s="1"/>
  <c r="B507" i="13" s="1"/>
  <c r="C325" i="13"/>
  <c r="D325" i="13" s="1"/>
  <c r="D370" i="13" s="1"/>
  <c r="B463" i="13" s="1"/>
  <c r="B370" i="13"/>
  <c r="C359" i="13"/>
  <c r="B431" i="13" s="1"/>
  <c r="B500" i="13" s="1"/>
  <c r="C24" i="17"/>
  <c r="B125" i="17"/>
  <c r="B291" i="17" s="1"/>
  <c r="F68" i="17"/>
  <c r="D125" i="17" s="1"/>
  <c r="D291" i="17" s="1"/>
  <c r="B437" i="17" s="1"/>
  <c r="C521" i="17"/>
  <c r="C548" i="17" s="1"/>
  <c r="C335" i="30"/>
  <c r="C461" i="30"/>
  <c r="C563" i="17"/>
  <c r="C533" i="17"/>
  <c r="C564" i="17"/>
  <c r="C534" i="17"/>
  <c r="C364" i="30"/>
  <c r="E364" i="30" s="1"/>
  <c r="F364" i="30" s="1"/>
  <c r="C379" i="30"/>
  <c r="E379" i="30" s="1"/>
  <c r="F379" i="30" s="1"/>
  <c r="C363" i="30"/>
  <c r="E363" i="30" s="1"/>
  <c r="F363" i="30" s="1"/>
  <c r="C327" i="30"/>
  <c r="C328" i="30" s="1"/>
  <c r="F444" i="25"/>
  <c r="G444" i="25" s="1"/>
  <c r="H444" i="25" s="1"/>
  <c r="E74" i="17"/>
  <c r="F74" i="17"/>
  <c r="D131" i="17" s="1"/>
  <c r="E73" i="17"/>
  <c r="F73" i="17"/>
  <c r="F66" i="17"/>
  <c r="D123" i="17" s="1"/>
  <c r="E66" i="17"/>
  <c r="F80" i="17"/>
  <c r="D143" i="17" s="1"/>
  <c r="E80" i="17"/>
  <c r="C234" i="17" s="1"/>
  <c r="F72" i="17"/>
  <c r="E72" i="17"/>
  <c r="E68" i="17"/>
  <c r="C125" i="17" s="1"/>
  <c r="E78" i="17"/>
  <c r="F78" i="17"/>
  <c r="D137" i="17" s="1"/>
  <c r="E77" i="17"/>
  <c r="C224" i="17" s="1"/>
  <c r="F77" i="17"/>
  <c r="D134" i="17" s="1"/>
  <c r="E69" i="17"/>
  <c r="C218" i="17" s="1"/>
  <c r="D218" i="17" s="1"/>
  <c r="F69" i="17"/>
  <c r="D126" i="17" s="1"/>
  <c r="F71" i="17"/>
  <c r="E71" i="17"/>
  <c r="E70" i="17"/>
  <c r="C127" i="17" s="1"/>
  <c r="F70" i="17"/>
  <c r="D127" i="17" s="1"/>
  <c r="D293" i="17" s="1"/>
  <c r="C293" i="17" s="1"/>
  <c r="F76" i="17"/>
  <c r="E76" i="17"/>
  <c r="F75" i="17"/>
  <c r="D132" i="17" s="1"/>
  <c r="D298" i="17" s="1"/>
  <c r="B444" i="17" s="1"/>
  <c r="E75" i="17"/>
  <c r="C132" i="17" s="1"/>
  <c r="F67" i="17"/>
  <c r="D124" i="17" s="1"/>
  <c r="E67" i="17"/>
  <c r="C217" i="17" s="1"/>
  <c r="B123" i="17"/>
  <c r="B289" i="17" s="1"/>
  <c r="B130" i="17"/>
  <c r="B138" i="17"/>
  <c r="C228" i="17" s="1"/>
  <c r="B129" i="17"/>
  <c r="C25" i="17"/>
  <c r="C30" i="17"/>
  <c r="B128" i="17"/>
  <c r="B133" i="17"/>
  <c r="C321" i="17"/>
  <c r="C546" i="17"/>
  <c r="C554" i="17"/>
  <c r="C547" i="17"/>
  <c r="C555" i="17"/>
  <c r="D462" i="17"/>
  <c r="C181" i="17"/>
  <c r="C350" i="17"/>
  <c r="C384" i="17"/>
  <c r="B143" i="17"/>
  <c r="C244" i="17"/>
  <c r="C107" i="17"/>
  <c r="C51" i="17"/>
  <c r="C38" i="17"/>
  <c r="C165" i="17"/>
  <c r="C92" i="17"/>
  <c r="C84" i="17"/>
  <c r="C326" i="17"/>
  <c r="B131" i="17"/>
  <c r="B524" i="13"/>
  <c r="E606" i="13" s="1"/>
  <c r="F453" i="25" l="1"/>
  <c r="G453" i="25" s="1"/>
  <c r="H453" i="25" s="1"/>
  <c r="F457" i="25"/>
  <c r="G457" i="25" s="1"/>
  <c r="H457" i="25" s="1"/>
  <c r="F454" i="25"/>
  <c r="G454" i="25" s="1"/>
  <c r="H454" i="25" s="1"/>
  <c r="F455" i="25"/>
  <c r="G455" i="25" s="1"/>
  <c r="H455" i="25" s="1"/>
  <c r="C478" i="25" s="1"/>
  <c r="C479" i="25"/>
  <c r="F456" i="25"/>
  <c r="G456" i="25" s="1"/>
  <c r="H456" i="25" s="1"/>
  <c r="F450" i="25"/>
  <c r="G450" i="25" s="1"/>
  <c r="H450" i="25" s="1"/>
  <c r="F445" i="25"/>
  <c r="G445" i="25" s="1"/>
  <c r="B487" i="25" s="1"/>
  <c r="F448" i="25"/>
  <c r="G448" i="25" s="1"/>
  <c r="H448" i="25" s="1"/>
  <c r="C469" i="25"/>
  <c r="C471" i="25" s="1"/>
  <c r="C473" i="25" s="1"/>
  <c r="C474" i="25" s="1"/>
  <c r="F449" i="25"/>
  <c r="G449" i="25" s="1"/>
  <c r="H449" i="25" s="1"/>
  <c r="F447" i="25"/>
  <c r="G447" i="25" s="1"/>
  <c r="H447" i="25" s="1"/>
  <c r="D390" i="25"/>
  <c r="E390" i="25" s="1"/>
  <c r="F458" i="25"/>
  <c r="G458" i="25" s="1"/>
  <c r="H458" i="25" s="1"/>
  <c r="F452" i="25"/>
  <c r="G452" i="25" s="1"/>
  <c r="H452" i="25" s="1"/>
  <c r="F451" i="25"/>
  <c r="G451" i="25" s="1"/>
  <c r="H451" i="25" s="1"/>
  <c r="C294" i="37"/>
  <c r="E294" i="37" s="1"/>
  <c r="F294" i="37" s="1"/>
  <c r="C288" i="37"/>
  <c r="E288" i="37" s="1"/>
  <c r="F288" i="37" s="1"/>
  <c r="E367" i="37"/>
  <c r="F367" i="37" s="1"/>
  <c r="G367" i="37" s="1"/>
  <c r="C304" i="37"/>
  <c r="E304" i="37" s="1"/>
  <c r="F304" i="37" s="1"/>
  <c r="E380" i="37"/>
  <c r="F380" i="37" s="1"/>
  <c r="G380" i="37" s="1"/>
  <c r="C269" i="37"/>
  <c r="E371" i="37"/>
  <c r="F371" i="37" s="1"/>
  <c r="G371" i="37" s="1"/>
  <c r="C299" i="37"/>
  <c r="E299" i="37" s="1"/>
  <c r="F299" i="37" s="1"/>
  <c r="E379" i="37"/>
  <c r="F379" i="37" s="1"/>
  <c r="G379" i="37" s="1"/>
  <c r="E366" i="37"/>
  <c r="F366" i="37" s="1"/>
  <c r="G366" i="37" s="1"/>
  <c r="C291" i="37"/>
  <c r="E291" i="37" s="1"/>
  <c r="F291" i="37" s="1"/>
  <c r="C285" i="37"/>
  <c r="E285" i="37" s="1"/>
  <c r="F285" i="37" s="1"/>
  <c r="C298" i="37"/>
  <c r="E298" i="37" s="1"/>
  <c r="F298" i="37" s="1"/>
  <c r="E377" i="37"/>
  <c r="F377" i="37" s="1"/>
  <c r="G377" i="37" s="1"/>
  <c r="E368" i="37"/>
  <c r="F368" i="37" s="1"/>
  <c r="G368" i="37" s="1"/>
  <c r="C300" i="37"/>
  <c r="E300" i="37" s="1"/>
  <c r="F300" i="37" s="1"/>
  <c r="C290" i="37"/>
  <c r="E290" i="37" s="1"/>
  <c r="F290" i="37" s="1"/>
  <c r="C284" i="37"/>
  <c r="E284" i="37" s="1"/>
  <c r="F284" i="37" s="1"/>
  <c r="C305" i="37"/>
  <c r="E305" i="37" s="1"/>
  <c r="F305" i="37" s="1"/>
  <c r="E378" i="37"/>
  <c r="F378" i="37" s="1"/>
  <c r="G378" i="37" s="1"/>
  <c r="E374" i="37"/>
  <c r="F374" i="37" s="1"/>
  <c r="G374" i="37" s="1"/>
  <c r="C295" i="37"/>
  <c r="E295" i="37" s="1"/>
  <c r="F295" i="37" s="1"/>
  <c r="C287" i="37"/>
  <c r="E287" i="37" s="1"/>
  <c r="F287" i="37" s="1"/>
  <c r="C301" i="37"/>
  <c r="E301" i="37" s="1"/>
  <c r="F301" i="37" s="1"/>
  <c r="C289" i="37"/>
  <c r="E289" i="37" s="1"/>
  <c r="F289" i="37" s="1"/>
  <c r="C292" i="37"/>
  <c r="E292" i="37" s="1"/>
  <c r="F292" i="37" s="1"/>
  <c r="C302" i="37"/>
  <c r="E302" i="37" s="1"/>
  <c r="F302" i="37" s="1"/>
  <c r="E369" i="37"/>
  <c r="F369" i="37" s="1"/>
  <c r="G369" i="37" s="1"/>
  <c r="C438" i="37"/>
  <c r="C442" i="37" s="1"/>
  <c r="F469" i="37" s="1"/>
  <c r="G469" i="37" s="1"/>
  <c r="H469" i="37" s="1"/>
  <c r="C388" i="37"/>
  <c r="D388" i="37" s="1"/>
  <c r="E388" i="37" s="1"/>
  <c r="E370" i="37"/>
  <c r="F370" i="37" s="1"/>
  <c r="G370" i="37" s="1"/>
  <c r="C297" i="37"/>
  <c r="E297" i="37" s="1"/>
  <c r="F297" i="37" s="1"/>
  <c r="E375" i="37"/>
  <c r="F375" i="37" s="1"/>
  <c r="G375" i="37" s="1"/>
  <c r="C286" i="37"/>
  <c r="E286" i="37" s="1"/>
  <c r="F286" i="37" s="1"/>
  <c r="C303" i="37"/>
  <c r="E303" i="37" s="1"/>
  <c r="F303" i="37" s="1"/>
  <c r="C293" i="37"/>
  <c r="E293" i="37" s="1"/>
  <c r="F293" i="37" s="1"/>
  <c r="C296" i="37"/>
  <c r="E296" i="37" s="1"/>
  <c r="F296" i="37" s="1"/>
  <c r="E365" i="37"/>
  <c r="F365" i="37" s="1"/>
  <c r="G365" i="37" s="1"/>
  <c r="E373" i="37"/>
  <c r="F373" i="37" s="1"/>
  <c r="G373" i="37" s="1"/>
  <c r="E376" i="37"/>
  <c r="F376" i="37" s="1"/>
  <c r="G376" i="37" s="1"/>
  <c r="E364" i="37"/>
  <c r="F364" i="37" s="1"/>
  <c r="G364" i="37" s="1"/>
  <c r="C268" i="17"/>
  <c r="C86" i="17"/>
  <c r="C269" i="17"/>
  <c r="C87" i="17"/>
  <c r="C276" i="17"/>
  <c r="C85" i="17"/>
  <c r="C463" i="25"/>
  <c r="E507" i="13"/>
  <c r="B604" i="13"/>
  <c r="F604" i="13" s="1"/>
  <c r="E500" i="13"/>
  <c r="B597" i="13"/>
  <c r="F597" i="13" s="1"/>
  <c r="E502" i="13"/>
  <c r="B599" i="13"/>
  <c r="F599" i="13" s="1"/>
  <c r="C433" i="25"/>
  <c r="C434" i="25" s="1"/>
  <c r="C591" i="17"/>
  <c r="F479" i="17"/>
  <c r="F470" i="17"/>
  <c r="C582" i="17" s="1"/>
  <c r="F482" i="17"/>
  <c r="C594" i="17" s="1"/>
  <c r="F468" i="17"/>
  <c r="C488" i="17" s="1"/>
  <c r="F474" i="17"/>
  <c r="C586" i="17" s="1"/>
  <c r="F473" i="17"/>
  <c r="C585" i="17" s="1"/>
  <c r="F469" i="17"/>
  <c r="C581" i="17" s="1"/>
  <c r="F478" i="17"/>
  <c r="C498" i="17" s="1"/>
  <c r="F475" i="17"/>
  <c r="C587" i="17" s="1"/>
  <c r="F472" i="17"/>
  <c r="C492" i="17" s="1"/>
  <c r="F476" i="17"/>
  <c r="C588" i="17" s="1"/>
  <c r="F477" i="17"/>
  <c r="C497" i="17" s="1"/>
  <c r="C291" i="17"/>
  <c r="B410" i="17" s="1"/>
  <c r="B490" i="17" s="1"/>
  <c r="C298" i="17"/>
  <c r="B417" i="17" s="1"/>
  <c r="B497" i="17" s="1"/>
  <c r="C129" i="17"/>
  <c r="C220" i="17"/>
  <c r="D220" i="17" s="1"/>
  <c r="C123" i="17"/>
  <c r="C216" i="17"/>
  <c r="D216" i="17" s="1"/>
  <c r="C131" i="17"/>
  <c r="C222" i="17"/>
  <c r="D222" i="17" s="1"/>
  <c r="D297" i="17" s="1"/>
  <c r="B443" i="17" s="1"/>
  <c r="C227" i="17"/>
  <c r="D227" i="17" s="1"/>
  <c r="D303" i="17" s="1"/>
  <c r="B449" i="17" s="1"/>
  <c r="C133" i="17"/>
  <c r="C223" i="17"/>
  <c r="C128" i="17"/>
  <c r="C219" i="17"/>
  <c r="D219" i="17" s="1"/>
  <c r="C130" i="17"/>
  <c r="C221" i="17"/>
  <c r="C139" i="48"/>
  <c r="C151" i="48"/>
  <c r="C152" i="48" s="1"/>
  <c r="C130" i="48"/>
  <c r="E173" i="48"/>
  <c r="F173" i="48" s="1"/>
  <c r="G173" i="48" s="1"/>
  <c r="E171" i="48"/>
  <c r="F171" i="48" s="1"/>
  <c r="G171" i="48" s="1"/>
  <c r="E169" i="48"/>
  <c r="F169" i="48" s="1"/>
  <c r="G169" i="48" s="1"/>
  <c r="E167" i="48"/>
  <c r="F167" i="48" s="1"/>
  <c r="G167" i="48" s="1"/>
  <c r="E165" i="48"/>
  <c r="F165" i="48" s="1"/>
  <c r="E163" i="48"/>
  <c r="F163" i="48" s="1"/>
  <c r="G163" i="48" s="1"/>
  <c r="E161" i="48"/>
  <c r="F161" i="48" s="1"/>
  <c r="E170" i="48"/>
  <c r="F170" i="48" s="1"/>
  <c r="E168" i="48"/>
  <c r="F168" i="48" s="1"/>
  <c r="G168" i="48" s="1"/>
  <c r="E166" i="48"/>
  <c r="F166" i="48" s="1"/>
  <c r="G166" i="48" s="1"/>
  <c r="E164" i="48"/>
  <c r="F164" i="48" s="1"/>
  <c r="G164" i="48" s="1"/>
  <c r="E162" i="48"/>
  <c r="F162" i="48" s="1"/>
  <c r="G162" i="48" s="1"/>
  <c r="E160" i="48"/>
  <c r="F160" i="48" s="1"/>
  <c r="G160" i="48" s="1"/>
  <c r="E174" i="48"/>
  <c r="F174" i="48" s="1"/>
  <c r="E172" i="48"/>
  <c r="F172" i="48" s="1"/>
  <c r="C97" i="48"/>
  <c r="D97" i="48" s="1"/>
  <c r="E97" i="48" s="1"/>
  <c r="C515" i="46"/>
  <c r="D515" i="46" s="1"/>
  <c r="E515" i="46" s="1"/>
  <c r="D512" i="46"/>
  <c r="E512" i="46" s="1"/>
  <c r="F593" i="46"/>
  <c r="G593" i="46" s="1"/>
  <c r="H593" i="46" s="1"/>
  <c r="F591" i="46"/>
  <c r="G591" i="46" s="1"/>
  <c r="H591" i="46" s="1"/>
  <c r="F589" i="46"/>
  <c r="G589" i="46" s="1"/>
  <c r="H589" i="46" s="1"/>
  <c r="F587" i="46"/>
  <c r="G587" i="46" s="1"/>
  <c r="H587" i="46" s="1"/>
  <c r="F585" i="46"/>
  <c r="G585" i="46" s="1"/>
  <c r="F583" i="46"/>
  <c r="G583" i="46" s="1"/>
  <c r="H583" i="46" s="1"/>
  <c r="F581" i="46"/>
  <c r="G581" i="46" s="1"/>
  <c r="C605" i="46"/>
  <c r="F594" i="46"/>
  <c r="G594" i="46" s="1"/>
  <c r="F592" i="46"/>
  <c r="G592" i="46" s="1"/>
  <c r="F588" i="46"/>
  <c r="G588" i="46" s="1"/>
  <c r="H588" i="46" s="1"/>
  <c r="F580" i="46"/>
  <c r="G580" i="46" s="1"/>
  <c r="H580" i="46" s="1"/>
  <c r="F590" i="46"/>
  <c r="G590" i="46" s="1"/>
  <c r="F582" i="46"/>
  <c r="G582" i="46" s="1"/>
  <c r="H582" i="46" s="1"/>
  <c r="F586" i="46"/>
  <c r="G586" i="46" s="1"/>
  <c r="H586" i="46" s="1"/>
  <c r="F584" i="46"/>
  <c r="G584" i="46" s="1"/>
  <c r="H584" i="46" s="1"/>
  <c r="C557" i="46"/>
  <c r="C558" i="46" s="1"/>
  <c r="C549" i="46"/>
  <c r="C570" i="46"/>
  <c r="C572" i="46" s="1"/>
  <c r="C541" i="46"/>
  <c r="C585" i="45"/>
  <c r="C586" i="45" s="1"/>
  <c r="C618" i="45"/>
  <c r="C592" i="45"/>
  <c r="C593" i="45" s="1"/>
  <c r="I609" i="45"/>
  <c r="B651" i="45"/>
  <c r="B652" i="45"/>
  <c r="I611" i="45"/>
  <c r="B653" i="45"/>
  <c r="I613" i="45"/>
  <c r="B648" i="45"/>
  <c r="I600" i="45"/>
  <c r="I604" i="45"/>
  <c r="B650" i="45"/>
  <c r="C640" i="45"/>
  <c r="C641" i="45" s="1"/>
  <c r="C643" i="45" s="1"/>
  <c r="B649" i="45" s="1"/>
  <c r="C626" i="45"/>
  <c r="C628" i="45" s="1"/>
  <c r="C629" i="45" s="1"/>
  <c r="H592" i="44"/>
  <c r="B633" i="44"/>
  <c r="C573" i="44"/>
  <c r="C574" i="44" s="1"/>
  <c r="C599" i="44"/>
  <c r="C567" i="44"/>
  <c r="C568" i="44" s="1"/>
  <c r="B632" i="44"/>
  <c r="H590" i="44"/>
  <c r="C621" i="44"/>
  <c r="C622" i="44" s="1"/>
  <c r="C624" i="44" s="1"/>
  <c r="B630" i="44" s="1"/>
  <c r="C607" i="44"/>
  <c r="C609" i="44" s="1"/>
  <c r="C610" i="44" s="1"/>
  <c r="B631" i="44"/>
  <c r="H585" i="44"/>
  <c r="H594" i="44"/>
  <c r="B634" i="44"/>
  <c r="B629" i="44"/>
  <c r="H581" i="44"/>
  <c r="C609" i="39"/>
  <c r="C611" i="39" s="1"/>
  <c r="B617" i="39" s="1"/>
  <c r="D512" i="38"/>
  <c r="E512" i="38" s="1"/>
  <c r="C515" i="38"/>
  <c r="D515" i="38" s="1"/>
  <c r="E515" i="38" s="1"/>
  <c r="G603" i="42"/>
  <c r="H603" i="42" s="1"/>
  <c r="G598" i="42"/>
  <c r="H598" i="42" s="1"/>
  <c r="I598" i="42" s="1"/>
  <c r="G594" i="42"/>
  <c r="H594" i="42" s="1"/>
  <c r="I594" i="42" s="1"/>
  <c r="G604" i="42"/>
  <c r="H604" i="42" s="1"/>
  <c r="I604" i="42" s="1"/>
  <c r="G599" i="42"/>
  <c r="H599" i="42" s="1"/>
  <c r="I599" i="42" s="1"/>
  <c r="G595" i="42"/>
  <c r="H595" i="42" s="1"/>
  <c r="I595" i="42" s="1"/>
  <c r="G591" i="42"/>
  <c r="H591" i="42" s="1"/>
  <c r="I591" i="42" s="1"/>
  <c r="C616" i="42"/>
  <c r="G600" i="42"/>
  <c r="H600" i="42" s="1"/>
  <c r="I600" i="42" s="1"/>
  <c r="G592" i="42"/>
  <c r="H592" i="42" s="1"/>
  <c r="G602" i="42"/>
  <c r="H602" i="42" s="1"/>
  <c r="I602" i="42" s="1"/>
  <c r="G601" i="42"/>
  <c r="H601" i="42" s="1"/>
  <c r="G593" i="42"/>
  <c r="H593" i="42" s="1"/>
  <c r="I593" i="42" s="1"/>
  <c r="G597" i="42"/>
  <c r="H597" i="42" s="1"/>
  <c r="I597" i="42" s="1"/>
  <c r="G605" i="42"/>
  <c r="H605" i="42" s="1"/>
  <c r="G596" i="42"/>
  <c r="H596" i="42" s="1"/>
  <c r="C582" i="42"/>
  <c r="C583" i="42" s="1"/>
  <c r="C559" i="42"/>
  <c r="C567" i="42" s="1"/>
  <c r="C568" i="42" s="1"/>
  <c r="F589" i="38"/>
  <c r="G589" i="38" s="1"/>
  <c r="H589" i="38" s="1"/>
  <c r="F581" i="38"/>
  <c r="G581" i="38" s="1"/>
  <c r="F584" i="38"/>
  <c r="G584" i="38" s="1"/>
  <c r="H584" i="38" s="1"/>
  <c r="F590" i="38"/>
  <c r="G590" i="38" s="1"/>
  <c r="F588" i="38"/>
  <c r="G588" i="38" s="1"/>
  <c r="H588" i="38" s="1"/>
  <c r="F587" i="38"/>
  <c r="G587" i="38" s="1"/>
  <c r="H587" i="38" s="1"/>
  <c r="C605" i="38"/>
  <c r="F580" i="38"/>
  <c r="G580" i="38" s="1"/>
  <c r="H580" i="38" s="1"/>
  <c r="F586" i="38"/>
  <c r="G586" i="38" s="1"/>
  <c r="H586" i="38" s="1"/>
  <c r="F591" i="38"/>
  <c r="G591" i="38" s="1"/>
  <c r="H591" i="38" s="1"/>
  <c r="F593" i="38"/>
  <c r="G593" i="38" s="1"/>
  <c r="H593" i="38" s="1"/>
  <c r="F585" i="38"/>
  <c r="G585" i="38" s="1"/>
  <c r="F592" i="38"/>
  <c r="G592" i="38" s="1"/>
  <c r="H592" i="38" s="1"/>
  <c r="F582" i="38"/>
  <c r="G582" i="38" s="1"/>
  <c r="H582" i="38" s="1"/>
  <c r="F583" i="38"/>
  <c r="G583" i="38" s="1"/>
  <c r="H583" i="38" s="1"/>
  <c r="F594" i="38"/>
  <c r="G594" i="38" s="1"/>
  <c r="C525" i="42"/>
  <c r="D525" i="42" s="1"/>
  <c r="E525" i="42" s="1"/>
  <c r="D522" i="42"/>
  <c r="E522" i="42" s="1"/>
  <c r="C549" i="38"/>
  <c r="C570" i="38"/>
  <c r="C572" i="38" s="1"/>
  <c r="C557" i="38"/>
  <c r="C558" i="38" s="1"/>
  <c r="C541" i="38"/>
  <c r="E341" i="40"/>
  <c r="F341" i="40" s="1"/>
  <c r="F414" i="30"/>
  <c r="G414" i="30" s="1"/>
  <c r="H414" i="30" s="1"/>
  <c r="F418" i="30"/>
  <c r="G418" i="30" s="1"/>
  <c r="H418" i="30" s="1"/>
  <c r="F422" i="30"/>
  <c r="G422" i="30" s="1"/>
  <c r="H422" i="30" s="1"/>
  <c r="F426" i="30"/>
  <c r="G426" i="30" s="1"/>
  <c r="H426" i="30" s="1"/>
  <c r="F415" i="30"/>
  <c r="G415" i="30" s="1"/>
  <c r="H415" i="30" s="1"/>
  <c r="F419" i="30"/>
  <c r="G419" i="30" s="1"/>
  <c r="H419" i="30" s="1"/>
  <c r="F423" i="30"/>
  <c r="G423" i="30" s="1"/>
  <c r="H423" i="30" s="1"/>
  <c r="F416" i="30"/>
  <c r="G416" i="30" s="1"/>
  <c r="H416" i="30" s="1"/>
  <c r="F420" i="30"/>
  <c r="G420" i="30" s="1"/>
  <c r="H420" i="30" s="1"/>
  <c r="F424" i="30"/>
  <c r="G424" i="30" s="1"/>
  <c r="H424" i="30" s="1"/>
  <c r="F413" i="30"/>
  <c r="G413" i="30" s="1"/>
  <c r="H413" i="30" s="1"/>
  <c r="F417" i="30"/>
  <c r="G417" i="30" s="1"/>
  <c r="H417" i="30" s="1"/>
  <c r="F421" i="30"/>
  <c r="G421" i="30" s="1"/>
  <c r="H421" i="30" s="1"/>
  <c r="F425" i="30"/>
  <c r="G425" i="30" s="1"/>
  <c r="H425" i="30" s="1"/>
  <c r="C345" i="30"/>
  <c r="E345" i="30" s="1"/>
  <c r="F345" i="30" s="1"/>
  <c r="C349" i="30"/>
  <c r="E349" i="30" s="1"/>
  <c r="F349" i="30" s="1"/>
  <c r="C353" i="30"/>
  <c r="E353" i="30" s="1"/>
  <c r="F353" i="30" s="1"/>
  <c r="C350" i="30"/>
  <c r="E350" i="30" s="1"/>
  <c r="F350" i="30" s="1"/>
  <c r="C343" i="30"/>
  <c r="E343" i="30" s="1"/>
  <c r="F343" i="30" s="1"/>
  <c r="C347" i="30"/>
  <c r="E347" i="30" s="1"/>
  <c r="F347" i="30" s="1"/>
  <c r="C351" i="30"/>
  <c r="E351" i="30" s="1"/>
  <c r="F351" i="30" s="1"/>
  <c r="C355" i="30"/>
  <c r="E355" i="30" s="1"/>
  <c r="F355" i="30" s="1"/>
  <c r="C354" i="30"/>
  <c r="E354" i="30" s="1"/>
  <c r="F354" i="30" s="1"/>
  <c r="C344" i="30"/>
  <c r="E344" i="30" s="1"/>
  <c r="F344" i="30" s="1"/>
  <c r="C348" i="30"/>
  <c r="E348" i="30" s="1"/>
  <c r="F348" i="30" s="1"/>
  <c r="C352" i="30"/>
  <c r="E352" i="30" s="1"/>
  <c r="F352" i="30" s="1"/>
  <c r="C356" i="30"/>
  <c r="E356" i="30" s="1"/>
  <c r="F356" i="30" s="1"/>
  <c r="C346" i="30"/>
  <c r="E346" i="30" s="1"/>
  <c r="F346" i="30" s="1"/>
  <c r="C470" i="40"/>
  <c r="C471" i="40" s="1"/>
  <c r="C461" i="40"/>
  <c r="C486" i="40"/>
  <c r="C487" i="40" s="1"/>
  <c r="G507" i="40"/>
  <c r="H507" i="40" s="1"/>
  <c r="G503" i="40"/>
  <c r="H503" i="40" s="1"/>
  <c r="I503" i="40" s="1"/>
  <c r="G499" i="40"/>
  <c r="H499" i="40" s="1"/>
  <c r="I499" i="40" s="1"/>
  <c r="G496" i="40"/>
  <c r="H496" i="40" s="1"/>
  <c r="G508" i="40"/>
  <c r="H508" i="40" s="1"/>
  <c r="I508" i="40" s="1"/>
  <c r="G504" i="40"/>
  <c r="H504" i="40" s="1"/>
  <c r="I504" i="40" s="1"/>
  <c r="G500" i="40"/>
  <c r="H500" i="40" s="1"/>
  <c r="G497" i="40"/>
  <c r="H497" i="40" s="1"/>
  <c r="I497" i="40" s="1"/>
  <c r="C520" i="40"/>
  <c r="G505" i="40"/>
  <c r="H505" i="40" s="1"/>
  <c r="G506" i="40"/>
  <c r="H506" i="40" s="1"/>
  <c r="I506" i="40" s="1"/>
  <c r="G498" i="40"/>
  <c r="H498" i="40" s="1"/>
  <c r="I498" i="40" s="1"/>
  <c r="G501" i="40"/>
  <c r="H501" i="40" s="1"/>
  <c r="I501" i="40" s="1"/>
  <c r="G509" i="40"/>
  <c r="H509" i="40" s="1"/>
  <c r="G495" i="40"/>
  <c r="H495" i="40" s="1"/>
  <c r="I495" i="40" s="1"/>
  <c r="G502" i="40"/>
  <c r="H502" i="40" s="1"/>
  <c r="I502" i="40" s="1"/>
  <c r="C425" i="40"/>
  <c r="D425" i="40" s="1"/>
  <c r="E425" i="40" s="1"/>
  <c r="D422" i="40"/>
  <c r="E422" i="40" s="1"/>
  <c r="B619" i="39"/>
  <c r="H577" i="39"/>
  <c r="B616" i="39"/>
  <c r="H568" i="39"/>
  <c r="H581" i="39"/>
  <c r="B621" i="39"/>
  <c r="H572" i="39"/>
  <c r="B618" i="39"/>
  <c r="C391" i="37"/>
  <c r="D391" i="37" s="1"/>
  <c r="E391" i="37" s="1"/>
  <c r="C433" i="37"/>
  <c r="C434" i="37" s="1"/>
  <c r="C425" i="37"/>
  <c r="C446" i="37"/>
  <c r="C448" i="37" s="1"/>
  <c r="C417" i="37"/>
  <c r="C573" i="36"/>
  <c r="C574" i="36" s="1"/>
  <c r="C599" i="36"/>
  <c r="C567" i="36"/>
  <c r="C568" i="36" s="1"/>
  <c r="B632" i="36"/>
  <c r="H590" i="36"/>
  <c r="B631" i="36"/>
  <c r="H585" i="36"/>
  <c r="H594" i="36"/>
  <c r="B634" i="36"/>
  <c r="C621" i="36"/>
  <c r="C622" i="36" s="1"/>
  <c r="C624" i="36" s="1"/>
  <c r="B630" i="36" s="1"/>
  <c r="C607" i="36"/>
  <c r="C609" i="36" s="1"/>
  <c r="C610" i="36" s="1"/>
  <c r="B633" i="36" s="1"/>
  <c r="B629" i="36"/>
  <c r="H581" i="36"/>
  <c r="C562" i="35"/>
  <c r="C566" i="35" s="1"/>
  <c r="E503" i="35"/>
  <c r="F503" i="35" s="1"/>
  <c r="G503" i="35" s="1"/>
  <c r="E501" i="35"/>
  <c r="F501" i="35" s="1"/>
  <c r="G501" i="35" s="1"/>
  <c r="C512" i="35"/>
  <c r="E502" i="35"/>
  <c r="F502" i="35" s="1"/>
  <c r="G502" i="35" s="1"/>
  <c r="E493" i="35"/>
  <c r="F493" i="35" s="1"/>
  <c r="G493" i="35" s="1"/>
  <c r="E492" i="35"/>
  <c r="F492" i="35" s="1"/>
  <c r="G492" i="35" s="1"/>
  <c r="E500" i="35"/>
  <c r="F500" i="35" s="1"/>
  <c r="G500" i="35" s="1"/>
  <c r="E499" i="35"/>
  <c r="F499" i="35" s="1"/>
  <c r="G499" i="35" s="1"/>
  <c r="E498" i="35"/>
  <c r="F498" i="35" s="1"/>
  <c r="G498" i="35" s="1"/>
  <c r="E491" i="35"/>
  <c r="F491" i="35" s="1"/>
  <c r="G491" i="35" s="1"/>
  <c r="E490" i="35"/>
  <c r="F490" i="35" s="1"/>
  <c r="G490" i="35" s="1"/>
  <c r="C532" i="35"/>
  <c r="C536" i="35" s="1"/>
  <c r="C537" i="35" s="1"/>
  <c r="C540" i="35" s="1"/>
  <c r="E497" i="35"/>
  <c r="F497" i="35" s="1"/>
  <c r="G497" i="35" s="1"/>
  <c r="E496" i="35"/>
  <c r="F496" i="35" s="1"/>
  <c r="G496" i="35" s="1"/>
  <c r="E489" i="35"/>
  <c r="F489" i="35" s="1"/>
  <c r="G489" i="35" s="1"/>
  <c r="E488" i="35"/>
  <c r="F488" i="35" s="1"/>
  <c r="G488" i="35" s="1"/>
  <c r="C426" i="35"/>
  <c r="E426" i="35" s="1"/>
  <c r="F426" i="35" s="1"/>
  <c r="E504" i="35"/>
  <c r="F504" i="35" s="1"/>
  <c r="G504" i="35" s="1"/>
  <c r="E495" i="35"/>
  <c r="F495" i="35" s="1"/>
  <c r="G495" i="35" s="1"/>
  <c r="E494" i="35"/>
  <c r="F494" i="35" s="1"/>
  <c r="G494" i="35" s="1"/>
  <c r="C429" i="35"/>
  <c r="E429" i="35" s="1"/>
  <c r="F429" i="35" s="1"/>
  <c r="C422" i="35"/>
  <c r="E422" i="35" s="1"/>
  <c r="F422" i="35" s="1"/>
  <c r="C418" i="35"/>
  <c r="E418" i="35" s="1"/>
  <c r="F418" i="35" s="1"/>
  <c r="C414" i="35"/>
  <c r="E414" i="35" s="1"/>
  <c r="F414" i="35" s="1"/>
  <c r="C410" i="35"/>
  <c r="E410" i="35" s="1"/>
  <c r="F410" i="35" s="1"/>
  <c r="C428" i="35"/>
  <c r="E428" i="35" s="1"/>
  <c r="F428" i="35" s="1"/>
  <c r="C425" i="35"/>
  <c r="E425" i="35" s="1"/>
  <c r="F425" i="35" s="1"/>
  <c r="C423" i="35"/>
  <c r="E423" i="35" s="1"/>
  <c r="F423" i="35" s="1"/>
  <c r="C419" i="35"/>
  <c r="E419" i="35" s="1"/>
  <c r="F419" i="35" s="1"/>
  <c r="C415" i="35"/>
  <c r="E415" i="35" s="1"/>
  <c r="F415" i="35" s="1"/>
  <c r="C411" i="35"/>
  <c r="E411" i="35" s="1"/>
  <c r="F411" i="35" s="1"/>
  <c r="C393" i="35"/>
  <c r="C427" i="35"/>
  <c r="E427" i="35" s="1"/>
  <c r="F427" i="35" s="1"/>
  <c r="C424" i="35"/>
  <c r="E424" i="35" s="1"/>
  <c r="F424" i="35" s="1"/>
  <c r="C420" i="35"/>
  <c r="E420" i="35" s="1"/>
  <c r="F420" i="35" s="1"/>
  <c r="C416" i="35"/>
  <c r="E416" i="35" s="1"/>
  <c r="F416" i="35" s="1"/>
  <c r="C412" i="35"/>
  <c r="E412" i="35" s="1"/>
  <c r="F412" i="35" s="1"/>
  <c r="C408" i="35"/>
  <c r="E408" i="35" s="1"/>
  <c r="F408" i="35" s="1"/>
  <c r="C421" i="35"/>
  <c r="E421" i="35" s="1"/>
  <c r="F421" i="35" s="1"/>
  <c r="C417" i="35"/>
  <c r="E417" i="35" s="1"/>
  <c r="F417" i="35" s="1"/>
  <c r="C413" i="35"/>
  <c r="E413" i="35" s="1"/>
  <c r="F413" i="35" s="1"/>
  <c r="C409" i="35"/>
  <c r="E409" i="35" s="1"/>
  <c r="F409" i="35" s="1"/>
  <c r="C370" i="13"/>
  <c r="B442" i="13" s="1"/>
  <c r="B512" i="13" s="1"/>
  <c r="C33" i="17"/>
  <c r="C28" i="17" s="1"/>
  <c r="C593" i="17"/>
  <c r="C503" i="17"/>
  <c r="B412" i="17"/>
  <c r="B492" i="17" s="1"/>
  <c r="B439" i="17"/>
  <c r="D292" i="17"/>
  <c r="B294" i="17"/>
  <c r="B295" i="17"/>
  <c r="B296" i="17"/>
  <c r="B299" i="17"/>
  <c r="D616" i="17"/>
  <c r="E616" i="17" s="1"/>
  <c r="C126" i="17"/>
  <c r="D617" i="17"/>
  <c r="E617" i="17" s="1"/>
  <c r="C137" i="17"/>
  <c r="C556" i="17"/>
  <c r="F427" i="30"/>
  <c r="G427" i="30" s="1"/>
  <c r="H427" i="30" s="1"/>
  <c r="C455" i="30"/>
  <c r="C342" i="30"/>
  <c r="E342" i="30" s="1"/>
  <c r="F342" i="30" s="1"/>
  <c r="C435" i="30"/>
  <c r="C438" i="30" s="1"/>
  <c r="D438" i="30" s="1"/>
  <c r="E438" i="30" s="1"/>
  <c r="F412" i="30"/>
  <c r="G412" i="30" s="1"/>
  <c r="H412" i="30" s="1"/>
  <c r="C341" i="30"/>
  <c r="E341" i="30" s="1"/>
  <c r="F341" i="30" s="1"/>
  <c r="C357" i="30"/>
  <c r="E357" i="30" s="1"/>
  <c r="F357" i="30" s="1"/>
  <c r="F411" i="30"/>
  <c r="G411" i="30" s="1"/>
  <c r="H411" i="30" s="1"/>
  <c r="C330" i="30"/>
  <c r="C485" i="30"/>
  <c r="C489" i="30" s="1"/>
  <c r="C135" i="17"/>
  <c r="B489" i="25"/>
  <c r="B490" i="25"/>
  <c r="C322" i="17"/>
  <c r="D136" i="17"/>
  <c r="D217" i="17"/>
  <c r="C124" i="17"/>
  <c r="D234" i="17"/>
  <c r="C143" i="17"/>
  <c r="D130" i="17"/>
  <c r="B304" i="17"/>
  <c r="D133" i="17"/>
  <c r="D128" i="17"/>
  <c r="C134" i="17"/>
  <c r="D129" i="17"/>
  <c r="B139" i="17"/>
  <c r="D139" i="17"/>
  <c r="F480" i="17"/>
  <c r="F471" i="17"/>
  <c r="B297" i="17"/>
  <c r="B310" i="17"/>
  <c r="B300" i="17"/>
  <c r="B290" i="17"/>
  <c r="C336" i="17"/>
  <c r="C108" i="17"/>
  <c r="C97" i="17"/>
  <c r="C513" i="17"/>
  <c r="C253" i="17"/>
  <c r="C335" i="17"/>
  <c r="C385" i="17"/>
  <c r="C98" i="17"/>
  <c r="C171" i="17"/>
  <c r="C52" i="17"/>
  <c r="C182" i="17"/>
  <c r="C39" i="17"/>
  <c r="C351" i="17"/>
  <c r="C44" i="17"/>
  <c r="C45" i="17" s="1"/>
  <c r="C359" i="17"/>
  <c r="C113" i="17"/>
  <c r="C114" i="17" s="1"/>
  <c r="C337" i="17"/>
  <c r="C170" i="17"/>
  <c r="C190" i="17"/>
  <c r="C59" i="17"/>
  <c r="C53" i="17"/>
  <c r="C99" i="17"/>
  <c r="C55" i="17"/>
  <c r="C46" i="17"/>
  <c r="C42" i="17"/>
  <c r="C254" i="17"/>
  <c r="B135" i="17"/>
  <c r="C225" i="17" s="1"/>
  <c r="C183" i="17"/>
  <c r="C352" i="17"/>
  <c r="C40" i="17"/>
  <c r="C57" i="17"/>
  <c r="C394" i="17"/>
  <c r="C386" i="17"/>
  <c r="C109" i="17"/>
  <c r="C172" i="17"/>
  <c r="C499" i="17"/>
  <c r="C480" i="25" l="1"/>
  <c r="C482" i="25" s="1"/>
  <c r="B488" i="25" s="1"/>
  <c r="B491" i="25"/>
  <c r="H445" i="25"/>
  <c r="B492" i="25"/>
  <c r="F462" i="37"/>
  <c r="G462" i="37" s="1"/>
  <c r="H462" i="37" s="1"/>
  <c r="F456" i="37"/>
  <c r="G456" i="37" s="1"/>
  <c r="H456" i="37" s="1"/>
  <c r="C481" i="37"/>
  <c r="C507" i="37" s="1"/>
  <c r="C508" i="37" s="1"/>
  <c r="C510" i="37" s="1"/>
  <c r="B516" i="37" s="1"/>
  <c r="F459" i="37"/>
  <c r="G459" i="37" s="1"/>
  <c r="H459" i="37" s="1"/>
  <c r="F463" i="37"/>
  <c r="G463" i="37" s="1"/>
  <c r="H463" i="37" s="1"/>
  <c r="F460" i="37"/>
  <c r="G460" i="37" s="1"/>
  <c r="H460" i="37" s="1"/>
  <c r="F464" i="37"/>
  <c r="G464" i="37" s="1"/>
  <c r="H464" i="37" s="1"/>
  <c r="F457" i="37"/>
  <c r="G457" i="37" s="1"/>
  <c r="H457" i="37" s="1"/>
  <c r="F465" i="37"/>
  <c r="G465" i="37" s="1"/>
  <c r="H465" i="37" s="1"/>
  <c r="F458" i="37"/>
  <c r="G458" i="37" s="1"/>
  <c r="H458" i="37" s="1"/>
  <c r="F468" i="37"/>
  <c r="G468" i="37" s="1"/>
  <c r="B519" i="37" s="1"/>
  <c r="F467" i="37"/>
  <c r="G467" i="37" s="1"/>
  <c r="H467" i="37" s="1"/>
  <c r="F466" i="37"/>
  <c r="G466" i="37" s="1"/>
  <c r="H466" i="37" s="1"/>
  <c r="F470" i="37"/>
  <c r="G470" i="37" s="1"/>
  <c r="H470" i="37" s="1"/>
  <c r="F461" i="37"/>
  <c r="G461" i="37" s="1"/>
  <c r="H461" i="37" s="1"/>
  <c r="H468" i="37"/>
  <c r="C88" i="17"/>
  <c r="C490" i="17"/>
  <c r="C504" i="17"/>
  <c r="C494" i="17"/>
  <c r="C580" i="17"/>
  <c r="C590" i="17"/>
  <c r="C489" i="17"/>
  <c r="C493" i="17"/>
  <c r="C496" i="17"/>
  <c r="C495" i="17"/>
  <c r="C589" i="17"/>
  <c r="C584" i="17"/>
  <c r="C297" i="17"/>
  <c r="B438" i="17"/>
  <c r="C292" i="17"/>
  <c r="B411" i="17" s="1"/>
  <c r="B491" i="17" s="1"/>
  <c r="C195" i="48"/>
  <c r="C196" i="48" s="1"/>
  <c r="C198" i="48" s="1"/>
  <c r="B204" i="48" s="1"/>
  <c r="C187" i="48"/>
  <c r="C189" i="48" s="1"/>
  <c r="C190" i="48" s="1"/>
  <c r="G174" i="48"/>
  <c r="B208" i="48"/>
  <c r="B203" i="48"/>
  <c r="G161" i="48"/>
  <c r="G172" i="48"/>
  <c r="B207" i="48"/>
  <c r="B206" i="48"/>
  <c r="G170" i="48"/>
  <c r="B205" i="48"/>
  <c r="G165" i="48"/>
  <c r="C153" i="48"/>
  <c r="C154" i="48" s="1"/>
  <c r="C179" i="48"/>
  <c r="C148" i="48"/>
  <c r="C149" i="48" s="1"/>
  <c r="C573" i="46"/>
  <c r="C574" i="46" s="1"/>
  <c r="C567" i="46"/>
  <c r="C568" i="46" s="1"/>
  <c r="C599" i="46"/>
  <c r="B632" i="46"/>
  <c r="H590" i="46"/>
  <c r="H594" i="46"/>
  <c r="B634" i="46"/>
  <c r="C621" i="46"/>
  <c r="C622" i="46" s="1"/>
  <c r="C624" i="46" s="1"/>
  <c r="B630" i="46" s="1"/>
  <c r="C607" i="46"/>
  <c r="C609" i="46" s="1"/>
  <c r="C610" i="46" s="1"/>
  <c r="B631" i="46"/>
  <c r="H585" i="46"/>
  <c r="H592" i="46"/>
  <c r="B633" i="46"/>
  <c r="B629" i="46"/>
  <c r="H581" i="46"/>
  <c r="C621" i="38"/>
  <c r="C622" i="38" s="1"/>
  <c r="C624" i="38" s="1"/>
  <c r="B630" i="38" s="1"/>
  <c r="C607" i="38"/>
  <c r="C609" i="38" s="1"/>
  <c r="C610" i="38" s="1"/>
  <c r="B633" i="38" s="1"/>
  <c r="B629" i="38"/>
  <c r="H581" i="38"/>
  <c r="I596" i="42"/>
  <c r="B642" i="42"/>
  <c r="B643" i="42"/>
  <c r="I601" i="42"/>
  <c r="C632" i="42"/>
  <c r="C633" i="42" s="1"/>
  <c r="C635" i="42" s="1"/>
  <c r="B641" i="42" s="1"/>
  <c r="C618" i="42"/>
  <c r="C620" i="42" s="1"/>
  <c r="C621" i="42" s="1"/>
  <c r="B644" i="42"/>
  <c r="I603" i="42"/>
  <c r="C599" i="38"/>
  <c r="C567" i="38"/>
  <c r="C568" i="38" s="1"/>
  <c r="C573" i="38"/>
  <c r="C574" i="38" s="1"/>
  <c r="I605" i="42"/>
  <c r="B645" i="42"/>
  <c r="H594" i="38"/>
  <c r="B634" i="38"/>
  <c r="B631" i="38"/>
  <c r="H585" i="38"/>
  <c r="H590" i="38"/>
  <c r="B632" i="38"/>
  <c r="C610" i="42"/>
  <c r="C584" i="42"/>
  <c r="C585" i="42" s="1"/>
  <c r="C577" i="42"/>
  <c r="C578" i="42" s="1"/>
  <c r="I592" i="42"/>
  <c r="B640" i="42"/>
  <c r="C522" i="40"/>
  <c r="C524" i="40" s="1"/>
  <c r="C525" i="40" s="1"/>
  <c r="C551" i="40"/>
  <c r="C552" i="40" s="1"/>
  <c r="C554" i="40" s="1"/>
  <c r="B560" i="40" s="1"/>
  <c r="I507" i="40"/>
  <c r="B563" i="40"/>
  <c r="G506" i="30"/>
  <c r="H506" i="30" s="1"/>
  <c r="I506" i="30" s="1"/>
  <c r="G510" i="30"/>
  <c r="H510" i="30" s="1"/>
  <c r="I510" i="30" s="1"/>
  <c r="G514" i="30"/>
  <c r="H514" i="30" s="1"/>
  <c r="I514" i="30" s="1"/>
  <c r="G509" i="30"/>
  <c r="H509" i="30" s="1"/>
  <c r="I509" i="30" s="1"/>
  <c r="G515" i="30"/>
  <c r="H515" i="30" s="1"/>
  <c r="I515" i="30" s="1"/>
  <c r="G511" i="30"/>
  <c r="H511" i="30" s="1"/>
  <c r="I511" i="30" s="1"/>
  <c r="G516" i="30"/>
  <c r="H516" i="30" s="1"/>
  <c r="B551" i="30" s="1"/>
  <c r="G508" i="30"/>
  <c r="H508" i="30" s="1"/>
  <c r="I508" i="30" s="1"/>
  <c r="G513" i="30"/>
  <c r="H513" i="30" s="1"/>
  <c r="I513" i="30" s="1"/>
  <c r="G507" i="30"/>
  <c r="H507" i="30" s="1"/>
  <c r="I507" i="30" s="1"/>
  <c r="G512" i="30"/>
  <c r="H512" i="30" s="1"/>
  <c r="I512" i="30" s="1"/>
  <c r="G517" i="30"/>
  <c r="H517" i="30" s="1"/>
  <c r="I517" i="30" s="1"/>
  <c r="C459" i="30"/>
  <c r="C460" i="30" s="1"/>
  <c r="C464" i="30" s="1"/>
  <c r="E512" i="13"/>
  <c r="B607" i="13"/>
  <c r="F607" i="13" s="1"/>
  <c r="B562" i="40"/>
  <c r="I505" i="40"/>
  <c r="B559" i="40"/>
  <c r="I496" i="40"/>
  <c r="C481" i="40"/>
  <c r="C482" i="40" s="1"/>
  <c r="C488" i="40"/>
  <c r="C489" i="40" s="1"/>
  <c r="C514" i="40"/>
  <c r="I509" i="40"/>
  <c r="B564" i="40"/>
  <c r="B561" i="40"/>
  <c r="I500" i="40"/>
  <c r="C449" i="37"/>
  <c r="C450" i="37" s="1"/>
  <c r="C443" i="37"/>
  <c r="C444" i="37" s="1"/>
  <c r="C475" i="37"/>
  <c r="C371" i="17"/>
  <c r="G505" i="30"/>
  <c r="H505" i="30" s="1"/>
  <c r="B547" i="30" s="1"/>
  <c r="C529" i="30"/>
  <c r="C557" i="35"/>
  <c r="C558" i="35" s="1"/>
  <c r="C549" i="35"/>
  <c r="C570" i="35"/>
  <c r="C572" i="35" s="1"/>
  <c r="C541" i="35"/>
  <c r="F589" i="35"/>
  <c r="G589" i="35" s="1"/>
  <c r="H589" i="35" s="1"/>
  <c r="F587" i="35"/>
  <c r="G587" i="35" s="1"/>
  <c r="H587" i="35" s="1"/>
  <c r="F585" i="35"/>
  <c r="G585" i="35" s="1"/>
  <c r="F583" i="35"/>
  <c r="G583" i="35" s="1"/>
  <c r="H583" i="35" s="1"/>
  <c r="F581" i="35"/>
  <c r="G581" i="35" s="1"/>
  <c r="C605" i="35"/>
  <c r="F594" i="35"/>
  <c r="G594" i="35" s="1"/>
  <c r="F592" i="35"/>
  <c r="G592" i="35" s="1"/>
  <c r="F590" i="35"/>
  <c r="G590" i="35" s="1"/>
  <c r="F588" i="35"/>
  <c r="G588" i="35" s="1"/>
  <c r="H588" i="35" s="1"/>
  <c r="F586" i="35"/>
  <c r="G586" i="35" s="1"/>
  <c r="H586" i="35" s="1"/>
  <c r="F584" i="35"/>
  <c r="G584" i="35" s="1"/>
  <c r="H584" i="35" s="1"/>
  <c r="F582" i="35"/>
  <c r="G582" i="35" s="1"/>
  <c r="H582" i="35" s="1"/>
  <c r="F580" i="35"/>
  <c r="G580" i="35" s="1"/>
  <c r="H580" i="35" s="1"/>
  <c r="F593" i="35"/>
  <c r="G593" i="35" s="1"/>
  <c r="H593" i="35" s="1"/>
  <c r="F591" i="35"/>
  <c r="G591" i="35" s="1"/>
  <c r="H591" i="35" s="1"/>
  <c r="C515" i="35"/>
  <c r="D515" i="35" s="1"/>
  <c r="E515" i="35" s="1"/>
  <c r="D512" i="35"/>
  <c r="E512" i="35" s="1"/>
  <c r="C34" i="17"/>
  <c r="C29" i="17"/>
  <c r="C27" i="17"/>
  <c r="C491" i="17"/>
  <c r="C583" i="17"/>
  <c r="D497" i="17"/>
  <c r="B589" i="17"/>
  <c r="C502" i="17"/>
  <c r="C592" i="17"/>
  <c r="D490" i="17"/>
  <c r="B582" i="17"/>
  <c r="E582" i="17" s="1"/>
  <c r="D492" i="17"/>
  <c r="B584" i="17"/>
  <c r="C303" i="17"/>
  <c r="B422" i="17" s="1"/>
  <c r="B502" i="17" s="1"/>
  <c r="D435" i="30"/>
  <c r="E435" i="30" s="1"/>
  <c r="G518" i="30"/>
  <c r="H518" i="30" s="1"/>
  <c r="B552" i="30" s="1"/>
  <c r="G504" i="30"/>
  <c r="H504" i="30" s="1"/>
  <c r="I504" i="30" s="1"/>
  <c r="C136" i="17"/>
  <c r="C501" i="17"/>
  <c r="B513" i="17" s="1"/>
  <c r="D513" i="17" s="1"/>
  <c r="E513" i="17" s="1"/>
  <c r="C398" i="17"/>
  <c r="C363" i="17"/>
  <c r="C342" i="17"/>
  <c r="D289" i="17"/>
  <c r="D310" i="17"/>
  <c r="B456" i="17" s="1"/>
  <c r="D228" i="17"/>
  <c r="D304" i="17" s="1"/>
  <c r="B450" i="17" s="1"/>
  <c r="D223" i="17"/>
  <c r="D221" i="17"/>
  <c r="B305" i="17"/>
  <c r="C229" i="17"/>
  <c r="D229" i="17" s="1"/>
  <c r="D305" i="17" s="1"/>
  <c r="D224" i="17"/>
  <c r="B140" i="17"/>
  <c r="D140" i="17"/>
  <c r="C54" i="17"/>
  <c r="B301" i="17"/>
  <c r="C110" i="17"/>
  <c r="C226" i="17"/>
  <c r="D226" i="17" s="1"/>
  <c r="D302" i="17" s="1"/>
  <c r="B448" i="17" s="1"/>
  <c r="C41" i="17"/>
  <c r="C43" i="17" s="1"/>
  <c r="C255" i="17"/>
  <c r="B136" i="17"/>
  <c r="C58" i="17"/>
  <c r="C47" i="17"/>
  <c r="C256" i="17"/>
  <c r="C327" i="17"/>
  <c r="C245" i="17"/>
  <c r="C93" i="17"/>
  <c r="C100" i="17"/>
  <c r="C101" i="17" s="1"/>
  <c r="C338" i="17"/>
  <c r="C173" i="17"/>
  <c r="C166" i="17"/>
  <c r="C167" i="17" s="1"/>
  <c r="B518" i="37" l="1"/>
  <c r="B515" i="37"/>
  <c r="B517" i="37"/>
  <c r="C483" i="37"/>
  <c r="C485" i="37" s="1"/>
  <c r="C486" i="37" s="1"/>
  <c r="B520" i="37"/>
  <c r="E589" i="17"/>
  <c r="E584" i="17"/>
  <c r="B549" i="30"/>
  <c r="H592" i="35"/>
  <c r="B633" i="35"/>
  <c r="I516" i="30"/>
  <c r="B550" i="30"/>
  <c r="C531" i="30"/>
  <c r="C533" i="30" s="1"/>
  <c r="C539" i="30"/>
  <c r="C472" i="30"/>
  <c r="C480" i="30" s="1"/>
  <c r="C481" i="30" s="1"/>
  <c r="C497" i="30" s="1"/>
  <c r="C495" i="30"/>
  <c r="C496" i="30" s="1"/>
  <c r="I505" i="30"/>
  <c r="B632" i="35"/>
  <c r="H590" i="35"/>
  <c r="B629" i="35"/>
  <c r="H581" i="35"/>
  <c r="C567" i="35"/>
  <c r="C568" i="35" s="1"/>
  <c r="C599" i="35"/>
  <c r="C573" i="35"/>
  <c r="C574" i="35" s="1"/>
  <c r="B634" i="35"/>
  <c r="H594" i="35"/>
  <c r="C621" i="35"/>
  <c r="C622" i="35" s="1"/>
  <c r="C624" i="35" s="1"/>
  <c r="B630" i="35" s="1"/>
  <c r="C607" i="35"/>
  <c r="C609" i="35" s="1"/>
  <c r="C610" i="35" s="1"/>
  <c r="B631" i="35"/>
  <c r="H585" i="35"/>
  <c r="D502" i="17"/>
  <c r="B592" i="17"/>
  <c r="E592" i="17" s="1"/>
  <c r="D491" i="17"/>
  <c r="B583" i="17"/>
  <c r="E583" i="17" s="1"/>
  <c r="B306" i="17"/>
  <c r="B435" i="17"/>
  <c r="C289" i="17"/>
  <c r="B408" i="17" s="1"/>
  <c r="B488" i="17" s="1"/>
  <c r="B580" i="17" s="1"/>
  <c r="E580" i="17" s="1"/>
  <c r="B416" i="17"/>
  <c r="B496" i="17" s="1"/>
  <c r="D496" i="17" s="1"/>
  <c r="C304" i="17"/>
  <c r="B423" i="17" s="1"/>
  <c r="E124" i="17"/>
  <c r="G124" i="17" s="1"/>
  <c r="H124" i="17" s="1"/>
  <c r="E128" i="17"/>
  <c r="G128" i="17" s="1"/>
  <c r="H128" i="17" s="1"/>
  <c r="E132" i="17"/>
  <c r="G132" i="17" s="1"/>
  <c r="H132" i="17" s="1"/>
  <c r="E136" i="17"/>
  <c r="G136" i="17" s="1"/>
  <c r="H136" i="17" s="1"/>
  <c r="E140" i="17"/>
  <c r="G140" i="17" s="1"/>
  <c r="H140" i="17" s="1"/>
  <c r="E125" i="17"/>
  <c r="G125" i="17" s="1"/>
  <c r="H125" i="17" s="1"/>
  <c r="E129" i="17"/>
  <c r="G129" i="17" s="1"/>
  <c r="H129" i="17" s="1"/>
  <c r="E133" i="17"/>
  <c r="G133" i="17" s="1"/>
  <c r="H133" i="17" s="1"/>
  <c r="E137" i="17"/>
  <c r="G137" i="17" s="1"/>
  <c r="H137" i="17" s="1"/>
  <c r="E141" i="17"/>
  <c r="E126" i="17"/>
  <c r="G126" i="17" s="1"/>
  <c r="H126" i="17" s="1"/>
  <c r="E130" i="17"/>
  <c r="G130" i="17" s="1"/>
  <c r="H130" i="17" s="1"/>
  <c r="E134" i="17"/>
  <c r="G134" i="17" s="1"/>
  <c r="H134" i="17" s="1"/>
  <c r="E138" i="17"/>
  <c r="G138" i="17" s="1"/>
  <c r="H138" i="17" s="1"/>
  <c r="E142" i="17"/>
  <c r="E127" i="17"/>
  <c r="G127" i="17" s="1"/>
  <c r="H127" i="17" s="1"/>
  <c r="E131" i="17"/>
  <c r="G131" i="17" s="1"/>
  <c r="H131" i="17" s="1"/>
  <c r="E135" i="17"/>
  <c r="G135" i="17" s="1"/>
  <c r="H135" i="17" s="1"/>
  <c r="E139" i="17"/>
  <c r="G139" i="17" s="1"/>
  <c r="H139" i="17" s="1"/>
  <c r="E143" i="17"/>
  <c r="G143" i="17" s="1"/>
  <c r="H143" i="17" s="1"/>
  <c r="B141" i="17"/>
  <c r="I518" i="30"/>
  <c r="C230" i="17"/>
  <c r="C305" i="17"/>
  <c r="D294" i="17"/>
  <c r="D295" i="17"/>
  <c r="D299" i="17"/>
  <c r="B445" i="17" s="1"/>
  <c r="D290" i="17"/>
  <c r="B436" i="17" s="1"/>
  <c r="B451" i="17"/>
  <c r="D296" i="17"/>
  <c r="D300" i="17"/>
  <c r="B446" i="17" s="1"/>
  <c r="C310" i="17"/>
  <c r="B429" i="17" s="1"/>
  <c r="B504" i="17" s="1"/>
  <c r="D504" i="17" s="1"/>
  <c r="D225" i="17"/>
  <c r="B142" i="17"/>
  <c r="D142" i="17"/>
  <c r="D141" i="17"/>
  <c r="E123" i="17"/>
  <c r="G123" i="17" s="1"/>
  <c r="H123" i="17" s="1"/>
  <c r="C94" i="17"/>
  <c r="B302" i="17"/>
  <c r="C192" i="13"/>
  <c r="C188" i="13"/>
  <c r="C186" i="13"/>
  <c r="C529" i="13"/>
  <c r="D524" i="13"/>
  <c r="E524" i="13" s="1"/>
  <c r="D471" i="13"/>
  <c r="C523" i="13" s="1"/>
  <c r="C407" i="13"/>
  <c r="C409" i="13" s="1"/>
  <c r="C405" i="13"/>
  <c r="C403" i="13"/>
  <c r="B327" i="13"/>
  <c r="B322" i="13"/>
  <c r="B321" i="13"/>
  <c r="B320" i="13"/>
  <c r="B319" i="13"/>
  <c r="B318" i="13"/>
  <c r="B316" i="13"/>
  <c r="B315" i="13"/>
  <c r="C275" i="13"/>
  <c r="C277" i="13"/>
  <c r="C30" i="13"/>
  <c r="C26" i="13"/>
  <c r="C23" i="13"/>
  <c r="C22" i="13"/>
  <c r="B440" i="17" l="1"/>
  <c r="C294" i="17"/>
  <c r="B442" i="17"/>
  <c r="C296" i="17"/>
  <c r="B441" i="17"/>
  <c r="C295" i="17"/>
  <c r="C95" i="17"/>
  <c r="C96" i="17" s="1"/>
  <c r="F143" i="17"/>
  <c r="I143" i="17" s="1"/>
  <c r="J143" i="17" s="1"/>
  <c r="C523" i="30"/>
  <c r="C540" i="30"/>
  <c r="C542" i="30" s="1"/>
  <c r="B548" i="30" s="1"/>
  <c r="C490" i="30"/>
  <c r="C491" i="30" s="1"/>
  <c r="C111" i="17"/>
  <c r="C112" i="17" s="1"/>
  <c r="F142" i="17"/>
  <c r="I142" i="17" s="1"/>
  <c r="J142" i="17" s="1"/>
  <c r="C534" i="30"/>
  <c r="F134" i="17"/>
  <c r="I134" i="17" s="1"/>
  <c r="J134" i="17" s="1"/>
  <c r="F124" i="17"/>
  <c r="K124" i="17" s="1"/>
  <c r="L124" i="17" s="1"/>
  <c r="F125" i="17"/>
  <c r="K125" i="17" s="1"/>
  <c r="L125" i="17" s="1"/>
  <c r="C498" i="30"/>
  <c r="F129" i="17"/>
  <c r="I129" i="17" s="1"/>
  <c r="J129" i="17" s="1"/>
  <c r="C56" i="17"/>
  <c r="F123" i="17"/>
  <c r="I123" i="17" s="1"/>
  <c r="J123" i="17" s="1"/>
  <c r="F131" i="17"/>
  <c r="I131" i="17" s="1"/>
  <c r="J131" i="17" s="1"/>
  <c r="F141" i="17"/>
  <c r="I141" i="17" s="1"/>
  <c r="J141" i="17" s="1"/>
  <c r="F128" i="17"/>
  <c r="K128" i="17" s="1"/>
  <c r="L128" i="17" s="1"/>
  <c r="C60" i="17"/>
  <c r="C102" i="17"/>
  <c r="C103" i="17" s="1"/>
  <c r="F135" i="17"/>
  <c r="K135" i="17" s="1"/>
  <c r="L135" i="17" s="1"/>
  <c r="F126" i="17"/>
  <c r="I126" i="17" s="1"/>
  <c r="J126" i="17" s="1"/>
  <c r="F140" i="17"/>
  <c r="I140" i="17" s="1"/>
  <c r="J140" i="17" s="1"/>
  <c r="C115" i="17"/>
  <c r="C116" i="17" s="1"/>
  <c r="C155" i="17"/>
  <c r="F139" i="17"/>
  <c r="K139" i="17" s="1"/>
  <c r="L139" i="17" s="1"/>
  <c r="F138" i="17"/>
  <c r="I138" i="17" s="1"/>
  <c r="J138" i="17" s="1"/>
  <c r="F137" i="17"/>
  <c r="I137" i="17" s="1"/>
  <c r="J137" i="17" s="1"/>
  <c r="F132" i="17"/>
  <c r="K132" i="17" s="1"/>
  <c r="L132" i="17" s="1"/>
  <c r="F127" i="17"/>
  <c r="K127" i="17" s="1"/>
  <c r="L127" i="17" s="1"/>
  <c r="F130" i="17"/>
  <c r="I130" i="17" s="1"/>
  <c r="J130" i="17" s="1"/>
  <c r="F133" i="17"/>
  <c r="I133" i="17" s="1"/>
  <c r="J133" i="17" s="1"/>
  <c r="F136" i="17"/>
  <c r="K136" i="17" s="1"/>
  <c r="L136" i="17" s="1"/>
  <c r="C546" i="13"/>
  <c r="C84" i="13"/>
  <c r="C197" i="13"/>
  <c r="C623" i="17"/>
  <c r="B503" i="17"/>
  <c r="D503" i="17" s="1"/>
  <c r="C302" i="17"/>
  <c r="B421" i="17" s="1"/>
  <c r="B501" i="17" s="1"/>
  <c r="D501" i="17" s="1"/>
  <c r="G141" i="17"/>
  <c r="H141" i="17" s="1"/>
  <c r="D488" i="17"/>
  <c r="G142" i="17"/>
  <c r="H142" i="17" s="1"/>
  <c r="C579" i="13"/>
  <c r="C25" i="13"/>
  <c r="C24" i="13"/>
  <c r="C85" i="13" s="1"/>
  <c r="C31" i="13"/>
  <c r="C87" i="13" s="1"/>
  <c r="B594" i="17"/>
  <c r="E594" i="17" s="1"/>
  <c r="D301" i="17"/>
  <c r="B447" i="17" s="1"/>
  <c r="C300" i="17"/>
  <c r="B419" i="17" s="1"/>
  <c r="B499" i="17" s="1"/>
  <c r="D499" i="17" s="1"/>
  <c r="C290" i="17"/>
  <c r="B409" i="17" s="1"/>
  <c r="B489" i="17" s="1"/>
  <c r="B424" i="17"/>
  <c r="C299" i="17"/>
  <c r="B418" i="17" s="1"/>
  <c r="B498" i="17" s="1"/>
  <c r="D498" i="17" s="1"/>
  <c r="C172" i="13"/>
  <c r="C157" i="13"/>
  <c r="C51" i="13"/>
  <c r="C38" i="13"/>
  <c r="C93" i="13"/>
  <c r="C108" i="13"/>
  <c r="C530" i="13"/>
  <c r="C198" i="13" l="1"/>
  <c r="C86" i="13"/>
  <c r="C88" i="13" s="1"/>
  <c r="I124" i="17"/>
  <c r="J124" i="17" s="1"/>
  <c r="K143" i="17"/>
  <c r="L143" i="17" s="1"/>
  <c r="K131" i="17"/>
  <c r="L131" i="17" s="1"/>
  <c r="K129" i="17"/>
  <c r="L129" i="17" s="1"/>
  <c r="K133" i="17"/>
  <c r="L133" i="17" s="1"/>
  <c r="K134" i="17"/>
  <c r="L134" i="17" s="1"/>
  <c r="C157" i="17"/>
  <c r="C159" i="17" s="1"/>
  <c r="C161" i="17" s="1"/>
  <c r="C329" i="17" s="1"/>
  <c r="I128" i="17"/>
  <c r="J128" i="17" s="1"/>
  <c r="I135" i="17"/>
  <c r="J135" i="17" s="1"/>
  <c r="K137" i="17"/>
  <c r="L137" i="17" s="1"/>
  <c r="K142" i="17"/>
  <c r="L142" i="17" s="1"/>
  <c r="I125" i="17"/>
  <c r="J125" i="17" s="1"/>
  <c r="I132" i="17"/>
  <c r="J132" i="17" s="1"/>
  <c r="K140" i="17"/>
  <c r="L140" i="17" s="1"/>
  <c r="K126" i="17"/>
  <c r="L126" i="17" s="1"/>
  <c r="K141" i="17"/>
  <c r="L141" i="17" s="1"/>
  <c r="C238" i="17"/>
  <c r="K123" i="17"/>
  <c r="L123" i="17" s="1"/>
  <c r="I139" i="17"/>
  <c r="J139" i="17" s="1"/>
  <c r="K130" i="17"/>
  <c r="L130" i="17" s="1"/>
  <c r="K138" i="17"/>
  <c r="L138" i="17" s="1"/>
  <c r="I127" i="17"/>
  <c r="J127" i="17" s="1"/>
  <c r="I136" i="17"/>
  <c r="J136" i="17" s="1"/>
  <c r="C551" i="13"/>
  <c r="C583" i="13"/>
  <c r="C531" i="13"/>
  <c r="C110" i="13"/>
  <c r="C199" i="13"/>
  <c r="C114" i="13"/>
  <c r="C115" i="13" s="1"/>
  <c r="C204" i="13"/>
  <c r="B140" i="13"/>
  <c r="B141" i="13" s="1"/>
  <c r="C109" i="13"/>
  <c r="C33" i="13"/>
  <c r="B593" i="17"/>
  <c r="E593" i="17" s="1"/>
  <c r="B588" i="17"/>
  <c r="E588" i="17" s="1"/>
  <c r="B414" i="17"/>
  <c r="B494" i="17" s="1"/>
  <c r="D494" i="17" s="1"/>
  <c r="B415" i="17"/>
  <c r="B495" i="17" s="1"/>
  <c r="D495" i="17" s="1"/>
  <c r="B413" i="17"/>
  <c r="B493" i="17" s="1"/>
  <c r="D493" i="17" s="1"/>
  <c r="B581" i="17"/>
  <c r="E581" i="17" s="1"/>
  <c r="D489" i="17"/>
  <c r="C301" i="17"/>
  <c r="B420" i="17" s="1"/>
  <c r="B500" i="17" s="1"/>
  <c r="D500" i="17" s="1"/>
  <c r="B136" i="13"/>
  <c r="C162" i="13"/>
  <c r="C178" i="13"/>
  <c r="C179" i="13" s="1"/>
  <c r="C163" i="13"/>
  <c r="C173" i="13"/>
  <c r="C164" i="13"/>
  <c r="C174" i="13"/>
  <c r="C55" i="13"/>
  <c r="C42" i="13"/>
  <c r="C59" i="13"/>
  <c r="C39" i="13"/>
  <c r="C52" i="13"/>
  <c r="C99" i="13"/>
  <c r="C46" i="13"/>
  <c r="C57" i="13"/>
  <c r="C98" i="13"/>
  <c r="C44" i="13"/>
  <c r="C53" i="13"/>
  <c r="C100" i="13"/>
  <c r="C40" i="13"/>
  <c r="C247" i="17" l="1"/>
  <c r="C248" i="17" s="1"/>
  <c r="C185" i="17"/>
  <c r="C186" i="17" s="1"/>
  <c r="C187" i="17" s="1"/>
  <c r="C195" i="17"/>
  <c r="C340" i="17"/>
  <c r="C341" i="17" s="1"/>
  <c r="C354" i="17"/>
  <c r="C355" i="17" s="1"/>
  <c r="C356" i="17" s="1"/>
  <c r="C176" i="17"/>
  <c r="C174" i="17"/>
  <c r="C175" i="17" s="1"/>
  <c r="C388" i="17"/>
  <c r="C389" i="17" s="1"/>
  <c r="C233" i="17"/>
  <c r="C271" i="17"/>
  <c r="C272" i="17" s="1"/>
  <c r="C273" i="17" s="1"/>
  <c r="E293" i="17" s="1"/>
  <c r="G293" i="17" s="1"/>
  <c r="H293" i="17" s="1"/>
  <c r="C396" i="17"/>
  <c r="C397" i="17" s="1"/>
  <c r="C192" i="17"/>
  <c r="C193" i="17" s="1"/>
  <c r="C194" i="17" s="1"/>
  <c r="C278" i="17"/>
  <c r="C279" i="17" s="1"/>
  <c r="C280" i="17" s="1"/>
  <c r="C168" i="17"/>
  <c r="C169" i="17" s="1"/>
  <c r="C258" i="17"/>
  <c r="C361" i="17"/>
  <c r="C362" i="17" s="1"/>
  <c r="C364" i="17" s="1"/>
  <c r="C239" i="17"/>
  <c r="C259" i="17" s="1"/>
  <c r="C188" i="17"/>
  <c r="C560" i="13"/>
  <c r="C569" i="13"/>
  <c r="B510" i="13"/>
  <c r="D140" i="13"/>
  <c r="C34" i="13"/>
  <c r="C28" i="13"/>
  <c r="B590" i="17"/>
  <c r="E590" i="17" s="1"/>
  <c r="B591" i="17"/>
  <c r="E591" i="17" s="1"/>
  <c r="B512" i="17"/>
  <c r="B515" i="17" s="1"/>
  <c r="B230" i="13"/>
  <c r="B143" i="13"/>
  <c r="B142" i="13"/>
  <c r="C136" i="13"/>
  <c r="B226" i="13" s="1"/>
  <c r="C330" i="17"/>
  <c r="C47" i="13"/>
  <c r="C175" i="13"/>
  <c r="C54" i="13"/>
  <c r="C41" i="13"/>
  <c r="C43" i="13" s="1"/>
  <c r="C111" i="13"/>
  <c r="C45" i="13"/>
  <c r="C58" i="13"/>
  <c r="E292" i="17" l="1"/>
  <c r="G292" i="17" s="1"/>
  <c r="H292" i="17" s="1"/>
  <c r="E289" i="17"/>
  <c r="G289" i="17" s="1"/>
  <c r="H289" i="17" s="1"/>
  <c r="E310" i="17"/>
  <c r="G310" i="17" s="1"/>
  <c r="H310" i="17" s="1"/>
  <c r="C177" i="17"/>
  <c r="E296" i="17"/>
  <c r="G296" i="17" s="1"/>
  <c r="H296" i="17" s="1"/>
  <c r="E309" i="17"/>
  <c r="E308" i="17"/>
  <c r="E290" i="17"/>
  <c r="G290" i="17" s="1"/>
  <c r="H290" i="17" s="1"/>
  <c r="E302" i="17"/>
  <c r="G302" i="17" s="1"/>
  <c r="H302" i="17" s="1"/>
  <c r="E300" i="17"/>
  <c r="G300" i="17" s="1"/>
  <c r="H300" i="17" s="1"/>
  <c r="E291" i="17"/>
  <c r="G291" i="17" s="1"/>
  <c r="H291" i="17" s="1"/>
  <c r="E299" i="17"/>
  <c r="G299" i="17" s="1"/>
  <c r="H299" i="17" s="1"/>
  <c r="C196" i="17"/>
  <c r="E301" i="17"/>
  <c r="G301" i="17" s="1"/>
  <c r="H301" i="17" s="1"/>
  <c r="E307" i="17"/>
  <c r="E303" i="17"/>
  <c r="G303" i="17" s="1"/>
  <c r="H303" i="17" s="1"/>
  <c r="E304" i="17"/>
  <c r="G304" i="17" s="1"/>
  <c r="H304" i="17" s="1"/>
  <c r="E298" i="17"/>
  <c r="G298" i="17" s="1"/>
  <c r="H298" i="17" s="1"/>
  <c r="E297" i="17"/>
  <c r="G297" i="17" s="1"/>
  <c r="H297" i="17" s="1"/>
  <c r="E294" i="17"/>
  <c r="G294" i="17" s="1"/>
  <c r="H294" i="17" s="1"/>
  <c r="E295" i="17"/>
  <c r="G295" i="17" s="1"/>
  <c r="H295" i="17" s="1"/>
  <c r="E306" i="17"/>
  <c r="G306" i="17" s="1"/>
  <c r="H306" i="17" s="1"/>
  <c r="E305" i="17"/>
  <c r="G305" i="17" s="1"/>
  <c r="H305" i="17" s="1"/>
  <c r="C240" i="17"/>
  <c r="C274" i="17" s="1"/>
  <c r="C275" i="17" s="1"/>
  <c r="C189" i="17"/>
  <c r="E510" i="13"/>
  <c r="B522" i="13" s="1"/>
  <c r="E127" i="13"/>
  <c r="G127" i="13" s="1"/>
  <c r="H127" i="13" s="1"/>
  <c r="E131" i="13"/>
  <c r="G131" i="13" s="1"/>
  <c r="H131" i="13" s="1"/>
  <c r="E135" i="13"/>
  <c r="G135" i="13" s="1"/>
  <c r="H135" i="13" s="1"/>
  <c r="E139" i="13"/>
  <c r="G139" i="13" s="1"/>
  <c r="H139" i="13" s="1"/>
  <c r="E133" i="13"/>
  <c r="G133" i="13" s="1"/>
  <c r="H133" i="13" s="1"/>
  <c r="E126" i="13"/>
  <c r="G126" i="13" s="1"/>
  <c r="H126" i="13" s="1"/>
  <c r="E134" i="13"/>
  <c r="G134" i="13" s="1"/>
  <c r="H134" i="13" s="1"/>
  <c r="E128" i="13"/>
  <c r="G128" i="13" s="1"/>
  <c r="H128" i="13" s="1"/>
  <c r="E132" i="13"/>
  <c r="G132" i="13" s="1"/>
  <c r="H132" i="13" s="1"/>
  <c r="E136" i="13"/>
  <c r="G136" i="13" s="1"/>
  <c r="H136" i="13" s="1"/>
  <c r="E129" i="13"/>
  <c r="G129" i="13" s="1"/>
  <c r="H129" i="13" s="1"/>
  <c r="E137" i="13"/>
  <c r="E130" i="13"/>
  <c r="G130" i="13" s="1"/>
  <c r="H130" i="13" s="1"/>
  <c r="E138" i="13"/>
  <c r="G138" i="13" s="1"/>
  <c r="H138" i="13" s="1"/>
  <c r="B511" i="13"/>
  <c r="B256" i="13"/>
  <c r="D141" i="13"/>
  <c r="C29" i="13"/>
  <c r="F143" i="13" s="1"/>
  <c r="C27" i="13"/>
  <c r="B587" i="17"/>
  <c r="E587" i="17" s="1"/>
  <c r="B585" i="17"/>
  <c r="E585" i="17" s="1"/>
  <c r="B586" i="17"/>
  <c r="E586" i="17" s="1"/>
  <c r="B369" i="13"/>
  <c r="C324" i="13"/>
  <c r="D324" i="13" s="1"/>
  <c r="B231" i="13"/>
  <c r="E143" i="13"/>
  <c r="G143" i="13" s="1"/>
  <c r="H143" i="13" s="1"/>
  <c r="E142" i="13"/>
  <c r="G142" i="13" s="1"/>
  <c r="H142" i="13" s="1"/>
  <c r="D230" i="17"/>
  <c r="D306" i="17" s="1"/>
  <c r="C231" i="17"/>
  <c r="D231" i="17" s="1"/>
  <c r="D307" i="17" s="1"/>
  <c r="C232" i="17"/>
  <c r="D232" i="17" s="1"/>
  <c r="D308" i="17" s="1"/>
  <c r="B309" i="17"/>
  <c r="D233" i="17"/>
  <c r="E140" i="13"/>
  <c r="G140" i="13" s="1"/>
  <c r="H140" i="13" s="1"/>
  <c r="E141" i="13"/>
  <c r="G141" i="13" s="1"/>
  <c r="H141" i="13" s="1"/>
  <c r="E125" i="13"/>
  <c r="E144" i="13"/>
  <c r="E124" i="13"/>
  <c r="F310" i="17" l="1"/>
  <c r="K310" i="17" s="1"/>
  <c r="L310" i="17" s="1"/>
  <c r="C319" i="17"/>
  <c r="C370" i="17" s="1"/>
  <c r="C372" i="17" s="1"/>
  <c r="C374" i="17" s="1"/>
  <c r="F298" i="17"/>
  <c r="K298" i="17" s="1"/>
  <c r="L298" i="17" s="1"/>
  <c r="C251" i="17"/>
  <c r="F308" i="17"/>
  <c r="F299" i="17"/>
  <c r="K299" i="17" s="1"/>
  <c r="L299" i="17" s="1"/>
  <c r="F301" i="17"/>
  <c r="K301" i="17" s="1"/>
  <c r="L301" i="17" s="1"/>
  <c r="C262" i="17"/>
  <c r="F307" i="17"/>
  <c r="F295" i="17"/>
  <c r="K295" i="17" s="1"/>
  <c r="L295" i="17" s="1"/>
  <c r="F302" i="17"/>
  <c r="I302" i="17" s="1"/>
  <c r="J302" i="17" s="1"/>
  <c r="F290" i="17"/>
  <c r="I290" i="17" s="1"/>
  <c r="J290" i="17" s="1"/>
  <c r="F292" i="17"/>
  <c r="K292" i="17" s="1"/>
  <c r="L292" i="17" s="1"/>
  <c r="F306" i="17"/>
  <c r="F305" i="17"/>
  <c r="K305" i="17" s="1"/>
  <c r="L305" i="17" s="1"/>
  <c r="F293" i="17"/>
  <c r="I293" i="17" s="1"/>
  <c r="J293" i="17" s="1"/>
  <c r="F289" i="17"/>
  <c r="K289" i="17" s="1"/>
  <c r="L289" i="17" s="1"/>
  <c r="F304" i="17"/>
  <c r="I304" i="17" s="1"/>
  <c r="J304" i="17" s="1"/>
  <c r="F291" i="17"/>
  <c r="K291" i="17" s="1"/>
  <c r="L291" i="17" s="1"/>
  <c r="F296" i="17"/>
  <c r="K296" i="17" s="1"/>
  <c r="L296" i="17" s="1"/>
  <c r="F309" i="17"/>
  <c r="F303" i="17"/>
  <c r="I303" i="17" s="1"/>
  <c r="J303" i="17" s="1"/>
  <c r="F300" i="17"/>
  <c r="I300" i="17" s="1"/>
  <c r="J300" i="17" s="1"/>
  <c r="F294" i="17"/>
  <c r="I294" i="17" s="1"/>
  <c r="J294" i="17" s="1"/>
  <c r="F297" i="17"/>
  <c r="K297" i="17" s="1"/>
  <c r="L297" i="17" s="1"/>
  <c r="C281" i="17"/>
  <c r="C282" i="17" s="1"/>
  <c r="B606" i="13"/>
  <c r="D369" i="13"/>
  <c r="B462" i="13" s="1"/>
  <c r="C180" i="13"/>
  <c r="C181" i="13" s="1"/>
  <c r="F144" i="13"/>
  <c r="F141" i="13"/>
  <c r="K141" i="13" s="1"/>
  <c r="L141" i="13" s="1"/>
  <c r="C116" i="13"/>
  <c r="C117" i="13" s="1"/>
  <c r="C56" i="13"/>
  <c r="C185" i="13"/>
  <c r="C187" i="13" s="1"/>
  <c r="C160" i="13"/>
  <c r="F125" i="13"/>
  <c r="C153" i="13"/>
  <c r="C103" i="13"/>
  <c r="C167" i="13"/>
  <c r="F142" i="13"/>
  <c r="I142" i="13" s="1"/>
  <c r="J142" i="13" s="1"/>
  <c r="C96" i="13"/>
  <c r="C176" i="13"/>
  <c r="C177" i="13" s="1"/>
  <c r="C60" i="13"/>
  <c r="F124" i="13"/>
  <c r="C112" i="13"/>
  <c r="C113" i="13" s="1"/>
  <c r="F126" i="13"/>
  <c r="F130" i="13"/>
  <c r="F134" i="13"/>
  <c r="F138" i="13"/>
  <c r="F132" i="13"/>
  <c r="F140" i="13"/>
  <c r="I140" i="13" s="1"/>
  <c r="J140" i="13" s="1"/>
  <c r="F129" i="13"/>
  <c r="F133" i="13"/>
  <c r="F127" i="13"/>
  <c r="F131" i="13"/>
  <c r="F135" i="13"/>
  <c r="F139" i="13"/>
  <c r="K139" i="13" s="1"/>
  <c r="L139" i="13" s="1"/>
  <c r="F128" i="13"/>
  <c r="F136" i="13"/>
  <c r="K136" i="13" s="1"/>
  <c r="L136" i="13" s="1"/>
  <c r="F137" i="13"/>
  <c r="B257" i="13"/>
  <c r="C513" i="13" s="1"/>
  <c r="C608" i="13" s="1"/>
  <c r="D143" i="13"/>
  <c r="B259" i="13" s="1"/>
  <c r="D142" i="13"/>
  <c r="B258" i="13" s="1"/>
  <c r="D309" i="17"/>
  <c r="B455" i="17" s="1"/>
  <c r="B232" i="13"/>
  <c r="I143" i="13"/>
  <c r="J143" i="13" s="1"/>
  <c r="B233" i="13"/>
  <c r="B452" i="17"/>
  <c r="G309" i="17"/>
  <c r="H309" i="17" s="1"/>
  <c r="C306" i="17"/>
  <c r="C331" i="17"/>
  <c r="I310" i="17" l="1"/>
  <c r="J310" i="17" s="1"/>
  <c r="K300" i="17"/>
  <c r="L300" i="17" s="1"/>
  <c r="K293" i="17"/>
  <c r="L293" i="17" s="1"/>
  <c r="I305" i="17"/>
  <c r="J305" i="17" s="1"/>
  <c r="K290" i="17"/>
  <c r="L290" i="17" s="1"/>
  <c r="I295" i="17"/>
  <c r="J295" i="17" s="1"/>
  <c r="C345" i="17"/>
  <c r="C333" i="17"/>
  <c r="C357" i="17"/>
  <c r="C358" i="17" s="1"/>
  <c r="C365" i="17"/>
  <c r="C366" i="17" s="1"/>
  <c r="C376" i="17"/>
  <c r="K302" i="17"/>
  <c r="L302" i="17" s="1"/>
  <c r="K294" i="17"/>
  <c r="L294" i="17" s="1"/>
  <c r="I296" i="17"/>
  <c r="J296" i="17" s="1"/>
  <c r="I299" i="17"/>
  <c r="J299" i="17" s="1"/>
  <c r="I298" i="17"/>
  <c r="J298" i="17" s="1"/>
  <c r="I301" i="17"/>
  <c r="J301" i="17" s="1"/>
  <c r="I291" i="17"/>
  <c r="J291" i="17" s="1"/>
  <c r="I292" i="17"/>
  <c r="J292" i="17" s="1"/>
  <c r="I289" i="17"/>
  <c r="J289" i="17" s="1"/>
  <c r="I297" i="17"/>
  <c r="J297" i="17" s="1"/>
  <c r="K304" i="17"/>
  <c r="L304" i="17" s="1"/>
  <c r="K303" i="17"/>
  <c r="L303" i="17" s="1"/>
  <c r="C369" i="13"/>
  <c r="B441" i="13" s="1"/>
  <c r="I141" i="13"/>
  <c r="J141" i="13" s="1"/>
  <c r="K140" i="13"/>
  <c r="L140" i="13" s="1"/>
  <c r="I136" i="13"/>
  <c r="J136" i="13" s="1"/>
  <c r="D217" i="13"/>
  <c r="D221" i="13"/>
  <c r="D225" i="13"/>
  <c r="D229" i="13"/>
  <c r="G229" i="13" s="1"/>
  <c r="H229" i="13" s="1"/>
  <c r="D219" i="13"/>
  <c r="D227" i="13"/>
  <c r="D220" i="13"/>
  <c r="D228" i="13"/>
  <c r="G228" i="13" s="1"/>
  <c r="H228" i="13" s="1"/>
  <c r="D218" i="13"/>
  <c r="G218" i="13" s="1"/>
  <c r="H218" i="13" s="1"/>
  <c r="D222" i="13"/>
  <c r="D226" i="13"/>
  <c r="G226" i="13" s="1"/>
  <c r="H226" i="13" s="1"/>
  <c r="D230" i="13"/>
  <c r="G230" i="13" s="1"/>
  <c r="H230" i="13" s="1"/>
  <c r="D223" i="13"/>
  <c r="G223" i="13" s="1"/>
  <c r="H223" i="13" s="1"/>
  <c r="D216" i="13"/>
  <c r="G216" i="13" s="1"/>
  <c r="H216" i="13" s="1"/>
  <c r="D224" i="13"/>
  <c r="C189" i="13"/>
  <c r="D257" i="13" s="1"/>
  <c r="G257" i="13" s="1"/>
  <c r="H257" i="13" s="1"/>
  <c r="K138" i="13"/>
  <c r="L138" i="13" s="1"/>
  <c r="I138" i="13"/>
  <c r="J138" i="13" s="1"/>
  <c r="I126" i="13"/>
  <c r="J126" i="13" s="1"/>
  <c r="K126" i="13"/>
  <c r="L126" i="13" s="1"/>
  <c r="K142" i="13"/>
  <c r="L142" i="13" s="1"/>
  <c r="I128" i="13"/>
  <c r="J128" i="13" s="1"/>
  <c r="K128" i="13"/>
  <c r="L128" i="13" s="1"/>
  <c r="I133" i="13"/>
  <c r="J133" i="13" s="1"/>
  <c r="K133" i="13"/>
  <c r="L133" i="13" s="1"/>
  <c r="C202" i="13"/>
  <c r="C207" i="13"/>
  <c r="I139" i="13"/>
  <c r="J139" i="13" s="1"/>
  <c r="K143" i="13"/>
  <c r="L143" i="13" s="1"/>
  <c r="D410" i="17"/>
  <c r="G410" i="17" s="1"/>
  <c r="H410" i="17" s="1"/>
  <c r="D414" i="17"/>
  <c r="G414" i="17" s="1"/>
  <c r="H414" i="17" s="1"/>
  <c r="D418" i="17"/>
  <c r="G418" i="17" s="1"/>
  <c r="H418" i="17" s="1"/>
  <c r="D422" i="17"/>
  <c r="G422" i="17" s="1"/>
  <c r="H422" i="17" s="1"/>
  <c r="D419" i="17"/>
  <c r="G419" i="17" s="1"/>
  <c r="H419" i="17" s="1"/>
  <c r="D423" i="17"/>
  <c r="G423" i="17" s="1"/>
  <c r="H423" i="17" s="1"/>
  <c r="D412" i="17"/>
  <c r="G412" i="17" s="1"/>
  <c r="H412" i="17" s="1"/>
  <c r="D416" i="17"/>
  <c r="G416" i="17" s="1"/>
  <c r="H416" i="17" s="1"/>
  <c r="D420" i="17"/>
  <c r="G420" i="17" s="1"/>
  <c r="H420" i="17" s="1"/>
  <c r="D424" i="17"/>
  <c r="G424" i="17" s="1"/>
  <c r="H424" i="17" s="1"/>
  <c r="D417" i="17"/>
  <c r="G417" i="17" s="1"/>
  <c r="H417" i="17" s="1"/>
  <c r="D411" i="17"/>
  <c r="G411" i="17" s="1"/>
  <c r="H411" i="17" s="1"/>
  <c r="D415" i="17"/>
  <c r="G415" i="17" s="1"/>
  <c r="H415" i="17" s="1"/>
  <c r="D413" i="17"/>
  <c r="G413" i="17" s="1"/>
  <c r="H413" i="17" s="1"/>
  <c r="D421" i="17"/>
  <c r="G421" i="17" s="1"/>
  <c r="H421" i="17" s="1"/>
  <c r="K309" i="17"/>
  <c r="L309" i="17" s="1"/>
  <c r="C309" i="17"/>
  <c r="I309" i="17" s="1"/>
  <c r="J309" i="17" s="1"/>
  <c r="D215" i="13"/>
  <c r="D232" i="13"/>
  <c r="G232" i="13" s="1"/>
  <c r="H232" i="13" s="1"/>
  <c r="D234" i="13"/>
  <c r="D231" i="13"/>
  <c r="G231" i="13" s="1"/>
  <c r="H231" i="13" s="1"/>
  <c r="D233" i="13"/>
  <c r="G233" i="13" s="1"/>
  <c r="H233" i="13" s="1"/>
  <c r="D214" i="13"/>
  <c r="C332" i="17"/>
  <c r="C553" i="17"/>
  <c r="D409" i="17"/>
  <c r="G409" i="17" s="1"/>
  <c r="H409" i="17" s="1"/>
  <c r="D425" i="17"/>
  <c r="D408" i="17"/>
  <c r="G408" i="17" s="1"/>
  <c r="H408" i="17" s="1"/>
  <c r="D428" i="17"/>
  <c r="D426" i="17"/>
  <c r="D429" i="17"/>
  <c r="G429" i="17" s="1"/>
  <c r="D427" i="17"/>
  <c r="K306" i="17"/>
  <c r="L306" i="17" s="1"/>
  <c r="B308" i="17"/>
  <c r="B307" i="17"/>
  <c r="C343" i="17"/>
  <c r="C344" i="17" s="1"/>
  <c r="C249" i="17"/>
  <c r="C250" i="17" s="1"/>
  <c r="C252" i="17" s="1"/>
  <c r="C260" i="17"/>
  <c r="C261" i="17" s="1"/>
  <c r="C263" i="17" s="1"/>
  <c r="C272" i="13"/>
  <c r="C392" i="17"/>
  <c r="C545" i="17"/>
  <c r="C401" i="17"/>
  <c r="C346" i="17" l="1"/>
  <c r="C334" i="17"/>
  <c r="D260" i="13"/>
  <c r="C191" i="13"/>
  <c r="C242" i="13" s="1"/>
  <c r="E242" i="13" s="1"/>
  <c r="F242" i="13" s="1"/>
  <c r="C566" i="13"/>
  <c r="D249" i="13"/>
  <c r="G249" i="13" s="1"/>
  <c r="H249" i="13" s="1"/>
  <c r="D242" i="13"/>
  <c r="G242" i="13" s="1"/>
  <c r="H242" i="13" s="1"/>
  <c r="D246" i="13"/>
  <c r="D250" i="13"/>
  <c r="D254" i="13"/>
  <c r="G254" i="13" s="1"/>
  <c r="H254" i="13" s="1"/>
  <c r="D243" i="13"/>
  <c r="D247" i="13"/>
  <c r="D251" i="13"/>
  <c r="D255" i="13"/>
  <c r="G255" i="13" s="1"/>
  <c r="H255" i="13" s="1"/>
  <c r="D244" i="13"/>
  <c r="G244" i="13" s="1"/>
  <c r="H244" i="13" s="1"/>
  <c r="D248" i="13"/>
  <c r="D252" i="13"/>
  <c r="G252" i="13" s="1"/>
  <c r="H252" i="13" s="1"/>
  <c r="D256" i="13"/>
  <c r="G256" i="13" s="1"/>
  <c r="H256" i="13" s="1"/>
  <c r="D245" i="13"/>
  <c r="D253" i="13"/>
  <c r="C557" i="13"/>
  <c r="D241" i="13"/>
  <c r="D240" i="13"/>
  <c r="D259" i="13"/>
  <c r="G259" i="13" s="1"/>
  <c r="H259" i="13" s="1"/>
  <c r="D258" i="13"/>
  <c r="G258" i="13" s="1"/>
  <c r="H258" i="13" s="1"/>
  <c r="D438" i="17"/>
  <c r="G438" i="17" s="1"/>
  <c r="H438" i="17" s="1"/>
  <c r="D442" i="17"/>
  <c r="G442" i="17" s="1"/>
  <c r="H442" i="17" s="1"/>
  <c r="D446" i="17"/>
  <c r="G446" i="17" s="1"/>
  <c r="H446" i="17" s="1"/>
  <c r="D450" i="17"/>
  <c r="G450" i="17" s="1"/>
  <c r="H450" i="17" s="1"/>
  <c r="D454" i="17"/>
  <c r="D449" i="17"/>
  <c r="G449" i="17" s="1"/>
  <c r="H449" i="17" s="1"/>
  <c r="D439" i="17"/>
  <c r="G439" i="17" s="1"/>
  <c r="H439" i="17" s="1"/>
  <c r="D443" i="17"/>
  <c r="G443" i="17" s="1"/>
  <c r="H443" i="17" s="1"/>
  <c r="D447" i="17"/>
  <c r="G447" i="17" s="1"/>
  <c r="H447" i="17" s="1"/>
  <c r="D451" i="17"/>
  <c r="G451" i="17" s="1"/>
  <c r="H451" i="17" s="1"/>
  <c r="D437" i="17"/>
  <c r="G437" i="17" s="1"/>
  <c r="H437" i="17" s="1"/>
  <c r="D445" i="17"/>
  <c r="G445" i="17" s="1"/>
  <c r="H445" i="17" s="1"/>
  <c r="D440" i="17"/>
  <c r="G440" i="17" s="1"/>
  <c r="H440" i="17" s="1"/>
  <c r="D444" i="17"/>
  <c r="G444" i="17" s="1"/>
  <c r="H444" i="17" s="1"/>
  <c r="D448" i="17"/>
  <c r="G448" i="17" s="1"/>
  <c r="H448" i="17" s="1"/>
  <c r="D452" i="17"/>
  <c r="G452" i="17" s="1"/>
  <c r="H452" i="17" s="1"/>
  <c r="D441" i="17"/>
  <c r="G441" i="17" s="1"/>
  <c r="H441" i="17" s="1"/>
  <c r="D453" i="17"/>
  <c r="C308" i="17"/>
  <c r="G308" i="17"/>
  <c r="H308" i="17" s="1"/>
  <c r="C307" i="17"/>
  <c r="G307" i="17"/>
  <c r="H307" i="17" s="1"/>
  <c r="B428" i="17"/>
  <c r="G428" i="17" s="1"/>
  <c r="K307" i="17"/>
  <c r="L307" i="17" s="1"/>
  <c r="B453" i="17"/>
  <c r="D436" i="17"/>
  <c r="G436" i="17" s="1"/>
  <c r="H436" i="17" s="1"/>
  <c r="D455" i="17"/>
  <c r="G455" i="17" s="1"/>
  <c r="H455" i="17" s="1"/>
  <c r="D456" i="17"/>
  <c r="G456" i="17" s="1"/>
  <c r="H456" i="17" s="1"/>
  <c r="D435" i="17"/>
  <c r="G435" i="17" s="1"/>
  <c r="H435" i="17" s="1"/>
  <c r="K308" i="17"/>
  <c r="L308" i="17" s="1"/>
  <c r="B454" i="17"/>
  <c r="I306" i="17"/>
  <c r="J306" i="17" s="1"/>
  <c r="B425" i="17"/>
  <c r="C331" i="13"/>
  <c r="C274" i="13"/>
  <c r="C276" i="13" s="1"/>
  <c r="C278" i="13" s="1"/>
  <c r="C380" i="17"/>
  <c r="C378" i="17"/>
  <c r="C259" i="13" l="1"/>
  <c r="E259" i="13" s="1"/>
  <c r="F259" i="13" s="1"/>
  <c r="C576" i="13"/>
  <c r="C254" i="13"/>
  <c r="E254" i="13" s="1"/>
  <c r="F254" i="13" s="1"/>
  <c r="C240" i="13"/>
  <c r="C200" i="13"/>
  <c r="C201" i="13" s="1"/>
  <c r="C226" i="13" s="1"/>
  <c r="E226" i="13" s="1"/>
  <c r="F226" i="13" s="1"/>
  <c r="C251" i="13"/>
  <c r="C252" i="13"/>
  <c r="E252" i="13" s="1"/>
  <c r="F252" i="13" s="1"/>
  <c r="C245" i="13"/>
  <c r="C244" i="13"/>
  <c r="E244" i="13" s="1"/>
  <c r="F244" i="13" s="1"/>
  <c r="C247" i="13"/>
  <c r="C260" i="13"/>
  <c r="C246" i="13"/>
  <c r="C243" i="13"/>
  <c r="C241" i="13"/>
  <c r="C249" i="13"/>
  <c r="E249" i="13" s="1"/>
  <c r="F249" i="13" s="1"/>
  <c r="C248" i="13"/>
  <c r="C250" i="13"/>
  <c r="C257" i="13"/>
  <c r="E257" i="13" s="1"/>
  <c r="F257" i="13" s="1"/>
  <c r="C258" i="13"/>
  <c r="E258" i="13" s="1"/>
  <c r="F258" i="13" s="1"/>
  <c r="C543" i="13"/>
  <c r="C253" i="13"/>
  <c r="C256" i="13"/>
  <c r="E256" i="13" s="1"/>
  <c r="F256" i="13" s="1"/>
  <c r="C255" i="13"/>
  <c r="E255" i="13" s="1"/>
  <c r="F255" i="13" s="1"/>
  <c r="C440" i="17"/>
  <c r="E440" i="17" s="1"/>
  <c r="F440" i="17" s="1"/>
  <c r="C444" i="17"/>
  <c r="E444" i="17" s="1"/>
  <c r="F444" i="17" s="1"/>
  <c r="C448" i="17"/>
  <c r="E448" i="17" s="1"/>
  <c r="F448" i="17" s="1"/>
  <c r="C452" i="17"/>
  <c r="C443" i="17"/>
  <c r="E443" i="17" s="1"/>
  <c r="F443" i="17" s="1"/>
  <c r="C437" i="17"/>
  <c r="E437" i="17" s="1"/>
  <c r="F437" i="17" s="1"/>
  <c r="C441" i="17"/>
  <c r="E441" i="17" s="1"/>
  <c r="F441" i="17" s="1"/>
  <c r="C445" i="17"/>
  <c r="E445" i="17" s="1"/>
  <c r="F445" i="17" s="1"/>
  <c r="C449" i="17"/>
  <c r="E449" i="17" s="1"/>
  <c r="F449" i="17" s="1"/>
  <c r="C453" i="17"/>
  <c r="C439" i="17"/>
  <c r="E439" i="17" s="1"/>
  <c r="F439" i="17" s="1"/>
  <c r="C451" i="17"/>
  <c r="E451" i="17" s="1"/>
  <c r="C438" i="17"/>
  <c r="E438" i="17" s="1"/>
  <c r="F438" i="17" s="1"/>
  <c r="C442" i="17"/>
  <c r="E442" i="17" s="1"/>
  <c r="F442" i="17" s="1"/>
  <c r="C446" i="17"/>
  <c r="E446" i="17" s="1"/>
  <c r="F446" i="17" s="1"/>
  <c r="C450" i="17"/>
  <c r="E450" i="17" s="1"/>
  <c r="F450" i="17" s="1"/>
  <c r="C447" i="17"/>
  <c r="E447" i="17" s="1"/>
  <c r="F447" i="17" s="1"/>
  <c r="C287" i="13"/>
  <c r="C326" i="13"/>
  <c r="B371" i="13"/>
  <c r="G454" i="17"/>
  <c r="H454" i="17" s="1"/>
  <c r="C455" i="17"/>
  <c r="C436" i="17"/>
  <c r="C435" i="17"/>
  <c r="C454" i="17"/>
  <c r="C456" i="17"/>
  <c r="G453" i="17"/>
  <c r="H453" i="17" s="1"/>
  <c r="G425" i="17"/>
  <c r="H425" i="17" s="1"/>
  <c r="I307" i="17"/>
  <c r="J307" i="17" s="1"/>
  <c r="B426" i="17"/>
  <c r="I308" i="17"/>
  <c r="J308" i="17" s="1"/>
  <c r="B427" i="17"/>
  <c r="C394" i="13"/>
  <c r="C395" i="13" s="1"/>
  <c r="C346" i="13"/>
  <c r="C347" i="13" s="1"/>
  <c r="C332" i="13"/>
  <c r="C333" i="13" s="1"/>
  <c r="C284" i="13"/>
  <c r="C285" i="13" s="1"/>
  <c r="C387" i="13"/>
  <c r="C388" i="13" s="1"/>
  <c r="C339" i="13"/>
  <c r="C340" i="13" s="1"/>
  <c r="C294" i="13"/>
  <c r="C291" i="13"/>
  <c r="C292" i="13" s="1"/>
  <c r="C399" i="17"/>
  <c r="C400" i="17" s="1"/>
  <c r="C390" i="17"/>
  <c r="C391" i="17" s="1"/>
  <c r="C385" i="13" l="1"/>
  <c r="C389" i="13" s="1"/>
  <c r="C414" i="13" s="1"/>
  <c r="C224" i="13"/>
  <c r="C217" i="13"/>
  <c r="C337" i="13"/>
  <c r="C341" i="13" s="1"/>
  <c r="C215" i="13"/>
  <c r="C225" i="13"/>
  <c r="C221" i="13"/>
  <c r="C231" i="13"/>
  <c r="E231" i="13" s="1"/>
  <c r="F231" i="13" s="1"/>
  <c r="C282" i="13"/>
  <c r="C219" i="13"/>
  <c r="C233" i="13"/>
  <c r="E233" i="13" s="1"/>
  <c r="F233" i="13" s="1"/>
  <c r="C230" i="13"/>
  <c r="E230" i="13" s="1"/>
  <c r="F230" i="13" s="1"/>
  <c r="C234" i="13"/>
  <c r="C203" i="13"/>
  <c r="C220" i="13"/>
  <c r="C228" i="13"/>
  <c r="E228" i="13" s="1"/>
  <c r="F228" i="13" s="1"/>
  <c r="C216" i="13"/>
  <c r="E216" i="13" s="1"/>
  <c r="F216" i="13" s="1"/>
  <c r="C218" i="13"/>
  <c r="E218" i="13" s="1"/>
  <c r="F218" i="13" s="1"/>
  <c r="C214" i="13"/>
  <c r="C229" i="13"/>
  <c r="E229" i="13" s="1"/>
  <c r="F229" i="13" s="1"/>
  <c r="C222" i="13"/>
  <c r="C223" i="13"/>
  <c r="E223" i="13" s="1"/>
  <c r="F223" i="13" s="1"/>
  <c r="C227" i="13"/>
  <c r="C232" i="13"/>
  <c r="E232" i="13" s="1"/>
  <c r="F232" i="13" s="1"/>
  <c r="F360" i="13"/>
  <c r="K360" i="13" s="1"/>
  <c r="L360" i="13" s="1"/>
  <c r="F364" i="13"/>
  <c r="F368" i="13"/>
  <c r="K368" i="13" s="1"/>
  <c r="L368" i="13" s="1"/>
  <c r="F370" i="13"/>
  <c r="F361" i="13"/>
  <c r="F365" i="13"/>
  <c r="F369" i="13"/>
  <c r="F366" i="13"/>
  <c r="F359" i="13"/>
  <c r="F363" i="13"/>
  <c r="F367" i="13"/>
  <c r="F371" i="13"/>
  <c r="F362" i="13"/>
  <c r="E494" i="17"/>
  <c r="F494" i="17" s="1"/>
  <c r="G494" i="17" s="1"/>
  <c r="E502" i="17"/>
  <c r="F502" i="17" s="1"/>
  <c r="G502" i="17" s="1"/>
  <c r="E491" i="17"/>
  <c r="F491" i="17" s="1"/>
  <c r="G491" i="17" s="1"/>
  <c r="E495" i="17"/>
  <c r="F495" i="17" s="1"/>
  <c r="G495" i="17" s="1"/>
  <c r="E499" i="17"/>
  <c r="F499" i="17" s="1"/>
  <c r="G499" i="17" s="1"/>
  <c r="E503" i="17"/>
  <c r="F503" i="17" s="1"/>
  <c r="G503" i="17" s="1"/>
  <c r="E490" i="17"/>
  <c r="F490" i="17" s="1"/>
  <c r="G490" i="17" s="1"/>
  <c r="E498" i="17"/>
  <c r="F498" i="17" s="1"/>
  <c r="G498" i="17" s="1"/>
  <c r="E492" i="17"/>
  <c r="F492" i="17" s="1"/>
  <c r="G492" i="17" s="1"/>
  <c r="E496" i="17"/>
  <c r="F496" i="17" s="1"/>
  <c r="G496" i="17" s="1"/>
  <c r="E500" i="17"/>
  <c r="F500" i="17" s="1"/>
  <c r="G500" i="17" s="1"/>
  <c r="E493" i="17"/>
  <c r="F493" i="17" s="1"/>
  <c r="G493" i="17" s="1"/>
  <c r="E497" i="17"/>
  <c r="F497" i="17" s="1"/>
  <c r="G497" i="17" s="1"/>
  <c r="E501" i="17"/>
  <c r="F501" i="17" s="1"/>
  <c r="G501" i="17" s="1"/>
  <c r="C532" i="17"/>
  <c r="C536" i="17" s="1"/>
  <c r="C537" i="17" s="1"/>
  <c r="C411" i="17"/>
  <c r="E411" i="17" s="1"/>
  <c r="F411" i="17" s="1"/>
  <c r="C415" i="17"/>
  <c r="E415" i="17" s="1"/>
  <c r="F415" i="17" s="1"/>
  <c r="C419" i="17"/>
  <c r="E419" i="17" s="1"/>
  <c r="F419" i="17" s="1"/>
  <c r="C423" i="17"/>
  <c r="E423" i="17" s="1"/>
  <c r="F423" i="17" s="1"/>
  <c r="C412" i="17"/>
  <c r="E412" i="17" s="1"/>
  <c r="F412" i="17" s="1"/>
  <c r="C416" i="17"/>
  <c r="E416" i="17" s="1"/>
  <c r="F416" i="17" s="1"/>
  <c r="C420" i="17"/>
  <c r="E420" i="17" s="1"/>
  <c r="F420" i="17" s="1"/>
  <c r="C424" i="17"/>
  <c r="E424" i="17" s="1"/>
  <c r="F424" i="17" s="1"/>
  <c r="C413" i="17"/>
  <c r="E413" i="17" s="1"/>
  <c r="F413" i="17" s="1"/>
  <c r="C417" i="17"/>
  <c r="E417" i="17" s="1"/>
  <c r="F417" i="17" s="1"/>
  <c r="C421" i="17"/>
  <c r="E421" i="17" s="1"/>
  <c r="F421" i="17" s="1"/>
  <c r="C410" i="17"/>
  <c r="E410" i="17" s="1"/>
  <c r="F410" i="17" s="1"/>
  <c r="C418" i="17"/>
  <c r="E418" i="17" s="1"/>
  <c r="F418" i="17" s="1"/>
  <c r="C414" i="17"/>
  <c r="E414" i="17" s="1"/>
  <c r="F414" i="17" s="1"/>
  <c r="C422" i="17"/>
  <c r="E422" i="17" s="1"/>
  <c r="F422" i="17" s="1"/>
  <c r="C571" i="17"/>
  <c r="C538" i="17"/>
  <c r="C349" i="13"/>
  <c r="F358" i="13"/>
  <c r="F372" i="13"/>
  <c r="F357" i="13"/>
  <c r="D326" i="13"/>
  <c r="D371" i="13" s="1"/>
  <c r="B464" i="13" s="1"/>
  <c r="E504" i="17"/>
  <c r="F504" i="17" s="1"/>
  <c r="G504" i="17" s="1"/>
  <c r="E489" i="17"/>
  <c r="F489" i="17" s="1"/>
  <c r="G489" i="17" s="1"/>
  <c r="E452" i="17"/>
  <c r="F452" i="17" s="1"/>
  <c r="E455" i="17"/>
  <c r="F455" i="17" s="1"/>
  <c r="F451" i="17"/>
  <c r="E456" i="17"/>
  <c r="F456" i="17" s="1"/>
  <c r="E454" i="17"/>
  <c r="F454" i="17" s="1"/>
  <c r="E453" i="17"/>
  <c r="F453" i="17" s="1"/>
  <c r="E436" i="17"/>
  <c r="F436" i="17" s="1"/>
  <c r="E435" i="17"/>
  <c r="F435" i="17" s="1"/>
  <c r="G427" i="17"/>
  <c r="H427" i="17" s="1"/>
  <c r="G426" i="17"/>
  <c r="H426" i="17" s="1"/>
  <c r="C428" i="17"/>
  <c r="E428" i="17" s="1"/>
  <c r="C429" i="17"/>
  <c r="E429" i="17" s="1"/>
  <c r="C409" i="17"/>
  <c r="E409" i="17" s="1"/>
  <c r="F409" i="17" s="1"/>
  <c r="C425" i="17"/>
  <c r="E425" i="17" s="1"/>
  <c r="F425" i="17" s="1"/>
  <c r="C408" i="17"/>
  <c r="E408" i="17" s="1"/>
  <c r="F408" i="17" s="1"/>
  <c r="C427" i="17"/>
  <c r="E427" i="17" s="1"/>
  <c r="F427" i="17" s="1"/>
  <c r="C426" i="17"/>
  <c r="E426" i="17" s="1"/>
  <c r="F426" i="17" s="1"/>
  <c r="C342" i="13"/>
  <c r="C381" i="13"/>
  <c r="C397" i="13"/>
  <c r="C390" i="13"/>
  <c r="C512" i="17"/>
  <c r="C515" i="17" s="1"/>
  <c r="D515" i="17" s="1"/>
  <c r="E515" i="17" s="1"/>
  <c r="C402" i="17"/>
  <c r="C562" i="17"/>
  <c r="E488" i="17"/>
  <c r="F488" i="17" s="1"/>
  <c r="G488" i="17" s="1"/>
  <c r="C393" i="17"/>
  <c r="D44" i="4"/>
  <c r="C44" i="4"/>
  <c r="B44" i="4"/>
  <c r="D43" i="4"/>
  <c r="C43" i="4"/>
  <c r="B43" i="4"/>
  <c r="D42" i="4"/>
  <c r="C42" i="4"/>
  <c r="B42" i="4"/>
  <c r="D41" i="4"/>
  <c r="C41" i="4"/>
  <c r="B41" i="4"/>
  <c r="D40" i="4"/>
  <c r="C40" i="4"/>
  <c r="B40" i="4"/>
  <c r="D39" i="4"/>
  <c r="C39" i="4"/>
  <c r="B39" i="4"/>
  <c r="D38" i="4"/>
  <c r="C38" i="4"/>
  <c r="B38" i="4"/>
  <c r="D37" i="4"/>
  <c r="C37" i="4"/>
  <c r="B37" i="4"/>
  <c r="D36" i="4"/>
  <c r="C36" i="4"/>
  <c r="B36" i="4"/>
  <c r="D35" i="4"/>
  <c r="C35" i="4"/>
  <c r="B35" i="4"/>
  <c r="D34" i="4"/>
  <c r="C34" i="4"/>
  <c r="B34" i="4"/>
  <c r="D33" i="4"/>
  <c r="C33" i="4"/>
  <c r="B33" i="4"/>
  <c r="D32" i="4"/>
  <c r="C32" i="4"/>
  <c r="B32" i="4"/>
  <c r="D31" i="4"/>
  <c r="C31" i="4"/>
  <c r="B31" i="4"/>
  <c r="D30" i="4"/>
  <c r="C30" i="4"/>
  <c r="B30" i="4"/>
  <c r="K371" i="13" l="1"/>
  <c r="L371" i="13" s="1"/>
  <c r="E359" i="13"/>
  <c r="G359" i="13" s="1"/>
  <c r="H359" i="13" s="1"/>
  <c r="E363" i="13"/>
  <c r="E367" i="13"/>
  <c r="E371" i="13"/>
  <c r="G371" i="13" s="1"/>
  <c r="H371" i="13" s="1"/>
  <c r="E369" i="13"/>
  <c r="G369" i="13" s="1"/>
  <c r="H369" i="13" s="1"/>
  <c r="E360" i="13"/>
  <c r="E364" i="13"/>
  <c r="E368" i="13"/>
  <c r="E365" i="13"/>
  <c r="E362" i="13"/>
  <c r="E366" i="13"/>
  <c r="G366" i="13" s="1"/>
  <c r="H366" i="13" s="1"/>
  <c r="E370" i="13"/>
  <c r="G370" i="13" s="1"/>
  <c r="H370" i="13" s="1"/>
  <c r="E361" i="13"/>
  <c r="G361" i="13" s="1"/>
  <c r="H361" i="13" s="1"/>
  <c r="K359" i="13"/>
  <c r="L359" i="13" s="1"/>
  <c r="I359" i="13"/>
  <c r="J359" i="13" s="1"/>
  <c r="K361" i="13"/>
  <c r="L361" i="13" s="1"/>
  <c r="I361" i="13"/>
  <c r="J361" i="13" s="1"/>
  <c r="K366" i="13"/>
  <c r="L366" i="13" s="1"/>
  <c r="I366" i="13"/>
  <c r="J366" i="13" s="1"/>
  <c r="K370" i="13"/>
  <c r="L370" i="13" s="1"/>
  <c r="I370" i="13"/>
  <c r="J370" i="13" s="1"/>
  <c r="C371" i="13"/>
  <c r="K369" i="13"/>
  <c r="L369" i="13" s="1"/>
  <c r="I369" i="13"/>
  <c r="J369" i="13" s="1"/>
  <c r="E357" i="13"/>
  <c r="E358" i="13"/>
  <c r="E372" i="13"/>
  <c r="C540" i="17"/>
  <c r="C570" i="17" s="1"/>
  <c r="C572" i="17" s="1"/>
  <c r="H428" i="17"/>
  <c r="F428" i="17"/>
  <c r="H429" i="17"/>
  <c r="F429" i="17"/>
  <c r="C402" i="13"/>
  <c r="C406" i="13" s="1"/>
  <c r="D512" i="17"/>
  <c r="E512" i="17" s="1"/>
  <c r="C566" i="17"/>
  <c r="G125" i="13"/>
  <c r="H125" i="13" s="1"/>
  <c r="G124" i="13"/>
  <c r="H124" i="13" s="1"/>
  <c r="G144" i="13"/>
  <c r="H144" i="13" s="1"/>
  <c r="C193" i="13"/>
  <c r="D452" i="13" l="1"/>
  <c r="G452" i="13" s="1"/>
  <c r="H452" i="13" s="1"/>
  <c r="D456" i="13"/>
  <c r="D460" i="13"/>
  <c r="D464" i="13"/>
  <c r="G464" i="13" s="1"/>
  <c r="H464" i="13" s="1"/>
  <c r="D453" i="13"/>
  <c r="G453" i="13" s="1"/>
  <c r="H453" i="13" s="1"/>
  <c r="D457" i="13"/>
  <c r="D461" i="13"/>
  <c r="G461" i="13" s="1"/>
  <c r="H461" i="13" s="1"/>
  <c r="D454" i="13"/>
  <c r="G454" i="13" s="1"/>
  <c r="H454" i="13" s="1"/>
  <c r="D458" i="13"/>
  <c r="D462" i="13"/>
  <c r="G462" i="13" s="1"/>
  <c r="H462" i="13" s="1"/>
  <c r="D455" i="13"/>
  <c r="D459" i="13"/>
  <c r="G459" i="13" s="1"/>
  <c r="H459" i="13" s="1"/>
  <c r="D463" i="13"/>
  <c r="G463" i="13" s="1"/>
  <c r="H463" i="13" s="1"/>
  <c r="I371" i="13"/>
  <c r="J371" i="13" s="1"/>
  <c r="B443" i="13"/>
  <c r="B513" i="13" s="1"/>
  <c r="E513" i="13" s="1"/>
  <c r="C550" i="13"/>
  <c r="C205" i="13"/>
  <c r="C206" i="13" s="1"/>
  <c r="C208" i="13" s="1"/>
  <c r="F583" i="17"/>
  <c r="G583" i="17" s="1"/>
  <c r="H583" i="17" s="1"/>
  <c r="F587" i="17"/>
  <c r="G587" i="17" s="1"/>
  <c r="H587" i="17" s="1"/>
  <c r="F591" i="17"/>
  <c r="G591" i="17" s="1"/>
  <c r="H591" i="17" s="1"/>
  <c r="F582" i="17"/>
  <c r="G582" i="17" s="1"/>
  <c r="H582" i="17" s="1"/>
  <c r="F584" i="17"/>
  <c r="G584" i="17" s="1"/>
  <c r="H584" i="17" s="1"/>
  <c r="F588" i="17"/>
  <c r="G588" i="17" s="1"/>
  <c r="H588" i="17" s="1"/>
  <c r="F592" i="17"/>
  <c r="G592" i="17" s="1"/>
  <c r="F590" i="17"/>
  <c r="G590" i="17" s="1"/>
  <c r="H590" i="17" s="1"/>
  <c r="C605" i="17"/>
  <c r="F585" i="17"/>
  <c r="G585" i="17" s="1"/>
  <c r="H585" i="17" s="1"/>
  <c r="F589" i="17"/>
  <c r="G589" i="17" s="1"/>
  <c r="H589" i="17" s="1"/>
  <c r="F593" i="17"/>
  <c r="G593" i="17" s="1"/>
  <c r="H593" i="17" s="1"/>
  <c r="F586" i="17"/>
  <c r="G586" i="17" s="1"/>
  <c r="H586" i="17" s="1"/>
  <c r="C541" i="17"/>
  <c r="C549" i="17"/>
  <c r="C557" i="17"/>
  <c r="C558" i="17" s="1"/>
  <c r="C567" i="17" s="1"/>
  <c r="C568" i="17" s="1"/>
  <c r="C408" i="13"/>
  <c r="D450" i="13"/>
  <c r="D451" i="13"/>
  <c r="D465" i="13"/>
  <c r="C404" i="13"/>
  <c r="C410" i="13"/>
  <c r="F594" i="17"/>
  <c r="G594" i="17" s="1"/>
  <c r="F580" i="17"/>
  <c r="G580" i="17" s="1"/>
  <c r="H580" i="17" s="1"/>
  <c r="F581" i="17"/>
  <c r="G581" i="17" s="1"/>
  <c r="D603" i="13"/>
  <c r="D130" i="13"/>
  <c r="B246" i="13" s="1"/>
  <c r="C130" i="13"/>
  <c r="D129" i="13"/>
  <c r="D144" i="13"/>
  <c r="D132" i="13"/>
  <c r="B248" i="13" s="1"/>
  <c r="D124" i="13"/>
  <c r="C124" i="13"/>
  <c r="B214" i="13" s="1"/>
  <c r="D134" i="13"/>
  <c r="B137" i="13"/>
  <c r="G137" i="13" s="1"/>
  <c r="H137" i="13" s="1"/>
  <c r="D125" i="13"/>
  <c r="D131" i="13"/>
  <c r="B247" i="13" s="1"/>
  <c r="C585" i="13"/>
  <c r="H592" i="17" l="1"/>
  <c r="B633" i="17"/>
  <c r="D431" i="13"/>
  <c r="G431" i="13" s="1"/>
  <c r="H431" i="13" s="1"/>
  <c r="D435" i="13"/>
  <c r="D439" i="13"/>
  <c r="D443" i="13"/>
  <c r="G443" i="13" s="1"/>
  <c r="H443" i="13" s="1"/>
  <c r="D432" i="13"/>
  <c r="D436" i="13"/>
  <c r="D440" i="13"/>
  <c r="D437" i="13"/>
  <c r="D433" i="13"/>
  <c r="G433" i="13" s="1"/>
  <c r="H433" i="13" s="1"/>
  <c r="D441" i="13"/>
  <c r="G441" i="13" s="1"/>
  <c r="H441" i="13" s="1"/>
  <c r="D434" i="13"/>
  <c r="D438" i="13"/>
  <c r="G438" i="13" s="1"/>
  <c r="H438" i="13" s="1"/>
  <c r="D442" i="13"/>
  <c r="G442" i="13" s="1"/>
  <c r="H442" i="13" s="1"/>
  <c r="C415" i="13"/>
  <c r="C416" i="13" s="1"/>
  <c r="C455" i="13"/>
  <c r="C459" i="13"/>
  <c r="E459" i="13" s="1"/>
  <c r="F459" i="13" s="1"/>
  <c r="C463" i="13"/>
  <c r="E463" i="13" s="1"/>
  <c r="F463" i="13" s="1"/>
  <c r="C452" i="13"/>
  <c r="E452" i="13" s="1"/>
  <c r="F452" i="13" s="1"/>
  <c r="C456" i="13"/>
  <c r="C460" i="13"/>
  <c r="C464" i="13"/>
  <c r="E464" i="13" s="1"/>
  <c r="F464" i="13" s="1"/>
  <c r="C453" i="13"/>
  <c r="E453" i="13" s="1"/>
  <c r="F453" i="13" s="1"/>
  <c r="C457" i="13"/>
  <c r="C461" i="13"/>
  <c r="E461" i="13" s="1"/>
  <c r="F461" i="13" s="1"/>
  <c r="C454" i="13"/>
  <c r="E454" i="13" s="1"/>
  <c r="F454" i="13" s="1"/>
  <c r="C458" i="13"/>
  <c r="C462" i="13"/>
  <c r="E462" i="13" s="1"/>
  <c r="F462" i="13" s="1"/>
  <c r="E247" i="13"/>
  <c r="F247" i="13" s="1"/>
  <c r="G247" i="13"/>
  <c r="K129" i="13"/>
  <c r="L129" i="13" s="1"/>
  <c r="B245" i="13"/>
  <c r="E248" i="13"/>
  <c r="F248" i="13" s="1"/>
  <c r="G248" i="13"/>
  <c r="E246" i="13"/>
  <c r="F246" i="13" s="1"/>
  <c r="G246" i="13"/>
  <c r="K134" i="13"/>
  <c r="L134" i="13" s="1"/>
  <c r="B250" i="13"/>
  <c r="C508" i="13" s="1"/>
  <c r="C605" i="13" s="1"/>
  <c r="B220" i="13"/>
  <c r="B363" i="13" s="1"/>
  <c r="I130" i="13"/>
  <c r="J130" i="13" s="1"/>
  <c r="C607" i="17"/>
  <c r="C621" i="17"/>
  <c r="C622" i="17" s="1"/>
  <c r="C624" i="17" s="1"/>
  <c r="B630" i="17" s="1"/>
  <c r="C573" i="17"/>
  <c r="C574" i="17" s="1"/>
  <c r="C599" i="17"/>
  <c r="C420" i="13"/>
  <c r="B608" i="13"/>
  <c r="F608" i="13" s="1"/>
  <c r="C451" i="13"/>
  <c r="C450" i="13"/>
  <c r="C465" i="13"/>
  <c r="C565" i="13"/>
  <c r="D429" i="13"/>
  <c r="D444" i="13"/>
  <c r="D430" i="13"/>
  <c r="K130" i="13"/>
  <c r="L130" i="13" s="1"/>
  <c r="C504" i="13"/>
  <c r="C601" i="13" s="1"/>
  <c r="K131" i="13"/>
  <c r="L131" i="13" s="1"/>
  <c r="C505" i="13"/>
  <c r="C602" i="13" s="1"/>
  <c r="K132" i="13"/>
  <c r="L132" i="13" s="1"/>
  <c r="C506" i="13"/>
  <c r="C603" i="13" s="1"/>
  <c r="K144" i="13"/>
  <c r="L144" i="13" s="1"/>
  <c r="B260" i="13"/>
  <c r="C514" i="13" s="1"/>
  <c r="C609" i="13" s="1"/>
  <c r="K125" i="13"/>
  <c r="L125" i="13" s="1"/>
  <c r="B241" i="13"/>
  <c r="C499" i="13" s="1"/>
  <c r="C596" i="13" s="1"/>
  <c r="K124" i="13"/>
  <c r="L124" i="13" s="1"/>
  <c r="B240" i="13"/>
  <c r="C498" i="13" s="1"/>
  <c r="C595" i="13" s="1"/>
  <c r="I124" i="13"/>
  <c r="J124" i="13" s="1"/>
  <c r="C417" i="13"/>
  <c r="C422" i="13"/>
  <c r="C556" i="13"/>
  <c r="C131" i="13"/>
  <c r="C125" i="13"/>
  <c r="B215" i="13" s="1"/>
  <c r="B358" i="13" s="1"/>
  <c r="C129" i="13"/>
  <c r="B219" i="13" s="1"/>
  <c r="C134" i="13"/>
  <c r="B224" i="13" s="1"/>
  <c r="C132" i="13"/>
  <c r="C144" i="13"/>
  <c r="I144" i="13" s="1"/>
  <c r="J144" i="13" s="1"/>
  <c r="B634" i="17"/>
  <c r="H594" i="17"/>
  <c r="B631" i="17"/>
  <c r="B629" i="17"/>
  <c r="H581" i="17"/>
  <c r="B632" i="17"/>
  <c r="C392" i="13"/>
  <c r="C396" i="13" s="1"/>
  <c r="D596" i="13"/>
  <c r="D602" i="13"/>
  <c r="D600" i="13"/>
  <c r="D601" i="13"/>
  <c r="D605" i="13"/>
  <c r="D609" i="13"/>
  <c r="D595" i="13"/>
  <c r="C165" i="13"/>
  <c r="C166" i="13" s="1"/>
  <c r="C168" i="13" s="1"/>
  <c r="C101" i="13"/>
  <c r="C102" i="13" s="1"/>
  <c r="C104" i="13" s="1"/>
  <c r="C158" i="13"/>
  <c r="C159" i="13" s="1"/>
  <c r="C161" i="13" s="1"/>
  <c r="C94" i="13"/>
  <c r="C95" i="13" s="1"/>
  <c r="C97" i="13" s="1"/>
  <c r="C344" i="13"/>
  <c r="C348" i="13" s="1"/>
  <c r="C350" i="13" s="1"/>
  <c r="C289" i="13"/>
  <c r="C293" i="13" s="1"/>
  <c r="C295" i="13" s="1"/>
  <c r="C609" i="17" l="1"/>
  <c r="C610" i="17" s="1"/>
  <c r="F501" i="13"/>
  <c r="G501" i="13" s="1"/>
  <c r="H501" i="13" s="1"/>
  <c r="F505" i="13"/>
  <c r="F509" i="13"/>
  <c r="G509" i="13" s="1"/>
  <c r="H509" i="13" s="1"/>
  <c r="F513" i="13"/>
  <c r="G513" i="13" s="1"/>
  <c r="H513" i="13" s="1"/>
  <c r="F500" i="13"/>
  <c r="G500" i="13" s="1"/>
  <c r="H500" i="13" s="1"/>
  <c r="F512" i="13"/>
  <c r="G512" i="13" s="1"/>
  <c r="H512" i="13" s="1"/>
  <c r="F502" i="13"/>
  <c r="G502" i="13" s="1"/>
  <c r="H502" i="13" s="1"/>
  <c r="F506" i="13"/>
  <c r="F510" i="13"/>
  <c r="G510" i="13" s="1"/>
  <c r="H510" i="13" s="1"/>
  <c r="F508" i="13"/>
  <c r="F503" i="13"/>
  <c r="F507" i="13"/>
  <c r="G507" i="13" s="1"/>
  <c r="H507" i="13" s="1"/>
  <c r="F511" i="13"/>
  <c r="F504" i="13"/>
  <c r="C522" i="13"/>
  <c r="C525" i="13" s="1"/>
  <c r="C429" i="13"/>
  <c r="C575" i="13"/>
  <c r="C580" i="13" s="1"/>
  <c r="G596" i="13" s="1"/>
  <c r="C444" i="13"/>
  <c r="F499" i="13"/>
  <c r="C430" i="13"/>
  <c r="F514" i="13"/>
  <c r="C542" i="13"/>
  <c r="C547" i="13" s="1"/>
  <c r="C548" i="13" s="1"/>
  <c r="C434" i="13"/>
  <c r="C442" i="13"/>
  <c r="E442" i="13" s="1"/>
  <c r="F442" i="13" s="1"/>
  <c r="C431" i="13"/>
  <c r="E431" i="13" s="1"/>
  <c r="F431" i="13" s="1"/>
  <c r="C435" i="13"/>
  <c r="C439" i="13"/>
  <c r="C443" i="13"/>
  <c r="E443" i="13" s="1"/>
  <c r="F443" i="13" s="1"/>
  <c r="C432" i="13"/>
  <c r="C436" i="13"/>
  <c r="C438" i="13"/>
  <c r="E438" i="13" s="1"/>
  <c r="F438" i="13" s="1"/>
  <c r="C440" i="13"/>
  <c r="C433" i="13"/>
  <c r="E433" i="13" s="1"/>
  <c r="F433" i="13" s="1"/>
  <c r="C437" i="13"/>
  <c r="C441" i="13"/>
  <c r="E441" i="13" s="1"/>
  <c r="F441" i="13" s="1"/>
  <c r="G363" i="13"/>
  <c r="H363" i="13" s="1"/>
  <c r="G245" i="13"/>
  <c r="H245" i="13" s="1"/>
  <c r="E245" i="13"/>
  <c r="F245" i="13" s="1"/>
  <c r="G250" i="13"/>
  <c r="H250" i="13" s="1"/>
  <c r="E250" i="13"/>
  <c r="F250" i="13" s="1"/>
  <c r="C503" i="13"/>
  <c r="C600" i="13" s="1"/>
  <c r="G219" i="13"/>
  <c r="H219" i="13" s="1"/>
  <c r="E219" i="13"/>
  <c r="F219" i="13" s="1"/>
  <c r="C319" i="13"/>
  <c r="D319" i="13" s="1"/>
  <c r="D363" i="13" s="1"/>
  <c r="B456" i="13" s="1"/>
  <c r="E220" i="13"/>
  <c r="F220" i="13" s="1"/>
  <c r="G220" i="13"/>
  <c r="H220" i="13" s="1"/>
  <c r="G224" i="13"/>
  <c r="H224" i="13" s="1"/>
  <c r="E224" i="13"/>
  <c r="F224" i="13" s="1"/>
  <c r="B222" i="13"/>
  <c r="I132" i="13"/>
  <c r="J132" i="13" s="1"/>
  <c r="B221" i="13"/>
  <c r="I131" i="13"/>
  <c r="J131" i="13" s="1"/>
  <c r="B367" i="13"/>
  <c r="I134" i="13"/>
  <c r="J134" i="13" s="1"/>
  <c r="B362" i="13"/>
  <c r="I129" i="13"/>
  <c r="J129" i="13" s="1"/>
  <c r="C318" i="13"/>
  <c r="D318" i="13" s="1"/>
  <c r="D362" i="13" s="1"/>
  <c r="C322" i="13"/>
  <c r="D322" i="13" s="1"/>
  <c r="D367" i="13" s="1"/>
  <c r="C316" i="13"/>
  <c r="D316" i="13" s="1"/>
  <c r="D358" i="13" s="1"/>
  <c r="B357" i="13"/>
  <c r="C315" i="13"/>
  <c r="D315" i="13" s="1"/>
  <c r="D357" i="13" s="1"/>
  <c r="G240" i="13"/>
  <c r="H240" i="13" s="1"/>
  <c r="E240" i="13"/>
  <c r="F240" i="13" s="1"/>
  <c r="E260" i="13"/>
  <c r="F260" i="13" s="1"/>
  <c r="G260" i="13"/>
  <c r="H260" i="13" s="1"/>
  <c r="E241" i="13"/>
  <c r="F241" i="13" s="1"/>
  <c r="G241" i="13"/>
  <c r="H241" i="13" s="1"/>
  <c r="H248" i="13"/>
  <c r="H247" i="13"/>
  <c r="H246" i="13"/>
  <c r="B234" i="13"/>
  <c r="G215" i="13"/>
  <c r="H215" i="13" s="1"/>
  <c r="E215" i="13"/>
  <c r="F215" i="13" s="1"/>
  <c r="G214" i="13"/>
  <c r="H214" i="13" s="1"/>
  <c r="E214" i="13"/>
  <c r="F214" i="13" s="1"/>
  <c r="I125" i="13"/>
  <c r="J125" i="13" s="1"/>
  <c r="C391" i="13"/>
  <c r="D511" i="13"/>
  <c r="E511" i="13" s="1"/>
  <c r="C419" i="13"/>
  <c r="C421" i="13" s="1"/>
  <c r="C549" i="13" s="1"/>
  <c r="C398" i="13"/>
  <c r="C343" i="13"/>
  <c r="B523" i="13"/>
  <c r="C286" i="13"/>
  <c r="C288" i="13" s="1"/>
  <c r="C620" i="13" l="1"/>
  <c r="G600" i="13"/>
  <c r="G604" i="13"/>
  <c r="H604" i="13" s="1"/>
  <c r="I604" i="13" s="1"/>
  <c r="G608" i="13"/>
  <c r="H608" i="13" s="1"/>
  <c r="I608" i="13" s="1"/>
  <c r="G597" i="13"/>
  <c r="H597" i="13" s="1"/>
  <c r="I597" i="13" s="1"/>
  <c r="G605" i="13"/>
  <c r="G603" i="13"/>
  <c r="G601" i="13"/>
  <c r="G607" i="13"/>
  <c r="H607" i="13" s="1"/>
  <c r="G598" i="13"/>
  <c r="H598" i="13" s="1"/>
  <c r="I598" i="13" s="1"/>
  <c r="G602" i="13"/>
  <c r="G606" i="13"/>
  <c r="G599" i="13"/>
  <c r="H599" i="13" s="1"/>
  <c r="I599" i="13" s="1"/>
  <c r="G511" i="13"/>
  <c r="H511" i="13" s="1"/>
  <c r="G609" i="13"/>
  <c r="K367" i="13"/>
  <c r="L367" i="13" s="1"/>
  <c r="B460" i="13"/>
  <c r="K362" i="13"/>
  <c r="L362" i="13" s="1"/>
  <c r="B455" i="13"/>
  <c r="G456" i="13"/>
  <c r="H456" i="13" s="1"/>
  <c r="E456" i="13"/>
  <c r="F456" i="13" s="1"/>
  <c r="C552" i="13"/>
  <c r="C586" i="13" s="1"/>
  <c r="K363" i="13"/>
  <c r="L363" i="13" s="1"/>
  <c r="G362" i="13"/>
  <c r="H362" i="13" s="1"/>
  <c r="C362" i="13"/>
  <c r="C363" i="13"/>
  <c r="C367" i="13"/>
  <c r="G367" i="13"/>
  <c r="H367" i="13" s="1"/>
  <c r="B364" i="13"/>
  <c r="E221" i="13"/>
  <c r="F221" i="13" s="1"/>
  <c r="G221" i="13"/>
  <c r="H221" i="13" s="1"/>
  <c r="C321" i="13"/>
  <c r="D321" i="13" s="1"/>
  <c r="D365" i="13" s="1"/>
  <c r="E222" i="13"/>
  <c r="F222" i="13" s="1"/>
  <c r="G222" i="13"/>
  <c r="H222" i="13" s="1"/>
  <c r="B365" i="13"/>
  <c r="C320" i="13"/>
  <c r="D320" i="13" s="1"/>
  <c r="D606" i="13"/>
  <c r="F606" i="13" s="1"/>
  <c r="K358" i="13"/>
  <c r="L358" i="13" s="1"/>
  <c r="B451" i="13"/>
  <c r="K357" i="13"/>
  <c r="L357" i="13" s="1"/>
  <c r="B450" i="13"/>
  <c r="G357" i="13"/>
  <c r="H357" i="13" s="1"/>
  <c r="C357" i="13"/>
  <c r="C327" i="13"/>
  <c r="D327" i="13" s="1"/>
  <c r="B372" i="13"/>
  <c r="G358" i="13"/>
  <c r="H358" i="13" s="1"/>
  <c r="C358" i="13"/>
  <c r="B430" i="13" s="1"/>
  <c r="G234" i="13"/>
  <c r="H234" i="13" s="1"/>
  <c r="E234" i="13"/>
  <c r="F234" i="13" s="1"/>
  <c r="F498" i="13"/>
  <c r="C418" i="13"/>
  <c r="C584" i="13"/>
  <c r="C423" i="13"/>
  <c r="D523" i="13"/>
  <c r="E523" i="13" s="1"/>
  <c r="B525" i="13"/>
  <c r="H606" i="13" l="1"/>
  <c r="I606" i="13" s="1"/>
  <c r="I607" i="13"/>
  <c r="B648" i="13"/>
  <c r="C622" i="13"/>
  <c r="C624" i="13" s="1"/>
  <c r="C636" i="13"/>
  <c r="C587" i="13"/>
  <c r="C561" i="13"/>
  <c r="C570" i="13"/>
  <c r="C571" i="13" s="1"/>
  <c r="C614" i="13" s="1"/>
  <c r="I363" i="13"/>
  <c r="J363" i="13" s="1"/>
  <c r="B435" i="13"/>
  <c r="B504" i="13" s="1"/>
  <c r="E504" i="13" s="1"/>
  <c r="G504" i="13" s="1"/>
  <c r="H504" i="13" s="1"/>
  <c r="I362" i="13"/>
  <c r="J362" i="13" s="1"/>
  <c r="B434" i="13"/>
  <c r="B503" i="13" s="1"/>
  <c r="E503" i="13" s="1"/>
  <c r="G503" i="13" s="1"/>
  <c r="H503" i="13" s="1"/>
  <c r="G460" i="13"/>
  <c r="H460" i="13" s="1"/>
  <c r="E460" i="13"/>
  <c r="F460" i="13" s="1"/>
  <c r="K365" i="13"/>
  <c r="L365" i="13" s="1"/>
  <c r="B458" i="13"/>
  <c r="I367" i="13"/>
  <c r="J367" i="13" s="1"/>
  <c r="B439" i="13"/>
  <c r="E439" i="13" s="1"/>
  <c r="F439" i="13" s="1"/>
  <c r="G455" i="13"/>
  <c r="H455" i="13" s="1"/>
  <c r="E455" i="13"/>
  <c r="F455" i="13" s="1"/>
  <c r="G365" i="13"/>
  <c r="H365" i="13" s="1"/>
  <c r="C365" i="13"/>
  <c r="G364" i="13"/>
  <c r="H364" i="13" s="1"/>
  <c r="D364" i="13"/>
  <c r="G451" i="13"/>
  <c r="H451" i="13" s="1"/>
  <c r="E451" i="13"/>
  <c r="F451" i="13" s="1"/>
  <c r="G450" i="13"/>
  <c r="H450" i="13" s="1"/>
  <c r="E450" i="13"/>
  <c r="F450" i="13" s="1"/>
  <c r="I358" i="13"/>
  <c r="J358" i="13" s="1"/>
  <c r="B499" i="13"/>
  <c r="I357" i="13"/>
  <c r="J357" i="13" s="1"/>
  <c r="B429" i="13"/>
  <c r="B498" i="13" s="1"/>
  <c r="D372" i="13"/>
  <c r="K372" i="13" s="1"/>
  <c r="L372" i="13" s="1"/>
  <c r="G372" i="13"/>
  <c r="H372" i="13" s="1"/>
  <c r="D525" i="13"/>
  <c r="E525" i="13" s="1"/>
  <c r="D522" i="13"/>
  <c r="E522" i="13" s="1"/>
  <c r="G595" i="13"/>
  <c r="C625" i="13" l="1"/>
  <c r="C581" i="13"/>
  <c r="C582" i="13" s="1"/>
  <c r="C588" i="13"/>
  <c r="C589" i="13" s="1"/>
  <c r="B508" i="13"/>
  <c r="E508" i="13" s="1"/>
  <c r="G508" i="13" s="1"/>
  <c r="H508" i="13" s="1"/>
  <c r="E435" i="13"/>
  <c r="F435" i="13" s="1"/>
  <c r="G435" i="13"/>
  <c r="H435" i="13" s="1"/>
  <c r="I365" i="13"/>
  <c r="J365" i="13" s="1"/>
  <c r="B437" i="13"/>
  <c r="K364" i="13"/>
  <c r="L364" i="13" s="1"/>
  <c r="B457" i="13"/>
  <c r="E458" i="13"/>
  <c r="F458" i="13" s="1"/>
  <c r="G458" i="13"/>
  <c r="H458" i="13" s="1"/>
  <c r="G434" i="13"/>
  <c r="H434" i="13" s="1"/>
  <c r="E434" i="13"/>
  <c r="F434" i="13" s="1"/>
  <c r="B601" i="13"/>
  <c r="F601" i="13" s="1"/>
  <c r="H601" i="13" s="1"/>
  <c r="I601" i="13" s="1"/>
  <c r="B506" i="13"/>
  <c r="C364" i="13"/>
  <c r="B436" i="13" s="1"/>
  <c r="B600" i="13"/>
  <c r="F600" i="13" s="1"/>
  <c r="H600" i="13" s="1"/>
  <c r="I600" i="13" s="1"/>
  <c r="E498" i="13"/>
  <c r="G498" i="13" s="1"/>
  <c r="H498" i="13" s="1"/>
  <c r="B595" i="13"/>
  <c r="F595" i="13" s="1"/>
  <c r="H595" i="13" s="1"/>
  <c r="I595" i="13" s="1"/>
  <c r="E499" i="13"/>
  <c r="G499" i="13" s="1"/>
  <c r="H499" i="13" s="1"/>
  <c r="B596" i="13"/>
  <c r="F596" i="13" s="1"/>
  <c r="H596" i="13" s="1"/>
  <c r="B465" i="13"/>
  <c r="G430" i="13"/>
  <c r="H430" i="13" s="1"/>
  <c r="E430" i="13"/>
  <c r="F430" i="13" s="1"/>
  <c r="C372" i="13"/>
  <c r="G429" i="13"/>
  <c r="H429" i="13" s="1"/>
  <c r="E429" i="13"/>
  <c r="F429" i="13" s="1"/>
  <c r="G439" i="13"/>
  <c r="H439" i="13" s="1"/>
  <c r="C637" i="13" l="1"/>
  <c r="C639" i="13" s="1"/>
  <c r="B645" i="13" s="1"/>
  <c r="B605" i="13"/>
  <c r="B603" i="13"/>
  <c r="F603" i="13" s="1"/>
  <c r="H603" i="13" s="1"/>
  <c r="I603" i="13" s="1"/>
  <c r="E506" i="13"/>
  <c r="G506" i="13" s="1"/>
  <c r="H506" i="13" s="1"/>
  <c r="E457" i="13"/>
  <c r="F457" i="13" s="1"/>
  <c r="G457" i="13"/>
  <c r="H457" i="13" s="1"/>
  <c r="E436" i="13"/>
  <c r="F436" i="13" s="1"/>
  <c r="G436" i="13"/>
  <c r="G437" i="13"/>
  <c r="H437" i="13" s="1"/>
  <c r="E437" i="13"/>
  <c r="F437" i="13" s="1"/>
  <c r="I364" i="13"/>
  <c r="J364" i="13" s="1"/>
  <c r="B646" i="13"/>
  <c r="B644" i="13"/>
  <c r="I596" i="13"/>
  <c r="G465" i="13"/>
  <c r="H465" i="13" s="1"/>
  <c r="E465" i="13"/>
  <c r="F465" i="13" s="1"/>
  <c r="I372" i="13"/>
  <c r="J372" i="13" s="1"/>
  <c r="B444" i="13"/>
  <c r="B514" i="13" s="1"/>
  <c r="F605" i="13" l="1"/>
  <c r="H605" i="13" s="1"/>
  <c r="I605" i="13" s="1"/>
  <c r="B505" i="13"/>
  <c r="E505" i="13" s="1"/>
  <c r="G505" i="13" s="1"/>
  <c r="H505" i="13" s="1"/>
  <c r="H436" i="13"/>
  <c r="E514" i="13"/>
  <c r="G514" i="13" s="1"/>
  <c r="H514" i="13" s="1"/>
  <c r="B609" i="13"/>
  <c r="F609" i="13" s="1"/>
  <c r="H609" i="13" s="1"/>
  <c r="G444" i="13"/>
  <c r="H444" i="13" s="1"/>
  <c r="E444" i="13"/>
  <c r="F444" i="13" s="1"/>
  <c r="B647" i="13" l="1"/>
  <c r="B602" i="13"/>
  <c r="F602" i="13" s="1"/>
  <c r="H602" i="13" s="1"/>
  <c r="I602" i="13" s="1"/>
  <c r="B649" i="13"/>
  <c r="I609" i="13"/>
  <c r="B187" i="55"/>
  <c r="B182" i="55"/>
  <c r="B221" i="55"/>
  <c r="B219" i="55"/>
  <c r="C127" i="55"/>
  <c r="C128" i="55" s="1"/>
  <c r="B188" i="55"/>
  <c r="B220" i="55"/>
  <c r="B223" i="55"/>
  <c r="C485" i="55" s="1"/>
  <c r="C580" i="55" s="1"/>
  <c r="B213" i="55"/>
  <c r="B217" i="55"/>
  <c r="C483" i="55" s="1"/>
  <c r="C578" i="55" s="1"/>
  <c r="B207" i="55"/>
  <c r="B205" i="55"/>
  <c r="C142" i="55"/>
  <c r="C143" i="55" s="1"/>
  <c r="C144" i="55" l="1"/>
  <c r="B115" i="2"/>
  <c r="E73" i="2"/>
  <c r="C161" i="55"/>
  <c r="C129" i="55"/>
  <c r="C168" i="55"/>
  <c r="B311" i="55"/>
  <c r="B316" i="55"/>
  <c r="C471" i="55"/>
  <c r="C568" i="55" s="1"/>
  <c r="B211" i="55"/>
  <c r="B210" i="55"/>
  <c r="B203" i="55"/>
  <c r="B204" i="55"/>
  <c r="B191" i="55"/>
  <c r="B180" i="55"/>
  <c r="B181" i="55"/>
  <c r="B192" i="55"/>
  <c r="B184" i="55"/>
  <c r="B178" i="55"/>
  <c r="B197" i="55"/>
  <c r="B183" i="55"/>
  <c r="B185" i="55"/>
  <c r="B215" i="55"/>
  <c r="B214" i="55"/>
  <c r="B189" i="55"/>
  <c r="B190" i="55" s="1"/>
  <c r="B222" i="55"/>
  <c r="B218" i="55"/>
  <c r="B317" i="55"/>
  <c r="B206" i="55"/>
  <c r="C473" i="55"/>
  <c r="C570" i="55" s="1"/>
  <c r="B208" i="55"/>
  <c r="B212" i="55"/>
  <c r="C479" i="55"/>
  <c r="C576" i="55" s="1"/>
  <c r="B209" i="55"/>
  <c r="B177" i="55"/>
  <c r="C484" i="55"/>
  <c r="C579" i="55" s="1"/>
  <c r="C271" i="55"/>
  <c r="B186" i="55"/>
  <c r="B196" i="55"/>
  <c r="B194" i="55"/>
  <c r="B195" i="55"/>
  <c r="B193" i="55"/>
  <c r="B179" i="55"/>
  <c r="C266" i="55"/>
  <c r="D266" i="55" s="1"/>
  <c r="D311" i="55" s="1"/>
  <c r="B425" i="55" s="1"/>
  <c r="C270" i="55"/>
  <c r="D270" i="55" s="1"/>
  <c r="D316" i="55" s="1"/>
  <c r="B430" i="55" s="1"/>
  <c r="C481" i="55" l="1"/>
  <c r="C268" i="55"/>
  <c r="D268" i="55" s="1"/>
  <c r="D313" i="55" s="1"/>
  <c r="B427" i="55" s="1"/>
  <c r="B313" i="55"/>
  <c r="B320" i="55"/>
  <c r="C274" i="55"/>
  <c r="D274" i="55" s="1"/>
  <c r="D320" i="55" s="1"/>
  <c r="B434" i="55" s="1"/>
  <c r="C469" i="55"/>
  <c r="C566" i="55" s="1"/>
  <c r="C316" i="55"/>
  <c r="B408" i="55" s="1"/>
  <c r="B306" i="55"/>
  <c r="C263" i="55"/>
  <c r="D263" i="55" s="1"/>
  <c r="D306" i="55" s="1"/>
  <c r="B420" i="55" s="1"/>
  <c r="C474" i="55"/>
  <c r="C571" i="55" s="1"/>
  <c r="C269" i="55"/>
  <c r="D269" i="55" s="1"/>
  <c r="D314" i="55" s="1"/>
  <c r="B428" i="55" s="1"/>
  <c r="B314" i="55"/>
  <c r="C476" i="55"/>
  <c r="C573" i="55" s="1"/>
  <c r="C478" i="55"/>
  <c r="C575" i="55" s="1"/>
  <c r="B308" i="55"/>
  <c r="C475" i="55"/>
  <c r="C572" i="55" s="1"/>
  <c r="B318" i="55"/>
  <c r="C272" i="55"/>
  <c r="D272" i="55" s="1"/>
  <c r="D318" i="55" s="1"/>
  <c r="B432" i="55" s="1"/>
  <c r="B312" i="55"/>
  <c r="C267" i="55"/>
  <c r="D267" i="55" s="1"/>
  <c r="D312" i="55" s="1"/>
  <c r="B426" i="55" s="1"/>
  <c r="C276" i="55"/>
  <c r="D276" i="55" s="1"/>
  <c r="D322" i="55" s="1"/>
  <c r="B436" i="55" s="1"/>
  <c r="B322" i="55"/>
  <c r="B310" i="55"/>
  <c r="C477" i="55"/>
  <c r="C574" i="55" s="1"/>
  <c r="C133" i="55"/>
  <c r="C131" i="55"/>
  <c r="D271" i="55"/>
  <c r="D317" i="55" s="1"/>
  <c r="C472" i="55"/>
  <c r="C569" i="55" s="1"/>
  <c r="B216" i="55"/>
  <c r="C480" i="55"/>
  <c r="C264" i="55"/>
  <c r="D264" i="55" s="1"/>
  <c r="D307" i="55" s="1"/>
  <c r="B421" i="55" s="1"/>
  <c r="B307" i="55"/>
  <c r="B309" i="55"/>
  <c r="C265" i="55"/>
  <c r="D265" i="55" s="1"/>
  <c r="D309" i="55" s="1"/>
  <c r="B423" i="55" s="1"/>
  <c r="C470" i="55"/>
  <c r="C567" i="55" s="1"/>
  <c r="C311" i="55"/>
  <c r="B403" i="55" s="1"/>
  <c r="C317" i="55" l="1"/>
  <c r="B409" i="55" s="1"/>
  <c r="B431" i="55"/>
  <c r="C482" i="55"/>
  <c r="C577" i="55" s="1"/>
  <c r="C273" i="55"/>
  <c r="D273" i="55" s="1"/>
  <c r="C307" i="55"/>
  <c r="B399" i="55" s="1"/>
  <c r="C310" i="55"/>
  <c r="B402" i="55" s="1"/>
  <c r="C318" i="55"/>
  <c r="B410" i="55" s="1"/>
  <c r="C308" i="55"/>
  <c r="B400" i="55" s="1"/>
  <c r="C314" i="55"/>
  <c r="B406" i="55" s="1"/>
  <c r="B319" i="55"/>
  <c r="C313" i="55"/>
  <c r="B405" i="55" s="1"/>
  <c r="C137" i="55"/>
  <c r="C135" i="55"/>
  <c r="C514" i="55" s="1"/>
  <c r="C309" i="55"/>
  <c r="B401" i="55" s="1"/>
  <c r="C312" i="55"/>
  <c r="B404" i="55" s="1"/>
  <c r="D319" i="55"/>
  <c r="B433" i="55" s="1"/>
  <c r="C322" i="55"/>
  <c r="B414" i="55" s="1"/>
  <c r="C306" i="55"/>
  <c r="B398" i="55" s="1"/>
  <c r="C320" i="55"/>
  <c r="B412" i="55" s="1"/>
  <c r="B479" i="55" l="1"/>
  <c r="B474" i="55"/>
  <c r="B480" i="55"/>
  <c r="C150" i="55"/>
  <c r="C547" i="55" s="1"/>
  <c r="C319" i="55"/>
  <c r="B411" i="55" s="1"/>
  <c r="B469" i="55" l="1"/>
  <c r="B470" i="55"/>
  <c r="E480" i="55"/>
  <c r="B483" i="55"/>
  <c r="B576" i="55"/>
  <c r="F576" i="55" s="1"/>
  <c r="E479" i="55"/>
  <c r="B476" i="55"/>
  <c r="B473" i="55"/>
  <c r="B472" i="55"/>
  <c r="B571" i="55"/>
  <c r="F571" i="55" s="1"/>
  <c r="E474" i="55"/>
  <c r="B471" i="55"/>
  <c r="C159" i="55"/>
  <c r="C162" i="55" s="1"/>
  <c r="C207" i="55"/>
  <c r="E207" i="55" s="1"/>
  <c r="F207" i="55" s="1"/>
  <c r="C216" i="55"/>
  <c r="E216" i="55" s="1"/>
  <c r="F216" i="55" s="1"/>
  <c r="C218" i="55"/>
  <c r="E218" i="55" s="1"/>
  <c r="F218" i="55" s="1"/>
  <c r="C205" i="55"/>
  <c r="E205" i="55" s="1"/>
  <c r="F205" i="55" s="1"/>
  <c r="C212" i="55"/>
  <c r="E212" i="55" s="1"/>
  <c r="F212" i="55" s="1"/>
  <c r="C222" i="55"/>
  <c r="E222" i="55" s="1"/>
  <c r="F222" i="55" s="1"/>
  <c r="C203" i="55"/>
  <c r="E203" i="55" s="1"/>
  <c r="F203" i="55" s="1"/>
  <c r="C210" i="55"/>
  <c r="E210" i="55" s="1"/>
  <c r="F210" i="55" s="1"/>
  <c r="C214" i="55"/>
  <c r="E214" i="55" s="1"/>
  <c r="F214" i="55" s="1"/>
  <c r="C211" i="55"/>
  <c r="E211" i="55" s="1"/>
  <c r="F211" i="55" s="1"/>
  <c r="C204" i="55"/>
  <c r="E204" i="55" s="1"/>
  <c r="F204" i="55" s="1"/>
  <c r="C213" i="55"/>
  <c r="E213" i="55" s="1"/>
  <c r="F213" i="55" s="1"/>
  <c r="C217" i="55"/>
  <c r="E217" i="55" s="1"/>
  <c r="F217" i="55" s="1"/>
  <c r="C148" i="55"/>
  <c r="C209" i="55"/>
  <c r="E209" i="55" s="1"/>
  <c r="F209" i="55" s="1"/>
  <c r="C221" i="55"/>
  <c r="E221" i="55" s="1"/>
  <c r="F221" i="55" s="1"/>
  <c r="C220" i="55"/>
  <c r="E220" i="55" s="1"/>
  <c r="F220" i="55" s="1"/>
  <c r="C219" i="55"/>
  <c r="E219" i="55" s="1"/>
  <c r="F219" i="55" s="1"/>
  <c r="C215" i="55"/>
  <c r="E215" i="55" s="1"/>
  <c r="F215" i="55" s="1"/>
  <c r="C208" i="55"/>
  <c r="E208" i="55" s="1"/>
  <c r="F208" i="55" s="1"/>
  <c r="C223" i="55"/>
  <c r="E223" i="55" s="1"/>
  <c r="F223" i="55" s="1"/>
  <c r="C206" i="55"/>
  <c r="E206" i="55" s="1"/>
  <c r="F206" i="55" s="1"/>
  <c r="B477" i="55"/>
  <c r="B475" i="55"/>
  <c r="B485" i="55"/>
  <c r="B481" i="55"/>
  <c r="E481" i="55" s="1"/>
  <c r="C94" i="2" l="1"/>
  <c r="D73" i="2"/>
  <c r="C537" i="55"/>
  <c r="C528" i="55"/>
  <c r="C342" i="55"/>
  <c r="C286" i="55"/>
  <c r="C180" i="55"/>
  <c r="E180" i="55" s="1"/>
  <c r="F180" i="55" s="1"/>
  <c r="C194" i="55"/>
  <c r="E194" i="55" s="1"/>
  <c r="F194" i="55" s="1"/>
  <c r="C179" i="55"/>
  <c r="E179" i="55" s="1"/>
  <c r="F179" i="55" s="1"/>
  <c r="C181" i="55"/>
  <c r="E181" i="55" s="1"/>
  <c r="F181" i="55" s="1"/>
  <c r="C197" i="55"/>
  <c r="E197" i="55" s="1"/>
  <c r="F197" i="55" s="1"/>
  <c r="C192" i="55"/>
  <c r="E192" i="55" s="1"/>
  <c r="F192" i="55" s="1"/>
  <c r="C196" i="55"/>
  <c r="E196" i="55" s="1"/>
  <c r="F196" i="55" s="1"/>
  <c r="C178" i="55"/>
  <c r="E178" i="55" s="1"/>
  <c r="F178" i="55" s="1"/>
  <c r="C182" i="55"/>
  <c r="E182" i="55" s="1"/>
  <c r="F182" i="55" s="1"/>
  <c r="C188" i="55"/>
  <c r="E188" i="55" s="1"/>
  <c r="F188" i="55" s="1"/>
  <c r="C186" i="55"/>
  <c r="E186" i="55" s="1"/>
  <c r="F186" i="55" s="1"/>
  <c r="C185" i="55"/>
  <c r="E185" i="55" s="1"/>
  <c r="F185" i="55" s="1"/>
  <c r="C193" i="55"/>
  <c r="E193" i="55" s="1"/>
  <c r="F193" i="55" s="1"/>
  <c r="C183" i="55"/>
  <c r="E183" i="55" s="1"/>
  <c r="F183" i="55" s="1"/>
  <c r="C177" i="55"/>
  <c r="E177" i="55" s="1"/>
  <c r="F177" i="55" s="1"/>
  <c r="C195" i="55"/>
  <c r="E195" i="55" s="1"/>
  <c r="F195" i="55" s="1"/>
  <c r="C187" i="55"/>
  <c r="E187" i="55" s="1"/>
  <c r="F187" i="55" s="1"/>
  <c r="C190" i="55"/>
  <c r="E190" i="55" s="1"/>
  <c r="F190" i="55" s="1"/>
  <c r="C189" i="55"/>
  <c r="E189" i="55" s="1"/>
  <c r="F189" i="55" s="1"/>
  <c r="C191" i="55"/>
  <c r="E191" i="55" s="1"/>
  <c r="F191" i="55" s="1"/>
  <c r="C184" i="55"/>
  <c r="E184" i="55" s="1"/>
  <c r="F184" i="55" s="1"/>
  <c r="B567" i="55"/>
  <c r="F567" i="55" s="1"/>
  <c r="E470" i="55"/>
  <c r="E483" i="55"/>
  <c r="B578" i="55"/>
  <c r="F578" i="55" s="1"/>
  <c r="B569" i="55"/>
  <c r="F569" i="55" s="1"/>
  <c r="E472" i="55"/>
  <c r="B580" i="55"/>
  <c r="F580" i="55" s="1"/>
  <c r="E485" i="55"/>
  <c r="B572" i="55"/>
  <c r="F572" i="55" s="1"/>
  <c r="E475" i="55"/>
  <c r="D221" i="55"/>
  <c r="G221" i="55" s="1"/>
  <c r="H221" i="55" s="1"/>
  <c r="D218" i="55"/>
  <c r="G218" i="55" s="1"/>
  <c r="H218" i="55" s="1"/>
  <c r="D214" i="55"/>
  <c r="G214" i="55" s="1"/>
  <c r="H214" i="55" s="1"/>
  <c r="D203" i="55"/>
  <c r="G203" i="55" s="1"/>
  <c r="H203" i="55" s="1"/>
  <c r="D209" i="55"/>
  <c r="G209" i="55" s="1"/>
  <c r="H209" i="55" s="1"/>
  <c r="D204" i="55"/>
  <c r="G204" i="55" s="1"/>
  <c r="H204" i="55" s="1"/>
  <c r="D207" i="55"/>
  <c r="G207" i="55" s="1"/>
  <c r="H207" i="55" s="1"/>
  <c r="D223" i="55"/>
  <c r="G223" i="55" s="1"/>
  <c r="H223" i="55" s="1"/>
  <c r="D215" i="55"/>
  <c r="G215" i="55" s="1"/>
  <c r="H215" i="55" s="1"/>
  <c r="D211" i="55"/>
  <c r="G211" i="55" s="1"/>
  <c r="H211" i="55" s="1"/>
  <c r="D205" i="55"/>
  <c r="G205" i="55" s="1"/>
  <c r="H205" i="55" s="1"/>
  <c r="D217" i="55"/>
  <c r="G217" i="55" s="1"/>
  <c r="H217" i="55" s="1"/>
  <c r="C152" i="55"/>
  <c r="D210" i="55"/>
  <c r="G210" i="55" s="1"/>
  <c r="H210" i="55" s="1"/>
  <c r="D213" i="55"/>
  <c r="G213" i="55" s="1"/>
  <c r="H213" i="55" s="1"/>
  <c r="D220" i="55"/>
  <c r="G220" i="55" s="1"/>
  <c r="H220" i="55" s="1"/>
  <c r="D206" i="55"/>
  <c r="G206" i="55" s="1"/>
  <c r="H206" i="55" s="1"/>
  <c r="D212" i="55"/>
  <c r="G212" i="55" s="1"/>
  <c r="H212" i="55" s="1"/>
  <c r="D208" i="55"/>
  <c r="G208" i="55" s="1"/>
  <c r="H208" i="55" s="1"/>
  <c r="D222" i="55"/>
  <c r="G222" i="55" s="1"/>
  <c r="H222" i="55" s="1"/>
  <c r="D216" i="55"/>
  <c r="G216" i="55" s="1"/>
  <c r="H216" i="55" s="1"/>
  <c r="D219" i="55"/>
  <c r="G219" i="55" s="1"/>
  <c r="H219" i="55" s="1"/>
  <c r="C147" i="55"/>
  <c r="B118" i="55" s="1"/>
  <c r="C146" i="55"/>
  <c r="E473" i="55"/>
  <c r="B570" i="55"/>
  <c r="F570" i="55" s="1"/>
  <c r="B573" i="55"/>
  <c r="F573" i="55" s="1"/>
  <c r="E476" i="55"/>
  <c r="B482" i="55"/>
  <c r="B566" i="55"/>
  <c r="F566" i="55" s="1"/>
  <c r="E469" i="55"/>
  <c r="E477" i="55"/>
  <c r="B574" i="55"/>
  <c r="F574" i="55" s="1"/>
  <c r="E471" i="55"/>
  <c r="B568" i="55"/>
  <c r="F568" i="55" s="1"/>
  <c r="C73" i="2" l="1"/>
  <c r="B80" i="2"/>
  <c r="C166" i="55"/>
  <c r="C169" i="55" s="1"/>
  <c r="C293" i="55" s="1"/>
  <c r="C521" i="55"/>
  <c r="C556" i="55"/>
  <c r="C618" i="55"/>
  <c r="B577" i="55"/>
  <c r="F577" i="55" s="1"/>
  <c r="E482" i="55"/>
  <c r="B493" i="55"/>
  <c r="D197" i="55"/>
  <c r="G197" i="55" s="1"/>
  <c r="H197" i="55" s="1"/>
  <c r="D179" i="55"/>
  <c r="G179" i="55" s="1"/>
  <c r="H179" i="55" s="1"/>
  <c r="D189" i="55"/>
  <c r="G189" i="55" s="1"/>
  <c r="H189" i="55" s="1"/>
  <c r="C170" i="55"/>
  <c r="D194" i="55"/>
  <c r="G194" i="55" s="1"/>
  <c r="H194" i="55" s="1"/>
  <c r="D186" i="55"/>
  <c r="G186" i="55" s="1"/>
  <c r="H186" i="55" s="1"/>
  <c r="C237" i="55"/>
  <c r="D188" i="55"/>
  <c r="G188" i="55" s="1"/>
  <c r="H188" i="55" s="1"/>
  <c r="D178" i="55"/>
  <c r="G178" i="55" s="1"/>
  <c r="H178" i="55" s="1"/>
  <c r="D184" i="55"/>
  <c r="G184" i="55" s="1"/>
  <c r="H184" i="55" s="1"/>
  <c r="D192" i="55"/>
  <c r="G192" i="55" s="1"/>
  <c r="H192" i="55" s="1"/>
  <c r="D181" i="55"/>
  <c r="G181" i="55" s="1"/>
  <c r="H181" i="55" s="1"/>
  <c r="D180" i="55"/>
  <c r="G180" i="55" s="1"/>
  <c r="H180" i="55" s="1"/>
  <c r="D190" i="55"/>
  <c r="G190" i="55" s="1"/>
  <c r="H190" i="55" s="1"/>
  <c r="D191" i="55"/>
  <c r="G191" i="55" s="1"/>
  <c r="H191" i="55" s="1"/>
  <c r="D183" i="55"/>
  <c r="G183" i="55" s="1"/>
  <c r="H183" i="55" s="1"/>
  <c r="D195" i="55"/>
  <c r="G195" i="55" s="1"/>
  <c r="H195" i="55" s="1"/>
  <c r="C163" i="55"/>
  <c r="C164" i="55" s="1"/>
  <c r="D187" i="55"/>
  <c r="G187" i="55" s="1"/>
  <c r="H187" i="55" s="1"/>
  <c r="D177" i="55"/>
  <c r="G177" i="55" s="1"/>
  <c r="H177" i="55" s="1"/>
  <c r="D185" i="55"/>
  <c r="G185" i="55" s="1"/>
  <c r="H185" i="55" s="1"/>
  <c r="C145" i="55"/>
  <c r="A118" i="55" s="1"/>
  <c r="D182" i="55"/>
  <c r="G182" i="55" s="1"/>
  <c r="H182" i="55" s="1"/>
  <c r="D193" i="55"/>
  <c r="G193" i="55" s="1"/>
  <c r="H193" i="55" s="1"/>
  <c r="D196" i="55"/>
  <c r="G196" i="55" s="1"/>
  <c r="H196" i="55" s="1"/>
  <c r="C171" i="55" l="1"/>
  <c r="C349" i="55"/>
  <c r="B496" i="55"/>
  <c r="C239" i="55"/>
  <c r="C241" i="55" s="1"/>
  <c r="C243" i="55" s="1"/>
  <c r="C280" i="55"/>
  <c r="C80" i="2" l="1"/>
  <c r="F108" i="2"/>
  <c r="C275" i="55"/>
  <c r="D275" i="55" s="1"/>
  <c r="D321" i="55" s="1"/>
  <c r="B435" i="55" s="1"/>
  <c r="B321" i="55"/>
  <c r="C295" i="55"/>
  <c r="C296" i="55" s="1"/>
  <c r="C297" i="55" s="1"/>
  <c r="C344" i="55"/>
  <c r="C345" i="55" s="1"/>
  <c r="C346" i="55" s="1"/>
  <c r="C607" i="55"/>
  <c r="C281" i="55"/>
  <c r="C282" i="55" s="1"/>
  <c r="C288" i="55"/>
  <c r="C289" i="55" s="1"/>
  <c r="C290" i="55" s="1"/>
  <c r="C351" i="55"/>
  <c r="C352" i="55" s="1"/>
  <c r="C353" i="55" s="1"/>
  <c r="B315" i="55"/>
  <c r="B87" i="2" l="1"/>
  <c r="D80" i="2"/>
  <c r="F310" i="55"/>
  <c r="C291" i="55"/>
  <c r="C292" i="55" s="1"/>
  <c r="F322" i="55"/>
  <c r="F306" i="55"/>
  <c r="F308" i="55"/>
  <c r="F320" i="55"/>
  <c r="F309" i="55"/>
  <c r="F321" i="55"/>
  <c r="K321" i="55" s="1"/>
  <c r="L321" i="55" s="1"/>
  <c r="F314" i="55"/>
  <c r="C338" i="55"/>
  <c r="F316" i="55"/>
  <c r="C347" i="55"/>
  <c r="C348" i="55" s="1"/>
  <c r="F311" i="55"/>
  <c r="F313" i="55"/>
  <c r="F315" i="55"/>
  <c r="K315" i="55" s="1"/>
  <c r="L315" i="55" s="1"/>
  <c r="F312" i="55"/>
  <c r="F317" i="55"/>
  <c r="C298" i="55"/>
  <c r="C299" i="55" s="1"/>
  <c r="F318" i="55"/>
  <c r="C354" i="55"/>
  <c r="C355" i="55" s="1"/>
  <c r="F307" i="55"/>
  <c r="F319" i="55"/>
  <c r="C388" i="55"/>
  <c r="C315" i="55"/>
  <c r="B407" i="55" s="1"/>
  <c r="C321" i="55"/>
  <c r="B413" i="55" s="1"/>
  <c r="E307" i="55"/>
  <c r="G307" i="55" s="1"/>
  <c r="H307" i="55" s="1"/>
  <c r="E313" i="55"/>
  <c r="G313" i="55" s="1"/>
  <c r="H313" i="55" s="1"/>
  <c r="E320" i="55"/>
  <c r="G320" i="55" s="1"/>
  <c r="H320" i="55" s="1"/>
  <c r="E308" i="55"/>
  <c r="G308" i="55" s="1"/>
  <c r="H308" i="55" s="1"/>
  <c r="C383" i="55"/>
  <c r="E316" i="55"/>
  <c r="G316" i="55" s="1"/>
  <c r="H316" i="55" s="1"/>
  <c r="E319" i="55"/>
  <c r="G319" i="55" s="1"/>
  <c r="H319" i="55" s="1"/>
  <c r="E315" i="55"/>
  <c r="G315" i="55" s="1"/>
  <c r="H315" i="55" s="1"/>
  <c r="E311" i="55"/>
  <c r="G311" i="55" s="1"/>
  <c r="H311" i="55" s="1"/>
  <c r="E312" i="55"/>
  <c r="G312" i="55" s="1"/>
  <c r="H312" i="55" s="1"/>
  <c r="E322" i="55"/>
  <c r="G322" i="55" s="1"/>
  <c r="H322" i="55" s="1"/>
  <c r="E321" i="55"/>
  <c r="G321" i="55" s="1"/>
  <c r="H321" i="55" s="1"/>
  <c r="E318" i="55"/>
  <c r="G318" i="55" s="1"/>
  <c r="H318" i="55" s="1"/>
  <c r="E317" i="55"/>
  <c r="G317" i="55" s="1"/>
  <c r="H317" i="55" s="1"/>
  <c r="E310" i="55"/>
  <c r="G310" i="55" s="1"/>
  <c r="H310" i="55" s="1"/>
  <c r="E309" i="55"/>
  <c r="G309" i="55" s="1"/>
  <c r="H309" i="55" s="1"/>
  <c r="E314" i="55"/>
  <c r="G314" i="55" s="1"/>
  <c r="H314" i="55" s="1"/>
  <c r="E306" i="55"/>
  <c r="G306" i="55" s="1"/>
  <c r="H306" i="55" s="1"/>
  <c r="K307" i="55" l="1"/>
  <c r="L307" i="55" s="1"/>
  <c r="I307" i="55"/>
  <c r="J307" i="55" s="1"/>
  <c r="K317" i="55"/>
  <c r="L317" i="55" s="1"/>
  <c r="I317" i="55"/>
  <c r="J317" i="55" s="1"/>
  <c r="K311" i="55"/>
  <c r="L311" i="55" s="1"/>
  <c r="I311" i="55"/>
  <c r="J311" i="55" s="1"/>
  <c r="K314" i="55"/>
  <c r="L314" i="55" s="1"/>
  <c r="I314" i="55"/>
  <c r="J314" i="55" s="1"/>
  <c r="K308" i="55"/>
  <c r="L308" i="55" s="1"/>
  <c r="I308" i="55"/>
  <c r="J308" i="55" s="1"/>
  <c r="K310" i="55"/>
  <c r="L310" i="55" s="1"/>
  <c r="I310" i="55"/>
  <c r="J310" i="55" s="1"/>
  <c r="I321" i="55"/>
  <c r="J321" i="55" s="1"/>
  <c r="K312" i="55"/>
  <c r="L312" i="55" s="1"/>
  <c r="I312" i="55"/>
  <c r="J312" i="55" s="1"/>
  <c r="K306" i="55"/>
  <c r="L306" i="55" s="1"/>
  <c r="I306" i="55"/>
  <c r="J306" i="55" s="1"/>
  <c r="K318" i="55"/>
  <c r="L318" i="55" s="1"/>
  <c r="I318" i="55"/>
  <c r="J318" i="55" s="1"/>
  <c r="K316" i="55"/>
  <c r="L316" i="55" s="1"/>
  <c r="I316" i="55"/>
  <c r="J316" i="55" s="1"/>
  <c r="K309" i="55"/>
  <c r="L309" i="55" s="1"/>
  <c r="I309" i="55"/>
  <c r="J309" i="55" s="1"/>
  <c r="K322" i="55"/>
  <c r="L322" i="55" s="1"/>
  <c r="I322" i="55"/>
  <c r="J322" i="55" s="1"/>
  <c r="I315" i="55"/>
  <c r="J315" i="55" s="1"/>
  <c r="K319" i="55"/>
  <c r="L319" i="55" s="1"/>
  <c r="I319" i="55"/>
  <c r="J319" i="55" s="1"/>
  <c r="K313" i="55"/>
  <c r="L313" i="55" s="1"/>
  <c r="I313" i="55"/>
  <c r="J313" i="55" s="1"/>
  <c r="C371" i="55"/>
  <c r="C359" i="55"/>
  <c r="K320" i="55"/>
  <c r="L320" i="55" s="1"/>
  <c r="I320" i="55"/>
  <c r="J320" i="55" s="1"/>
  <c r="C363" i="55" l="1"/>
  <c r="C361" i="55"/>
  <c r="B478" i="55"/>
  <c r="B484" i="55"/>
  <c r="E484" i="55" l="1"/>
  <c r="B579" i="55"/>
  <c r="F579" i="55" s="1"/>
  <c r="B575" i="55"/>
  <c r="F575" i="55" s="1"/>
  <c r="E478" i="55"/>
  <c r="C365" i="55" l="1"/>
  <c r="C367" i="55"/>
  <c r="C377" i="55" l="1"/>
  <c r="C433" i="55"/>
  <c r="E433" i="55" s="1"/>
  <c r="F433" i="55" s="1"/>
  <c r="C420" i="55"/>
  <c r="E420" i="55" s="1"/>
  <c r="F420" i="55" s="1"/>
  <c r="C436" i="55"/>
  <c r="E436" i="55" s="1"/>
  <c r="F436" i="55" s="1"/>
  <c r="C424" i="55"/>
  <c r="E424" i="55" s="1"/>
  <c r="F424" i="55" s="1"/>
  <c r="C423" i="55"/>
  <c r="E423" i="55" s="1"/>
  <c r="F423" i="55" s="1"/>
  <c r="C428" i="55"/>
  <c r="E428" i="55" s="1"/>
  <c r="F428" i="55" s="1"/>
  <c r="C435" i="55"/>
  <c r="E435" i="55" s="1"/>
  <c r="F435" i="55" s="1"/>
  <c r="C422" i="55"/>
  <c r="E422" i="55" s="1"/>
  <c r="F422" i="55" s="1"/>
  <c r="C434" i="55"/>
  <c r="E434" i="55" s="1"/>
  <c r="F434" i="55" s="1"/>
  <c r="C425" i="55"/>
  <c r="E425" i="55" s="1"/>
  <c r="F425" i="55" s="1"/>
  <c r="C429" i="55"/>
  <c r="E429" i="55" s="1"/>
  <c r="F429" i="55" s="1"/>
  <c r="C421" i="55"/>
  <c r="E421" i="55" s="1"/>
  <c r="F421" i="55" s="1"/>
  <c r="C426" i="55"/>
  <c r="E426" i="55" s="1"/>
  <c r="F426" i="55" s="1"/>
  <c r="C432" i="55"/>
  <c r="E432" i="55" s="1"/>
  <c r="F432" i="55" s="1"/>
  <c r="C430" i="55"/>
  <c r="E430" i="55" s="1"/>
  <c r="F430" i="55" s="1"/>
  <c r="C427" i="55"/>
  <c r="E427" i="55" s="1"/>
  <c r="F427" i="55" s="1"/>
  <c r="C431" i="55"/>
  <c r="E431" i="55" s="1"/>
  <c r="F431" i="55" s="1"/>
  <c r="C375" i="55" l="1"/>
  <c r="C384" i="55"/>
  <c r="C385" i="55" s="1"/>
  <c r="C513" i="55" s="1"/>
  <c r="C518" i="55" s="1"/>
  <c r="C519" i="55" s="1"/>
  <c r="C115" i="2" l="1"/>
  <c r="D87" i="2"/>
  <c r="C374" i="55"/>
  <c r="B334" i="55" s="1"/>
  <c r="C373" i="55"/>
  <c r="C493" i="55"/>
  <c r="C407" i="55"/>
  <c r="E407" i="55" s="1"/>
  <c r="F407" i="55" s="1"/>
  <c r="C401" i="55"/>
  <c r="E401" i="55" s="1"/>
  <c r="F401" i="55" s="1"/>
  <c r="C403" i="55"/>
  <c r="E403" i="55" s="1"/>
  <c r="F403" i="55" s="1"/>
  <c r="F474" i="55"/>
  <c r="G474" i="55" s="1"/>
  <c r="H474" i="55" s="1"/>
  <c r="C402" i="55"/>
  <c r="E402" i="55" s="1"/>
  <c r="F402" i="55" s="1"/>
  <c r="C406" i="55"/>
  <c r="E406" i="55" s="1"/>
  <c r="F406" i="55" s="1"/>
  <c r="F472" i="55"/>
  <c r="G472" i="55" s="1"/>
  <c r="H472" i="55" s="1"/>
  <c r="C546" i="55"/>
  <c r="C551" i="55" s="1"/>
  <c r="C399" i="55"/>
  <c r="E399" i="55" s="1"/>
  <c r="F399" i="55" s="1"/>
  <c r="F481" i="55"/>
  <c r="G481" i="55" s="1"/>
  <c r="H481" i="55" s="1"/>
  <c r="C414" i="55"/>
  <c r="E414" i="55" s="1"/>
  <c r="F414" i="55" s="1"/>
  <c r="C413" i="55"/>
  <c r="E413" i="55" s="1"/>
  <c r="F413" i="55" s="1"/>
  <c r="C412" i="55"/>
  <c r="E412" i="55" s="1"/>
  <c r="F412" i="55" s="1"/>
  <c r="F476" i="55"/>
  <c r="G476" i="55" s="1"/>
  <c r="H476" i="55" s="1"/>
  <c r="F479" i="55"/>
  <c r="G479" i="55" s="1"/>
  <c r="H479" i="55" s="1"/>
  <c r="C411" i="55"/>
  <c r="E411" i="55" s="1"/>
  <c r="F411" i="55" s="1"/>
  <c r="F485" i="55"/>
  <c r="G485" i="55" s="1"/>
  <c r="H485" i="55" s="1"/>
  <c r="F470" i="55"/>
  <c r="G470" i="55" s="1"/>
  <c r="H470" i="55" s="1"/>
  <c r="C398" i="55"/>
  <c r="E398" i="55" s="1"/>
  <c r="F398" i="55" s="1"/>
  <c r="F477" i="55"/>
  <c r="G477" i="55" s="1"/>
  <c r="H477" i="55" s="1"/>
  <c r="F471" i="55"/>
  <c r="G471" i="55" s="1"/>
  <c r="H471" i="55" s="1"/>
  <c r="F482" i="55"/>
  <c r="G482" i="55" s="1"/>
  <c r="H482" i="55" s="1"/>
  <c r="C410" i="55"/>
  <c r="E410" i="55" s="1"/>
  <c r="F410" i="55" s="1"/>
  <c r="F473" i="55"/>
  <c r="G473" i="55" s="1"/>
  <c r="H473" i="55" s="1"/>
  <c r="F483" i="55"/>
  <c r="G483" i="55" s="1"/>
  <c r="H483" i="55" s="1"/>
  <c r="C408" i="55"/>
  <c r="E408" i="55" s="1"/>
  <c r="F408" i="55" s="1"/>
  <c r="C405" i="55"/>
  <c r="E405" i="55" s="1"/>
  <c r="F405" i="55" s="1"/>
  <c r="F480" i="55"/>
  <c r="G480" i="55" s="1"/>
  <c r="H480" i="55" s="1"/>
  <c r="C409" i="55"/>
  <c r="E409" i="55" s="1"/>
  <c r="F409" i="55" s="1"/>
  <c r="F478" i="55"/>
  <c r="G478" i="55" s="1"/>
  <c r="H478" i="55" s="1"/>
  <c r="F484" i="55"/>
  <c r="G484" i="55" s="1"/>
  <c r="H484" i="55" s="1"/>
  <c r="C404" i="55"/>
  <c r="E404" i="55" s="1"/>
  <c r="F404" i="55" s="1"/>
  <c r="F469" i="55"/>
  <c r="G469" i="55" s="1"/>
  <c r="H469" i="55" s="1"/>
  <c r="C400" i="55"/>
  <c r="E400" i="55" s="1"/>
  <c r="F400" i="55" s="1"/>
  <c r="F475" i="55"/>
  <c r="G475" i="55" s="1"/>
  <c r="H475" i="55" s="1"/>
  <c r="D433" i="55"/>
  <c r="G433" i="55" s="1"/>
  <c r="H433" i="55" s="1"/>
  <c r="D423" i="55"/>
  <c r="G423" i="55" s="1"/>
  <c r="H423" i="55" s="1"/>
  <c r="D424" i="55"/>
  <c r="G424" i="55" s="1"/>
  <c r="H424" i="55" s="1"/>
  <c r="D430" i="55"/>
  <c r="G430" i="55" s="1"/>
  <c r="H430" i="55" s="1"/>
  <c r="D427" i="55"/>
  <c r="G427" i="55" s="1"/>
  <c r="H427" i="55" s="1"/>
  <c r="D425" i="55"/>
  <c r="G425" i="55" s="1"/>
  <c r="H425" i="55" s="1"/>
  <c r="D432" i="55"/>
  <c r="G432" i="55" s="1"/>
  <c r="H432" i="55" s="1"/>
  <c r="D420" i="55"/>
  <c r="G420" i="55" s="1"/>
  <c r="H420" i="55" s="1"/>
  <c r="D426" i="55"/>
  <c r="G426" i="55" s="1"/>
  <c r="H426" i="55" s="1"/>
  <c r="D434" i="55"/>
  <c r="G434" i="55" s="1"/>
  <c r="H434" i="55" s="1"/>
  <c r="D429" i="55"/>
  <c r="G429" i="55" s="1"/>
  <c r="H429" i="55" s="1"/>
  <c r="C379" i="55"/>
  <c r="C389" i="55" s="1"/>
  <c r="C390" i="55" s="1"/>
  <c r="C520" i="55" s="1"/>
  <c r="C523" i="55" s="1"/>
  <c r="D431" i="55"/>
  <c r="G431" i="55" s="1"/>
  <c r="H431" i="55" s="1"/>
  <c r="D428" i="55"/>
  <c r="G428" i="55" s="1"/>
  <c r="H428" i="55" s="1"/>
  <c r="D422" i="55"/>
  <c r="G422" i="55" s="1"/>
  <c r="H422" i="55" s="1"/>
  <c r="D436" i="55"/>
  <c r="G436" i="55" s="1"/>
  <c r="H436" i="55" s="1"/>
  <c r="D421" i="55"/>
  <c r="G421" i="55" s="1"/>
  <c r="H421" i="55" s="1"/>
  <c r="D435" i="55"/>
  <c r="G435" i="55" s="1"/>
  <c r="H435" i="55" s="1"/>
  <c r="J108" i="2" l="1"/>
  <c r="G94" i="2"/>
  <c r="C372" i="55"/>
  <c r="C87" i="2"/>
  <c r="B94" i="2"/>
  <c r="C555" i="55"/>
  <c r="G566" i="55"/>
  <c r="H566" i="55" s="1"/>
  <c r="I566" i="55" s="1"/>
  <c r="G575" i="55"/>
  <c r="H575" i="55" s="1"/>
  <c r="I575" i="55" s="1"/>
  <c r="G577" i="55"/>
  <c r="H577" i="55" s="1"/>
  <c r="I577" i="55" s="1"/>
  <c r="G569" i="55"/>
  <c r="H569" i="55" s="1"/>
  <c r="I569" i="55" s="1"/>
  <c r="G567" i="55"/>
  <c r="H567" i="55" s="1"/>
  <c r="G568" i="55"/>
  <c r="H568" i="55" s="1"/>
  <c r="I568" i="55" s="1"/>
  <c r="G580" i="55"/>
  <c r="H580" i="55" s="1"/>
  <c r="G572" i="55"/>
  <c r="H572" i="55" s="1"/>
  <c r="I572" i="55" s="1"/>
  <c r="G576" i="55"/>
  <c r="H576" i="55" s="1"/>
  <c r="G578" i="55"/>
  <c r="H578" i="55" s="1"/>
  <c r="B628" i="55" s="1"/>
  <c r="G579" i="55"/>
  <c r="H579" i="55" s="1"/>
  <c r="I579" i="55" s="1"/>
  <c r="G573" i="55"/>
  <c r="H573" i="55" s="1"/>
  <c r="I573" i="55" s="1"/>
  <c r="G570" i="55"/>
  <c r="H570" i="55" s="1"/>
  <c r="I570" i="55" s="1"/>
  <c r="C591" i="55"/>
  <c r="G574" i="55"/>
  <c r="H574" i="55" s="1"/>
  <c r="I574" i="55" s="1"/>
  <c r="G571" i="55"/>
  <c r="H571" i="55" s="1"/>
  <c r="C496" i="55"/>
  <c r="D496" i="55" s="1"/>
  <c r="E496" i="55" s="1"/>
  <c r="D493" i="55"/>
  <c r="E493" i="55" s="1"/>
  <c r="C536" i="55"/>
  <c r="D409" i="55"/>
  <c r="G409" i="55" s="1"/>
  <c r="H409" i="55" s="1"/>
  <c r="C391" i="55"/>
  <c r="C392" i="55" s="1"/>
  <c r="A334" i="55"/>
  <c r="C527" i="55"/>
  <c r="D408" i="55"/>
  <c r="G408" i="55" s="1"/>
  <c r="H408" i="55" s="1"/>
  <c r="D411" i="55"/>
  <c r="G411" i="55" s="1"/>
  <c r="H411" i="55" s="1"/>
  <c r="D404" i="55"/>
  <c r="G404" i="55" s="1"/>
  <c r="H404" i="55" s="1"/>
  <c r="D406" i="55"/>
  <c r="G406" i="55" s="1"/>
  <c r="H406" i="55" s="1"/>
  <c r="D400" i="55"/>
  <c r="G400" i="55" s="1"/>
  <c r="H400" i="55" s="1"/>
  <c r="D414" i="55"/>
  <c r="G414" i="55" s="1"/>
  <c r="H414" i="55" s="1"/>
  <c r="D405" i="55"/>
  <c r="G405" i="55" s="1"/>
  <c r="H405" i="55" s="1"/>
  <c r="D407" i="55"/>
  <c r="G407" i="55" s="1"/>
  <c r="H407" i="55" s="1"/>
  <c r="D401" i="55"/>
  <c r="G401" i="55" s="1"/>
  <c r="H401" i="55" s="1"/>
  <c r="D403" i="55"/>
  <c r="G403" i="55" s="1"/>
  <c r="H403" i="55" s="1"/>
  <c r="D399" i="55"/>
  <c r="G399" i="55" s="1"/>
  <c r="H399" i="55" s="1"/>
  <c r="D413" i="55"/>
  <c r="G413" i="55" s="1"/>
  <c r="H413" i="55" s="1"/>
  <c r="D412" i="55"/>
  <c r="G412" i="55" s="1"/>
  <c r="H412" i="55" s="1"/>
  <c r="D410" i="55"/>
  <c r="G410" i="55" s="1"/>
  <c r="H410" i="55" s="1"/>
  <c r="C386" i="55"/>
  <c r="C387" i="55" s="1"/>
  <c r="D402" i="55"/>
  <c r="G402" i="55" s="1"/>
  <c r="H402" i="55" s="1"/>
  <c r="D398" i="55"/>
  <c r="G398" i="55" s="1"/>
  <c r="H398" i="55" s="1"/>
  <c r="B626" i="55" l="1"/>
  <c r="I571" i="55"/>
  <c r="I580" i="55"/>
  <c r="B629" i="55"/>
  <c r="C593" i="55"/>
  <c r="C616" i="55"/>
  <c r="C617" i="55" s="1"/>
  <c r="C619" i="55" s="1"/>
  <c r="B625" i="55" s="1"/>
  <c r="I578" i="55"/>
  <c r="C541" i="55"/>
  <c r="C542" i="55" s="1"/>
  <c r="C611" i="55"/>
  <c r="C557" i="55"/>
  <c r="C558" i="55" s="1"/>
  <c r="C532" i="55"/>
  <c r="I576" i="55"/>
  <c r="B627" i="55"/>
  <c r="B624" i="55"/>
  <c r="I567" i="55"/>
  <c r="B101" i="2" l="1"/>
  <c r="H94" i="2"/>
  <c r="C595" i="55"/>
  <c r="C596" i="55" s="1"/>
  <c r="C101" i="2"/>
  <c r="D115" i="2"/>
  <c r="C585" i="55"/>
  <c r="C552" i="55"/>
  <c r="C553" i="55" s="1"/>
  <c r="C559" i="55"/>
  <c r="C560" i="55" s="1"/>
  <c r="D101" i="2" l="1"/>
  <c r="E1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129" authorId="0" shapeId="0" xr:uid="{81484FB9-FF92-4913-95EA-B9B2D5E9160C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  <comment ref="C137" authorId="0" shapeId="0" xr:uid="{C3C1DD53-9CAD-49A9-9100-7636A1C61489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CC2FAB63-91E4-4D92-856D-3B2196FB36C0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57B6DBDC-E2A6-47E6-B614-93C41912C1BD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72C54C06-F706-4E9A-9C7E-9AA895B9DB93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0933357C-6C98-4C79-87F8-89CD88E95EAA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A6396320-AC65-4769-8906-DCF072431AC8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D12" authorId="0" shapeId="0" xr:uid="{2EF3B49C-10C5-4ECF-9BCD-13BE5DE39F58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Eine eigene Eingabe- und Ausgabemaske ist ein sehr schöne Idee. Die Berechnungsmappe greift die Eingabedaten hier ab und wirft die wichtigsten Ausgaben hier aus. </t>
        </r>
      </text>
    </comment>
    <comment ref="D13" authorId="0" shapeId="0" xr:uid="{3616C16A-17E6-4BB3-8294-EA95ED1E1A1F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Auf dieser Seite kann dann auch erklärt werden was das Szenario ausmacht. Mir ist gerade nicht klar, was der Unterschied zwischen Szenario 1 und Szenraio 2 mit Fällung ist. Ich würde in 2 Modelle unterscheiden (SM- und P-Extraktion) die Szenarien sind dann nur unterschiedliche Eingaben die durch eines der Modelle gejagt wurden und somit zu unterschidelichen Ergebnissen führen.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424" authorId="0" shapeId="0" xr:uid="{45CF474F-AAC4-4506-9C18-A619197A2390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497" authorId="0" shapeId="0" xr:uid="{25D0D680-D963-45C0-9DF5-638C1871AC4E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420" authorId="0" shapeId="0" xr:uid="{5A8D56A0-5CBA-40E4-BC31-271C12EFC5E4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461" authorId="0" shapeId="0" xr:uid="{40866311-0E6A-4ABD-946C-B0760E1BEE2E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548" authorId="0" shapeId="0" xr:uid="{EF5D0780-4863-4803-AE14-DE95EF9402D8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439" authorId="0" shapeId="0" xr:uid="{1D25AFF1-A54B-422C-A006-A2F7F76E986A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  <comment ref="C445" authorId="0" shapeId="0" xr:uid="{D76660EF-56F2-4094-AB9A-EB6FFCBE8D2D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Segoe UI"/>
            <family val="2"/>
          </rPr>
          <t>Die notwendige Menge an P-Säure ist ein relevante Ausgabe des Modells.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88" authorId="0" shapeId="0" xr:uid="{3892BEEF-270F-4BC9-A60B-38CED1CADD70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509" authorId="0" shapeId="0" xr:uid="{25BDA455-3D29-4AD3-8FC6-253523DBA4DB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B409" authorId="0" shapeId="0" xr:uid="{BEB4B8F9-6189-4B9A-BC50-DE6B30528A06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45" authorId="0" shapeId="0" xr:uid="{C588EC78-DE80-4AA3-A6B0-AC135851CC97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480" authorId="0" shapeId="0" xr:uid="{31FD1002-5EB9-47F7-BB6C-9A05FDB5F22C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00" authorId="0" shapeId="0" xr:uid="{F744DA69-43AB-4086-9190-EFE6904E8295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422" authorId="0" shapeId="0" xr:uid="{49B51833-CB07-4F24-AF8B-4BDA34373A09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87" authorId="0" shapeId="0" xr:uid="{7A8E49A3-CDED-4ECB-B911-F6071F72E80A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521" authorId="0" shapeId="0" xr:uid="{54E7BFFA-D7CB-4258-8A42-B5031B36AD08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90" authorId="0" shapeId="0" xr:uid="{A32A6433-7C32-4D22-83DD-B7A620932699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513" authorId="0" shapeId="0" xr:uid="{EEE8450C-79C7-4E1B-B1CB-CFC7334EAD6E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Kuhn</author>
  </authors>
  <commentList>
    <comment ref="C387" authorId="0" shapeId="0" xr:uid="{CEB1782A-F36B-48C2-AD0C-EF4DAAA89537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selbe Zahlen wie A-C 302-316</t>
        </r>
      </text>
    </comment>
    <comment ref="B509" authorId="0" shapeId="0" xr:uid="{8D56CC46-D6D7-464B-9BA1-76D6AF34AC93}">
      <text>
        <r>
          <rPr>
            <b/>
            <sz val="9"/>
            <color indexed="81"/>
            <rFont val="Segoe UI"/>
            <family val="2"/>
          </rPr>
          <t>Peter Kuhn:</t>
        </r>
        <r>
          <rPr>
            <sz val="9"/>
            <color indexed="81"/>
            <rFont val="Segoe UI"/>
            <family val="2"/>
          </rPr>
          <t xml:space="preserve">
könnte man auch so maxchen anstatt n.n.</t>
        </r>
      </text>
    </comment>
  </commentList>
</comments>
</file>

<file path=xl/sharedStrings.xml><?xml version="1.0" encoding="utf-8"?>
<sst xmlns="http://schemas.openxmlformats.org/spreadsheetml/2006/main" count="21179" uniqueCount="661">
  <si>
    <t>Phosphor-Extraktion</t>
    <phoneticPr fontId="2" type="noConversion"/>
  </si>
  <si>
    <t>Input</t>
    <phoneticPr fontId="2" type="noConversion"/>
  </si>
  <si>
    <t>Output</t>
    <phoneticPr fontId="2" type="noConversion"/>
  </si>
  <si>
    <t>Schwefelsäure</t>
    <phoneticPr fontId="2" type="noConversion"/>
  </si>
  <si>
    <t>Suspension 1</t>
    <phoneticPr fontId="2" type="noConversion"/>
  </si>
  <si>
    <t>Fällung</t>
    <phoneticPr fontId="2" type="noConversion"/>
  </si>
  <si>
    <t>Suspension 2</t>
    <phoneticPr fontId="2" type="noConversion"/>
  </si>
  <si>
    <t>Fällmittel(Schwermetall)</t>
    <phoneticPr fontId="2" type="noConversion"/>
  </si>
  <si>
    <t>Filtration</t>
    <phoneticPr fontId="2" type="noConversion"/>
  </si>
  <si>
    <t>Extrakt(P-reich)</t>
    <phoneticPr fontId="2" type="noConversion"/>
  </si>
  <si>
    <t>Waschwasser</t>
    <phoneticPr fontId="2" type="noConversion"/>
  </si>
  <si>
    <t>Filterkuchen</t>
    <phoneticPr fontId="2" type="noConversion"/>
  </si>
  <si>
    <t>Reaktion</t>
    <phoneticPr fontId="2" type="noConversion"/>
  </si>
  <si>
    <t>Phosphorsäure(konform)</t>
    <phoneticPr fontId="2" type="noConversion"/>
  </si>
  <si>
    <t>Wasser(konform)</t>
    <phoneticPr fontId="2" type="noConversion"/>
  </si>
  <si>
    <t>Sprüh-Granulation</t>
    <phoneticPr fontId="2" type="noConversion"/>
  </si>
  <si>
    <t>Wasser(Dampf)</t>
    <phoneticPr fontId="2" type="noConversion"/>
  </si>
  <si>
    <t>Düngemittel-Produkt</t>
    <phoneticPr fontId="2" type="noConversion"/>
  </si>
  <si>
    <t>Einheit</t>
    <phoneticPr fontId="2" type="noConversion"/>
  </si>
  <si>
    <t>gH2O/gKSA</t>
  </si>
  <si>
    <t>Waschwasser gH2O/gKSA</t>
  </si>
  <si>
    <t>gH2SO4/gKSA</t>
  </si>
  <si>
    <t>gH3PO4/gKSA</t>
  </si>
  <si>
    <t>pH-Wert</t>
    <phoneticPr fontId="2" type="noConversion"/>
  </si>
  <si>
    <t>-</t>
    <phoneticPr fontId="2" type="noConversion"/>
  </si>
  <si>
    <t>L Fällmittel/L Suspension</t>
    <phoneticPr fontId="2" type="noConversion"/>
  </si>
  <si>
    <t>Flüssige Phase</t>
  </si>
  <si>
    <t>Feste Phase</t>
  </si>
  <si>
    <t>TS feste Phase</t>
  </si>
  <si>
    <t>Inputdaten</t>
    <phoneticPr fontId="2" type="noConversion"/>
  </si>
  <si>
    <t>Outputdaten</t>
    <phoneticPr fontId="2" type="noConversion"/>
  </si>
  <si>
    <t>Szenarien</t>
    <phoneticPr fontId="2" type="noConversion"/>
  </si>
  <si>
    <t>Schwefelsäuremenge</t>
    <phoneticPr fontId="2" type="noConversion"/>
  </si>
  <si>
    <t>Phosphorsäuremenge(nk)</t>
    <phoneticPr fontId="2" type="noConversion"/>
  </si>
  <si>
    <t>Wassermenge(nk)</t>
    <phoneticPr fontId="2" type="noConversion"/>
  </si>
  <si>
    <t>[t/a]</t>
  </si>
  <si>
    <t>Fällmittel(SM)</t>
    <phoneticPr fontId="2" type="noConversion"/>
  </si>
  <si>
    <t>Waschwassermenge</t>
    <phoneticPr fontId="2" type="noConversion"/>
  </si>
  <si>
    <t>Inputdaten vom System</t>
    <phoneticPr fontId="2" type="noConversion"/>
  </si>
  <si>
    <t xml:space="preserve"> </t>
    <phoneticPr fontId="2" type="noConversion"/>
  </si>
  <si>
    <t>Outputdaten vom System</t>
    <phoneticPr fontId="2" type="noConversion"/>
  </si>
  <si>
    <t>Prozess 1: Phosphor-Extraktion</t>
    <phoneticPr fontId="2" type="noConversion"/>
  </si>
  <si>
    <t>Daten über Klärschlammaschemenge</t>
    <phoneticPr fontId="2" type="noConversion"/>
  </si>
  <si>
    <t>TVM (k)</t>
    <phoneticPr fontId="2" type="noConversion"/>
  </si>
  <si>
    <t>SEF(k)</t>
    <phoneticPr fontId="2" type="noConversion"/>
  </si>
  <si>
    <t>ISH(nk)</t>
    <phoneticPr fontId="2" type="noConversion"/>
  </si>
  <si>
    <t>KSA-Menge</t>
    <phoneticPr fontId="2" type="noConversion"/>
  </si>
  <si>
    <t>TR und Wasseranteil</t>
    <phoneticPr fontId="2" type="noConversion"/>
  </si>
  <si>
    <t>Konzentration</t>
    <phoneticPr fontId="2" type="noConversion"/>
  </si>
  <si>
    <t>Schwefelsäurekonzentration</t>
    <phoneticPr fontId="2" type="noConversion"/>
  </si>
  <si>
    <t>Phosphorsäurekonzentration</t>
    <phoneticPr fontId="2" type="noConversion"/>
  </si>
  <si>
    <t>Wasserkonzentration</t>
    <phoneticPr fontId="2" type="noConversion"/>
  </si>
  <si>
    <t>gWaschwasser/gKSA</t>
    <phoneticPr fontId="2" type="noConversion"/>
  </si>
  <si>
    <t>Inputparameter</t>
    <phoneticPr fontId="2" type="noConversion"/>
  </si>
  <si>
    <t>Menge oder Konzentration</t>
    <phoneticPr fontId="2" type="noConversion"/>
  </si>
  <si>
    <t>KSA-Menge(nk)</t>
    <phoneticPr fontId="2" type="noConversion"/>
  </si>
  <si>
    <t>Feststoff und Flüssigkeitsanteil</t>
    <phoneticPr fontId="2" type="noConversion"/>
  </si>
  <si>
    <t>Feststoffmenge</t>
    <phoneticPr fontId="2" type="noConversion"/>
  </si>
  <si>
    <t>Summe Inputmenge(P-Extraktion)</t>
    <phoneticPr fontId="2" type="noConversion"/>
  </si>
  <si>
    <t>Feststoffanteil</t>
    <phoneticPr fontId="2" type="noConversion"/>
  </si>
  <si>
    <t>Flüssigkeitmenge</t>
    <phoneticPr fontId="2" type="noConversion"/>
  </si>
  <si>
    <t>Flüssigkeitsanteil</t>
    <phoneticPr fontId="2" type="noConversion"/>
  </si>
  <si>
    <t>Menge oder Konzentration</t>
  </si>
  <si>
    <t>Trockenmassen</t>
    <phoneticPr fontId="2" type="noConversion"/>
  </si>
  <si>
    <t>TR</t>
    <phoneticPr fontId="2" type="noConversion"/>
  </si>
  <si>
    <t>Wassermenge</t>
    <phoneticPr fontId="2" type="noConversion"/>
  </si>
  <si>
    <t>Wasseranteil</t>
    <phoneticPr fontId="2" type="noConversion"/>
  </si>
  <si>
    <t>Parameter</t>
    <phoneticPr fontId="2" type="noConversion"/>
  </si>
  <si>
    <t>SEF (k)</t>
    <phoneticPr fontId="2" type="noConversion"/>
  </si>
  <si>
    <t>ISH (nk)</t>
    <phoneticPr fontId="2" type="noConversion"/>
  </si>
  <si>
    <t>[mg/kg]</t>
    <phoneticPr fontId="2" type="noConversion"/>
  </si>
  <si>
    <t>[mg/kg]</t>
  </si>
  <si>
    <t>Al</t>
  </si>
  <si>
    <t>As</t>
  </si>
  <si>
    <t>Ca</t>
  </si>
  <si>
    <t>Cd</t>
  </si>
  <si>
    <t>Cr</t>
  </si>
  <si>
    <t>Cu</t>
  </si>
  <si>
    <t>Fe</t>
  </si>
  <si>
    <t>K</t>
  </si>
  <si>
    <t>Mg</t>
  </si>
  <si>
    <t>Na</t>
  </si>
  <si>
    <t>Ni</t>
  </si>
  <si>
    <t>P</t>
  </si>
  <si>
    <t>Pb</t>
  </si>
  <si>
    <t>S</t>
  </si>
  <si>
    <t>Zn</t>
  </si>
  <si>
    <t>Rücklösemenge</t>
    <phoneticPr fontId="2" type="noConversion"/>
  </si>
  <si>
    <t>Rücklöseraten</t>
    <phoneticPr fontId="2" type="noConversion"/>
  </si>
  <si>
    <t>n.n.</t>
  </si>
  <si>
    <t>Outputparameter</t>
    <phoneticPr fontId="2" type="noConversion"/>
  </si>
  <si>
    <t xml:space="preserve">Menge </t>
    <phoneticPr fontId="2" type="noConversion"/>
  </si>
  <si>
    <t>Elementgehalt in der Suspension 1</t>
    <phoneticPr fontId="2" type="noConversion"/>
  </si>
  <si>
    <t>Element</t>
    <phoneticPr fontId="2" type="noConversion"/>
  </si>
  <si>
    <t>Trockenmassen in der Suspension 1</t>
    <phoneticPr fontId="2" type="noConversion"/>
  </si>
  <si>
    <t>Konzentration im Trockenmasse</t>
    <phoneticPr fontId="2" type="noConversion"/>
  </si>
  <si>
    <t>P(H3PO4)</t>
    <phoneticPr fontId="2" type="noConversion"/>
  </si>
  <si>
    <t>P(gesamt)</t>
    <phoneticPr fontId="2" type="noConversion"/>
  </si>
  <si>
    <t>Prozess 2: Fällung</t>
    <phoneticPr fontId="2" type="noConversion"/>
  </si>
  <si>
    <t>Daten über Fällmittel</t>
    <phoneticPr fontId="2" type="noConversion"/>
  </si>
  <si>
    <t>Fällmittel</t>
    <phoneticPr fontId="2" type="noConversion"/>
  </si>
  <si>
    <t>Na2S-Lösung</t>
    <phoneticPr fontId="2" type="noConversion"/>
  </si>
  <si>
    <t>ρNa2S</t>
    <phoneticPr fontId="2" type="noConversion"/>
  </si>
  <si>
    <t>g/cm3</t>
    <phoneticPr fontId="2" type="noConversion"/>
  </si>
  <si>
    <t>ρH2O</t>
    <phoneticPr fontId="2" type="noConversion"/>
  </si>
  <si>
    <t>ρNa2S-Lösung</t>
    <phoneticPr fontId="2" type="noConversion"/>
  </si>
  <si>
    <t>Menge</t>
    <phoneticPr fontId="2" type="noConversion"/>
  </si>
  <si>
    <t>Dichte von Suspension</t>
    <phoneticPr fontId="2" type="noConversion"/>
  </si>
  <si>
    <t>[g/ml]</t>
    <phoneticPr fontId="2" type="noConversion"/>
  </si>
  <si>
    <t>Volumen von Suspension 1</t>
    <phoneticPr fontId="2" type="noConversion"/>
  </si>
  <si>
    <t>[m3/a]</t>
    <phoneticPr fontId="2" type="noConversion"/>
  </si>
  <si>
    <t>Fällmittelvolumen</t>
    <phoneticPr fontId="2" type="noConversion"/>
  </si>
  <si>
    <t>Dichte von Fällmittel</t>
    <phoneticPr fontId="2" type="noConversion"/>
  </si>
  <si>
    <t>Fällmittelmenge</t>
    <phoneticPr fontId="2" type="noConversion"/>
  </si>
  <si>
    <t>Summe Inputmenge(Fällung)</t>
    <phoneticPr fontId="2" type="noConversion"/>
  </si>
  <si>
    <t>Na2S-Anteil im Fällmittel</t>
    <phoneticPr fontId="2" type="noConversion"/>
  </si>
  <si>
    <t>Feststoff(Fällmittel)</t>
    <phoneticPr fontId="2" type="noConversion"/>
  </si>
  <si>
    <t>Wasseranteil im Fällmittel</t>
    <phoneticPr fontId="2" type="noConversion"/>
  </si>
  <si>
    <t>Wassermenge(Fällmittel)</t>
    <phoneticPr fontId="2" type="noConversion"/>
  </si>
  <si>
    <t>Daten über Fällungsrate</t>
    <phoneticPr fontId="2" type="noConversion"/>
  </si>
  <si>
    <t>Fällungsrate</t>
    <phoneticPr fontId="2" type="noConversion"/>
  </si>
  <si>
    <t>Schwermetallsalz</t>
    <phoneticPr fontId="2" type="noConversion"/>
  </si>
  <si>
    <t>Fällmittel-Feststoff</t>
    <phoneticPr fontId="2" type="noConversion"/>
  </si>
  <si>
    <t>Fällmittel-Flüssigkeit</t>
    <phoneticPr fontId="2" type="noConversion"/>
  </si>
  <si>
    <t>Elementgehalt in der Suspension 2</t>
    <phoneticPr fontId="2" type="noConversion"/>
  </si>
  <si>
    <t>Prozess 3: Filtration</t>
    <phoneticPr fontId="2" type="noConversion"/>
  </si>
  <si>
    <t>Daten über Filtration</t>
    <phoneticPr fontId="2" type="noConversion"/>
  </si>
  <si>
    <t>Inputdaten(vor Filtration)</t>
    <phoneticPr fontId="2" type="noConversion"/>
  </si>
  <si>
    <t>Summe Inputmenge(Filtration)</t>
    <phoneticPr fontId="2" type="noConversion"/>
  </si>
  <si>
    <t>Outputdaten(nach Filtration)</t>
    <phoneticPr fontId="2" type="noConversion"/>
  </si>
  <si>
    <t>Flüssige Phase</t>
    <phoneticPr fontId="2" type="noConversion"/>
  </si>
  <si>
    <t>Feste Phase</t>
    <phoneticPr fontId="2" type="noConversion"/>
  </si>
  <si>
    <t>Wasseranteil im Filterkuchen</t>
    <phoneticPr fontId="2" type="noConversion"/>
  </si>
  <si>
    <t>TR und Wasseranteil im Extrakt</t>
    <phoneticPr fontId="2" type="noConversion"/>
  </si>
  <si>
    <t>Wassermenge im Extrakt</t>
    <phoneticPr fontId="2" type="noConversion"/>
  </si>
  <si>
    <t>Elementgehalt im Extrakt</t>
    <phoneticPr fontId="2" type="noConversion"/>
  </si>
  <si>
    <t>Menge im Extrakt</t>
    <phoneticPr fontId="2" type="noConversion"/>
  </si>
  <si>
    <t>Elementgehalt im Filterkuchen</t>
    <phoneticPr fontId="2" type="noConversion"/>
  </si>
  <si>
    <t>Prozess 4: Reaktion</t>
    <phoneticPr fontId="2" type="noConversion"/>
  </si>
  <si>
    <t>KSA(k)</t>
    <phoneticPr fontId="2" type="noConversion"/>
  </si>
  <si>
    <t>Schwermetallmenge</t>
    <phoneticPr fontId="2" type="noConversion"/>
  </si>
  <si>
    <t>Menge in der KSA(k)</t>
    <phoneticPr fontId="2" type="noConversion"/>
  </si>
  <si>
    <t>Gesamtmenge</t>
    <phoneticPr fontId="2" type="noConversion"/>
  </si>
  <si>
    <t>Trockenmasse von Extrakt und KSA(k)</t>
    <phoneticPr fontId="2" type="noConversion"/>
  </si>
  <si>
    <t>Der P-Gehalt muss durch Phosphorsäure so eingestellt werden, dass das trockenen Produkt einen P2O5-Gehalt von 38% also einen P-Gehalt von 16,6% hat. Daher sollte die P-Konzentration in der Trockenmasse 166.000 mg/kg sein.</t>
    <phoneticPr fontId="2" type="noConversion"/>
  </si>
  <si>
    <t>Phosphorsäuremenge für KSA(k)</t>
    <phoneticPr fontId="2" type="noConversion"/>
  </si>
  <si>
    <t>P-Menge</t>
    <phoneticPr fontId="2" type="noConversion"/>
  </si>
  <si>
    <t>Trockenmasse</t>
    <phoneticPr fontId="2" type="noConversion"/>
  </si>
  <si>
    <t>P(Extrakt)</t>
    <phoneticPr fontId="2" type="noConversion"/>
  </si>
  <si>
    <t>P(KSA(k))</t>
    <phoneticPr fontId="2" type="noConversion"/>
  </si>
  <si>
    <t>P(H3PO4(k))</t>
    <phoneticPr fontId="2" type="noConversion"/>
  </si>
  <si>
    <t>Phosphorsäure- und Wassermenge für KSA(k)</t>
    <phoneticPr fontId="2" type="noConversion"/>
  </si>
  <si>
    <t>Wasser(k)</t>
    <phoneticPr fontId="2" type="noConversion"/>
  </si>
  <si>
    <t>Menge in der Phosphorsäure</t>
    <phoneticPr fontId="2" type="noConversion"/>
  </si>
  <si>
    <t>P</t>
    <phoneticPr fontId="2" type="noConversion"/>
  </si>
  <si>
    <t>Prozess 5: Sprüh-Granulation</t>
    <phoneticPr fontId="2" type="noConversion"/>
  </si>
  <si>
    <t>Inputdaten(vor Sprüh-Granulation)</t>
    <phoneticPr fontId="2" type="noConversion"/>
  </si>
  <si>
    <t>&gt; 99 %</t>
  </si>
  <si>
    <t>&gt; 90 %</t>
  </si>
  <si>
    <t>&gt; 95 %</t>
  </si>
  <si>
    <t>0 – 15 %</t>
  </si>
  <si>
    <t xml:space="preserve">TVM </t>
  </si>
  <si>
    <t>SEF</t>
  </si>
  <si>
    <t>Daten über Schwermetallgehalt und Grenzwert</t>
    <phoneticPr fontId="2" type="noConversion"/>
  </si>
  <si>
    <t>Schwermetallgehalt</t>
    <phoneticPr fontId="2" type="noConversion"/>
  </si>
  <si>
    <t>Grenzwert</t>
    <phoneticPr fontId="2" type="noConversion"/>
  </si>
  <si>
    <t>DüMV</t>
    <phoneticPr fontId="2" type="noConversion"/>
  </si>
  <si>
    <t>EU-V</t>
    <phoneticPr fontId="2" type="noConversion"/>
  </si>
  <si>
    <t>Ausgangsstoff</t>
    <phoneticPr fontId="2" type="noConversion"/>
  </si>
  <si>
    <t>Düngemittel</t>
    <phoneticPr fontId="2" type="noConversion"/>
  </si>
  <si>
    <t>50mg/kgP2O5</t>
    <phoneticPr fontId="2" type="noConversion"/>
  </si>
  <si>
    <t>60mg/kgP2O5</t>
    <phoneticPr fontId="2" type="noConversion"/>
  </si>
  <si>
    <t>ISH</t>
  </si>
  <si>
    <t>Daten über Säure- und Wassermenge sowie Rücklöseraten</t>
    <phoneticPr fontId="2" type="noConversion"/>
  </si>
  <si>
    <t>P-Extraktion</t>
  </si>
  <si>
    <t>SM-Extraktion</t>
  </si>
  <si>
    <t>Säuremenge</t>
    <phoneticPr fontId="2" type="noConversion"/>
  </si>
  <si>
    <t>Rücklöseraten</t>
  </si>
  <si>
    <t>Fällungsrate</t>
  </si>
  <si>
    <t>0 – 5 %</t>
  </si>
  <si>
    <t>&gt; 70 %</t>
  </si>
  <si>
    <t>&gt; 80 %</t>
  </si>
  <si>
    <t>&gt; 20 %</t>
  </si>
  <si>
    <t>&gt; 40 %</t>
  </si>
  <si>
    <t>&gt; 50 %</t>
  </si>
  <si>
    <t>S(0,144) P(0,752)</t>
    <phoneticPr fontId="2" type="noConversion"/>
  </si>
  <si>
    <t>S(0,3) P(0,55)</t>
    <phoneticPr fontId="2" type="noConversion"/>
  </si>
  <si>
    <t>Filtration 1</t>
  </si>
  <si>
    <t>Filtration 2</t>
    <phoneticPr fontId="2" type="noConversion"/>
  </si>
  <si>
    <t>Filtration 1</t>
    <phoneticPr fontId="2" type="noConversion"/>
  </si>
  <si>
    <t>Filterkuchen 1</t>
    <phoneticPr fontId="2" type="noConversion"/>
  </si>
  <si>
    <t>Filtrat(SM-arm)</t>
    <phoneticPr fontId="2" type="noConversion"/>
  </si>
  <si>
    <t>Filterkuchen 2</t>
    <phoneticPr fontId="2" type="noConversion"/>
  </si>
  <si>
    <t>Schwermetall-Extraktion</t>
    <phoneticPr fontId="2" type="noConversion"/>
  </si>
  <si>
    <t>Prozess 1: Schwermetall-Extraktion</t>
    <phoneticPr fontId="2" type="noConversion"/>
  </si>
  <si>
    <t>Inputdaten(vor SM-Extraktion)</t>
    <phoneticPr fontId="2" type="noConversion"/>
  </si>
  <si>
    <t>Prozess 2: Filtration 1</t>
    <phoneticPr fontId="2" type="noConversion"/>
  </si>
  <si>
    <t>Elementgehalt im Filterkuchen 1</t>
    <phoneticPr fontId="2" type="noConversion"/>
  </si>
  <si>
    <t>Menge im Filterkuchen 1</t>
    <phoneticPr fontId="2" type="noConversion"/>
  </si>
  <si>
    <t>Prozess 3: Fällung</t>
    <phoneticPr fontId="2" type="noConversion"/>
  </si>
  <si>
    <t>Dichte von Extrakt(P-reich)</t>
    <phoneticPr fontId="2" type="noConversion"/>
  </si>
  <si>
    <t>Volumen von Extrakt(P-reich)</t>
    <phoneticPr fontId="2" type="noConversion"/>
  </si>
  <si>
    <t>Trockenmasse im Extrakt</t>
    <phoneticPr fontId="2" type="noConversion"/>
  </si>
  <si>
    <t>TR und Wasseranteil in der Suspension 2</t>
    <phoneticPr fontId="2" type="noConversion"/>
  </si>
  <si>
    <t>Prozess 4: Filtration 2</t>
    <phoneticPr fontId="2" type="noConversion"/>
  </si>
  <si>
    <t>TR und Wasseranteil im Filtrat</t>
    <phoneticPr fontId="2" type="noConversion"/>
  </si>
  <si>
    <t>Trockenmasse in der Suspension 2</t>
    <phoneticPr fontId="2" type="noConversion"/>
  </si>
  <si>
    <t>Elementgehalt im Filtrat</t>
    <phoneticPr fontId="2" type="noConversion"/>
  </si>
  <si>
    <t>Menge im Filtrat</t>
    <phoneticPr fontId="2" type="noConversion"/>
  </si>
  <si>
    <t>Prozess 5: Reaktion</t>
    <phoneticPr fontId="2" type="noConversion"/>
  </si>
  <si>
    <t>Trockenmasse von Filtrat, Filterkuchen 1 und KSA(k)</t>
    <phoneticPr fontId="2" type="noConversion"/>
  </si>
  <si>
    <t>P(Filtrat+Filterkuchen 1)</t>
    <phoneticPr fontId="2" type="noConversion"/>
  </si>
  <si>
    <t>Summe Inputmenge(SM-Extraktion)</t>
    <phoneticPr fontId="2" type="noConversion"/>
  </si>
  <si>
    <t>P(KSA(nk))</t>
  </si>
  <si>
    <t>P(KSA(nk))</t>
    <phoneticPr fontId="2" type="noConversion"/>
  </si>
  <si>
    <t>Elementgehalt im Filterkuchen 2</t>
    <phoneticPr fontId="2" type="noConversion"/>
  </si>
  <si>
    <t>Schwermetallgehalt im Düngemittel</t>
    <phoneticPr fontId="2" type="noConversion"/>
  </si>
  <si>
    <t>Parameter</t>
    <phoneticPr fontId="2" type="noConversion"/>
  </si>
  <si>
    <t>Einheit</t>
    <phoneticPr fontId="2" type="noConversion"/>
  </si>
  <si>
    <t>Grenzwert</t>
    <phoneticPr fontId="2" type="noConversion"/>
  </si>
  <si>
    <t>DüMV</t>
    <phoneticPr fontId="2" type="noConversion"/>
  </si>
  <si>
    <t>EU-V</t>
    <phoneticPr fontId="2" type="noConversion"/>
  </si>
  <si>
    <t>As</t>
    <phoneticPr fontId="2" type="noConversion"/>
  </si>
  <si>
    <t>Cd</t>
    <phoneticPr fontId="2" type="noConversion"/>
  </si>
  <si>
    <t>Cu</t>
    <phoneticPr fontId="2" type="noConversion"/>
  </si>
  <si>
    <t>Ni</t>
    <phoneticPr fontId="2" type="noConversion"/>
  </si>
  <si>
    <t>Pb</t>
    <phoneticPr fontId="2" type="noConversion"/>
  </si>
  <si>
    <t>Zn</t>
    <phoneticPr fontId="2" type="noConversion"/>
  </si>
  <si>
    <t>TVM</t>
    <phoneticPr fontId="2" type="noConversion"/>
  </si>
  <si>
    <t>SEF</t>
    <phoneticPr fontId="2" type="noConversion"/>
  </si>
  <si>
    <t>ISH</t>
    <phoneticPr fontId="2" type="noConversion"/>
  </si>
  <si>
    <t>Schwermetallmenge</t>
    <phoneticPr fontId="2" type="noConversion"/>
  </si>
  <si>
    <t>P2O5-Anteil im Düngemittel-Produkt</t>
    <phoneticPr fontId="2" type="noConversion"/>
  </si>
  <si>
    <t>-</t>
    <phoneticPr fontId="2" type="noConversion"/>
  </si>
  <si>
    <t>Anteil oder Menge</t>
    <phoneticPr fontId="2" type="noConversion"/>
  </si>
  <si>
    <t>Überprüfung der Elementegehalte im Düngemittel-Produkt</t>
    <phoneticPr fontId="2" type="noConversion"/>
  </si>
  <si>
    <t>[mg/kgP2O5]</t>
    <phoneticPr fontId="2" type="noConversion"/>
  </si>
  <si>
    <t>-</t>
  </si>
  <si>
    <t>SO4</t>
  </si>
  <si>
    <t>CaSO4</t>
  </si>
  <si>
    <t>[mg/kgP2O5]</t>
  </si>
  <si>
    <t>[mg/kg für Cd mg/kgP2O5]</t>
  </si>
  <si>
    <t>Konzentration im Filterkuchen</t>
  </si>
  <si>
    <t>gelöst</t>
  </si>
  <si>
    <t>gefällt</t>
  </si>
  <si>
    <t>Eingabedaten in das Modell, frei wählbar</t>
  </si>
  <si>
    <t>Eingabedaten in das Modell, Verknüpft, Laborversuche notwendig</t>
  </si>
  <si>
    <t>Ausgabedaten des Modells</t>
  </si>
  <si>
    <t>S(Fällmittel)</t>
  </si>
  <si>
    <t>S(KSA(nk))</t>
  </si>
  <si>
    <t>S(H2SO4)</t>
  </si>
  <si>
    <t>S(gesamt)</t>
  </si>
  <si>
    <t>Trockenmassen in der Suspension 2</t>
  </si>
  <si>
    <t>gelöst (KSA(nk))</t>
  </si>
  <si>
    <t>ungelöst(KSA(nk))</t>
  </si>
  <si>
    <t>ungelöst (KSA(nk))</t>
  </si>
  <si>
    <t>ungelöst</t>
  </si>
  <si>
    <t>[mg/kg TM]</t>
  </si>
  <si>
    <t>Konzentration im Filterkuchen 1</t>
  </si>
  <si>
    <t>Schwermetallkonzentration</t>
  </si>
  <si>
    <t>Schwermetallfracht</t>
  </si>
  <si>
    <t>Gesamtfracht</t>
  </si>
  <si>
    <t>Fracht</t>
  </si>
  <si>
    <t>Konzentration</t>
  </si>
  <si>
    <t>Inputdaten (vor Phosphor-Extraktion)</t>
  </si>
  <si>
    <t>Outputdaten (nach Phosphor-Extraktion)</t>
  </si>
  <si>
    <t>Suspension 1</t>
  </si>
  <si>
    <t>Konzentration in der Suspension 1</t>
  </si>
  <si>
    <t>Element</t>
  </si>
  <si>
    <t>Konzentration in der Trockenmasse</t>
  </si>
  <si>
    <t>Gesamtmenge in der Suspension 1</t>
  </si>
  <si>
    <t>Inputdaten (vor Fällung)</t>
  </si>
  <si>
    <t>Outputdaten (nach Fällung)</t>
  </si>
  <si>
    <t>Gefällte Elementmenge</t>
  </si>
  <si>
    <t>P(gesamt)</t>
  </si>
  <si>
    <t>Gesamtmenge in der Suspension 2</t>
  </si>
  <si>
    <t>Suspension 2</t>
  </si>
  <si>
    <t>Konzentration in der Suspension 2</t>
  </si>
  <si>
    <t>TR und Wasseranteil in der Suspension 1</t>
  </si>
  <si>
    <t>TR und Wasseranteil in der Suspension 2</t>
  </si>
  <si>
    <t>Trockenmassen im Extrakt</t>
  </si>
  <si>
    <t>Extrakt</t>
  </si>
  <si>
    <t>Konzentration im Extrakt</t>
  </si>
  <si>
    <t>Trockenmassen im Filterkuchen</t>
  </si>
  <si>
    <t>Filterkuchen</t>
  </si>
  <si>
    <t>Outputdaten (nach SM-Extraktion)</t>
  </si>
  <si>
    <t>Filterkuchen 1</t>
  </si>
  <si>
    <t>Inputdaten (vor Filtration)</t>
  </si>
  <si>
    <t>Outputdaten (nach Filtration)</t>
  </si>
  <si>
    <t>Inputdaten (vor Reaktion)</t>
  </si>
  <si>
    <t>Outputdaten (nach Reaktion)</t>
  </si>
  <si>
    <t>Inputdaten (vor Sprüh-Granulation)</t>
  </si>
  <si>
    <t>Outputdaten (nach Sprüh-Granulation)</t>
  </si>
  <si>
    <t>Filtrat</t>
  </si>
  <si>
    <t>Konzentration im Filtrat</t>
  </si>
  <si>
    <t>Filterkuchen 2</t>
  </si>
  <si>
    <t>Konzentration im Filterkuchen 2</t>
  </si>
  <si>
    <t>Einheit</t>
  </si>
  <si>
    <t>Gesamtmenge</t>
  </si>
  <si>
    <t>SEF(nk)</t>
  </si>
  <si>
    <t>SEF (nk)</t>
  </si>
  <si>
    <t>KSA(nk)</t>
  </si>
  <si>
    <t>TVM (k)</t>
  </si>
  <si>
    <t>Elementkonzentration und -fracht in der nicht konformen Klärschlammasche</t>
  </si>
  <si>
    <t>Elementkonzentration und -fracht in der konformen Klärschlammasche</t>
  </si>
  <si>
    <t>Sprüh-Suspension</t>
  </si>
  <si>
    <t>P(Sprüh-Suspension)</t>
  </si>
  <si>
    <t>TR und Wasseranteil in der Sprüh-Suspension</t>
  </si>
  <si>
    <t>Elementgehalt in der Sprüh-Suspension</t>
  </si>
  <si>
    <t>Trockenmasse in der Sprüh-Suspension</t>
  </si>
  <si>
    <t>TR und Wasseranteil</t>
  </si>
  <si>
    <t>Wassermenge(zugegeben in der Reaktion)</t>
  </si>
  <si>
    <t>Aber auf diese Weise ist P-Gehalt schon über 16,6%, deshalb ist die Zugabe der zusätzlichen Phosphorsäure nicht notwendig. P-Gehalt wird weniger höher als die Anforderung, aber das ist akzeptierbar.</t>
  </si>
  <si>
    <t xml:space="preserve">Wassermenge im Extrakt ist größer als in der Sprüh-Suspension sein sollen, daher ist keine zusätzliche Wassermenge möglich, sondern bei der Sprüh-Granulation mehr Energie verbrauchen. </t>
  </si>
  <si>
    <t>TM im Düngemittel-Produkt</t>
  </si>
  <si>
    <t>Phosphorsäure wird als 75%ige Phosphorsäure-Lösung betrachtet, nämlich die Lösung besteht aus 75% von 100%ige Phosphorsäure (Reinstoff) und 25% Wasser.</t>
  </si>
  <si>
    <t xml:space="preserve">Die Sprüh-Suspension muss eine TR von 45% haben. Also zu 55% aus Wasser bestehen. </t>
  </si>
  <si>
    <t xml:space="preserve"> Nach der Sprüh-Granulation wird das Düngemittel-Produkt eine TR von 95% und Wasseranteil von 5% haben. Alle restliche Wasser wird nach dem Prozess in die Luft gehen.</t>
  </si>
  <si>
    <t>Wassergehalt im Düngemittel-Produkt</t>
  </si>
  <si>
    <t>Das Düngemittelprodukt muss einen TR von 95 % haben. Also zu 5 % aus Wasser bestehen.</t>
  </si>
  <si>
    <t>TR von Düngemittel-Produkt</t>
  </si>
  <si>
    <t>Wasseranteil</t>
  </si>
  <si>
    <t>10 - 85 %</t>
  </si>
  <si>
    <t>10 - 60 %</t>
  </si>
  <si>
    <t xml:space="preserve"> TM im Düngemittel-Produkt</t>
  </si>
  <si>
    <t>Schwefelsäure und Phosphorsäure werden in der Praxis als Lösung in das System zugegeben, nämlich 40%ige Phosphorsäure und xx%ige Schwefelsäure.</t>
  </si>
  <si>
    <t>Phosphorsäurekonzentration</t>
  </si>
  <si>
    <t>Schwefelsäurekonzentration</t>
  </si>
  <si>
    <t>Der P-Gehalt muss durch Phosphorsäure so eingestellt werden, dass das Düngemittel-Produkt einen P2O5-Gehalt von 38% also einen P-Gehalt von 16,6% hat. Daher sollte die P-Konzentration in der Trockenmasse 166.000 mg/kg sein.</t>
  </si>
  <si>
    <t>Schwefelsäure(100%)</t>
  </si>
  <si>
    <t>Phosphorsäure(100%)</t>
  </si>
  <si>
    <t>Schwefelsäure(Lösung)</t>
  </si>
  <si>
    <t>Wasser</t>
  </si>
  <si>
    <t>Wasser in der Suspension 1</t>
  </si>
  <si>
    <t>Fällmittel</t>
  </si>
  <si>
    <t>Wasser in der Suspension 2</t>
  </si>
  <si>
    <t>Trockenmasse in der Suspension 1</t>
  </si>
  <si>
    <t>Trockenmasse in der Suspension 2</t>
  </si>
  <si>
    <t>Waschwasser</t>
  </si>
  <si>
    <t>Suspension 2 und Waschwasser</t>
  </si>
  <si>
    <t>Wasser im Filterkuchen</t>
  </si>
  <si>
    <t>Trockenmasse im Extrakt</t>
  </si>
  <si>
    <t>Wasser im Extrakt</t>
  </si>
  <si>
    <t>KSA(k-TVM)</t>
  </si>
  <si>
    <t>KSA(k-SEF)</t>
  </si>
  <si>
    <t>Wasser in der Sprüh-Suspension</t>
  </si>
  <si>
    <t>Phosphorsäure</t>
  </si>
  <si>
    <t>Klärschlammasche</t>
  </si>
  <si>
    <t>Wasser im Düngemittel-Produkt</t>
  </si>
  <si>
    <t>P2O5 im Düngemittel-Produkt</t>
  </si>
  <si>
    <t>Cd im Düngemittel-Produkt</t>
  </si>
  <si>
    <t>Cd in P2O5</t>
  </si>
  <si>
    <t>[mg/kg TM für Cd mg/kgP2O5]</t>
  </si>
  <si>
    <t>Schwefelsäure</t>
  </si>
  <si>
    <t xml:space="preserve"> Cd</t>
  </si>
  <si>
    <t>TR feste Phase</t>
  </si>
  <si>
    <t>Wasser im Fällmittel</t>
  </si>
  <si>
    <t>Klärschlammashe</t>
  </si>
  <si>
    <t>Daten von Klärschlammaschemenge</t>
  </si>
  <si>
    <t>Daten von Säure-und Wassermenge</t>
  </si>
  <si>
    <t>Daten von Fällmittel</t>
  </si>
  <si>
    <t>Daten von Filtration</t>
  </si>
  <si>
    <t>Elementgehalt in Extrakt und konforme KSA</t>
  </si>
  <si>
    <t>Wasser für TR-Einstellung</t>
  </si>
  <si>
    <t>Inputdaten (vor Schwermetall-Extraktion)</t>
  </si>
  <si>
    <t>Daten von Filtration 1</t>
  </si>
  <si>
    <t>Wasser in der Schwefel- und Phosphorsäure</t>
  </si>
  <si>
    <t>Wasser in der Schwefelsäure(Lösung)</t>
  </si>
  <si>
    <t>Outputdaten (nach Schwermetall-Extraktion)</t>
  </si>
  <si>
    <t>Wasseranteil im Filterkuchen 1</t>
  </si>
  <si>
    <t>Wasser im Filterkuchen 1</t>
  </si>
  <si>
    <t>Wasseranteil im Filterkuchen 2</t>
  </si>
  <si>
    <t>Wasser im Filterkuchen 2</t>
  </si>
  <si>
    <t>Daten von Fällungsrate</t>
  </si>
  <si>
    <t>Trockenmasse im Filtrat</t>
  </si>
  <si>
    <t>Trockenmasse im Filterkuchen 1</t>
  </si>
  <si>
    <t>Wasser im Filtrat</t>
  </si>
  <si>
    <t>Daten vonFällmittel</t>
  </si>
  <si>
    <t>ρNa2S</t>
  </si>
  <si>
    <t>ρH2O</t>
  </si>
  <si>
    <t>ρNa2S-Lösung</t>
  </si>
  <si>
    <t>Dichte von Suspension</t>
  </si>
  <si>
    <t>Volumen von Suspension 1</t>
  </si>
  <si>
    <t>Fällmittelvolumen</t>
  </si>
  <si>
    <t>Dichte von Fällmittel</t>
  </si>
  <si>
    <t>Na2S-Anteil im Fällmittel</t>
  </si>
  <si>
    <t>Wasseranteil im Fällmittel</t>
  </si>
  <si>
    <t>Extrakt(P-reich)</t>
  </si>
  <si>
    <t>Wasseranteil im Filterkuchen</t>
  </si>
  <si>
    <t>TR</t>
  </si>
  <si>
    <t>Düngemittel-Produkt</t>
  </si>
  <si>
    <t>Wasser(Dampf)</t>
  </si>
  <si>
    <t>P2O5-Anteil im Düngemittel-Produkt</t>
  </si>
  <si>
    <t>Elementgehalt in Filtrat, Filterkuchen 1 und konforme KSA</t>
  </si>
  <si>
    <t>Dichte von Extrakt(P-reich)</t>
  </si>
  <si>
    <t>Volumen von Extrakt(P-reich)</t>
  </si>
  <si>
    <t>Filtrat(SM-arm)</t>
  </si>
  <si>
    <t>Prozess 1: Reaktion</t>
  </si>
  <si>
    <t>Sensitivität Analyse von Modell PHOS4green-Verfahren mit Phosphorextraktion</t>
  </si>
  <si>
    <t>TVM-KSA(k)</t>
  </si>
  <si>
    <t>SEF-KSA(k)</t>
  </si>
  <si>
    <t>Zusammenfassung der Ausgangsstoffe</t>
  </si>
  <si>
    <t>Ausgangsstoff</t>
  </si>
  <si>
    <t>Menge</t>
  </si>
  <si>
    <t>ISH-KSA</t>
  </si>
  <si>
    <t>SEF-KSA</t>
  </si>
  <si>
    <t>TVM-KSA</t>
  </si>
  <si>
    <t>Wasser zur TR-Einstellung</t>
  </si>
  <si>
    <t>Phosphorsäure für Reaktion(100%)</t>
  </si>
  <si>
    <t>Phosphorsäure für Vorbehandlung(100%)</t>
  </si>
  <si>
    <t>Phosphorsäure für Vorbehandlung(Lösung)</t>
  </si>
  <si>
    <t>Phosphorsäure für Reaktion(75%-Lösung)</t>
  </si>
  <si>
    <t>Gesamtphosphorsäure(100%)</t>
  </si>
  <si>
    <t>P-Säure/Düngemittel-Produkt</t>
  </si>
  <si>
    <t>[t/t]</t>
  </si>
  <si>
    <t>Sensitivität Analyse von Modell PHOS4green-Verfahren</t>
  </si>
  <si>
    <t>TR der Sprüh-Suspension</t>
  </si>
  <si>
    <t>[-]</t>
  </si>
  <si>
    <t>Verdampftes Wasser</t>
  </si>
  <si>
    <t>TR des Filterkuchens</t>
  </si>
  <si>
    <t>Wasser zur TR-Einstellung von Sprüh-Suspension</t>
  </si>
  <si>
    <t>Trockenmasse im Filterkuchen</t>
  </si>
  <si>
    <t>Sensitivität Analyse von Modell PHOS4green-Verfahren mit Schwermetallextraktion</t>
  </si>
  <si>
    <t>Daten für Sensitivität Analyse aus Modell PHOS4green-Verfahren</t>
  </si>
  <si>
    <t>ISH-KSA(nk)</t>
  </si>
  <si>
    <t>Abfallmenge</t>
  </si>
  <si>
    <t>Wasser in der Phosphorsäure(Vorbehandlung)(Lösung)</t>
  </si>
  <si>
    <t>Phosphorsäure(Vorbehandlung)(Lösung)</t>
  </si>
  <si>
    <t>Phosphorsäure(Vorbehandlung)(100%)</t>
  </si>
  <si>
    <t>Trockenmasse im Fällmittel</t>
  </si>
  <si>
    <t>Trockenmasse</t>
  </si>
  <si>
    <t>Trockenmasse im Filterkuchen 2</t>
  </si>
  <si>
    <t>Phosphorsäure für Reaktion</t>
  </si>
  <si>
    <t>P(H3PO4(Reaktion))</t>
  </si>
  <si>
    <t>Phosphorsäure-Lösung für Reaktion</t>
  </si>
  <si>
    <t>Phosphorsäure(Reaktion)(100%)</t>
  </si>
  <si>
    <t>Wasser in der Phosphorsäure(Reaktion)(75%-Lösung)</t>
  </si>
  <si>
    <t>Phosphorsäure(Reaktion)(75%-Lösung)</t>
  </si>
  <si>
    <t>Phosphorsäure(Reaktion)</t>
  </si>
  <si>
    <t>Labordaten von Filtration</t>
  </si>
  <si>
    <t>Parameter</t>
  </si>
  <si>
    <t>[g]</t>
  </si>
  <si>
    <t>Waschfiltrat</t>
  </si>
  <si>
    <t>Materialverlust</t>
  </si>
  <si>
    <t>Materialverlust-Anteil</t>
  </si>
  <si>
    <t>Input von Filtration</t>
  </si>
  <si>
    <t>Trockenmasse im Materialverlust</t>
  </si>
  <si>
    <t>Wasser im Materialverlust</t>
  </si>
  <si>
    <t>TR im Materialverlust</t>
  </si>
  <si>
    <t>Wassernateil im Materialverlust</t>
  </si>
  <si>
    <t>Extraktionsbedingungen des Modells</t>
  </si>
  <si>
    <t>Schwefelsäure und Phosphorsäure werden in der Praxis als Lösung in das System zugegeben, nämlich 40%ige Phosphorsäure und 13%ige Schwefelsäure.</t>
  </si>
  <si>
    <t>Outputdaten (nach Filtration) (mit Materialverlust)</t>
  </si>
  <si>
    <t>Rücklöseraten im Labormaßstab</t>
  </si>
  <si>
    <t>Rührungseffizienz</t>
  </si>
  <si>
    <t>Rücklöseraten im industriellen Maßstab</t>
  </si>
  <si>
    <t xml:space="preserve">Flüssige Phase </t>
  </si>
  <si>
    <t xml:space="preserve">Feste Phase </t>
  </si>
  <si>
    <t xml:space="preserve">TR feste Phase </t>
  </si>
  <si>
    <t>Konzentration in Trockenmasse</t>
  </si>
  <si>
    <t>Outputdaten (nach Filtration)(mit Materialverlust)</t>
  </si>
  <si>
    <t>Flüssige Phase (Labor)</t>
  </si>
  <si>
    <t>Feste Phase (Labor)</t>
  </si>
  <si>
    <t>TR feste Phase (Labor)</t>
  </si>
  <si>
    <t>Outputdaten (nach Filtration) (Materialverlust und Anlageeffizienz)</t>
  </si>
  <si>
    <t>Outputdaten (nach Filtration)(mit Materialverlust und Anlageeffizienz)</t>
  </si>
  <si>
    <t>Labordaten von Filtration 1</t>
  </si>
  <si>
    <t>Nach der Sprüh-Granulation wird das Düngemittel-Produkt eine TR von 95% und Wasseranteil von 5% haben. Alle restliche Wasser wird nach dem Prozess in die Luft gehen.</t>
  </si>
  <si>
    <t>Überprüfung der Elementegehalte im Düngemittel-Produkt</t>
  </si>
  <si>
    <t>Labordaten von Filtration 2</t>
  </si>
  <si>
    <t>Schwefelsäure und Phosphorsäure werden in der Praxis als Lösung in das System zugegeben, nämlich 40%ige Phosphorsäure und 8%ige Schwefelsäure.</t>
  </si>
  <si>
    <t>Messung des Feststoffs mit Waschen</t>
  </si>
  <si>
    <t>Messung der Flüssigkeit ohne Waschen</t>
  </si>
  <si>
    <t>Restfiltrat</t>
  </si>
  <si>
    <t>Outputdaten (nach Filtration)(mit Anlageeffizienz)</t>
  </si>
  <si>
    <t>Fällmittel im Labormaßstab</t>
  </si>
  <si>
    <t>Fällmittel im industriellen Maßstab</t>
  </si>
  <si>
    <t>Verdampftes Wasser/Düngemittel</t>
  </si>
  <si>
    <t>C162</t>
  </si>
  <si>
    <t>C411</t>
  </si>
  <si>
    <t>C579</t>
  </si>
  <si>
    <t>C664</t>
  </si>
  <si>
    <t>C649</t>
  </si>
  <si>
    <t>C646</t>
  </si>
  <si>
    <t>C666</t>
  </si>
  <si>
    <t>C650</t>
  </si>
  <si>
    <t>B686</t>
  </si>
  <si>
    <t>C689</t>
  </si>
  <si>
    <t>B10</t>
  </si>
  <si>
    <t>13.500-21.500</t>
  </si>
  <si>
    <t>C10</t>
  </si>
  <si>
    <t>3.000-11.000</t>
  </si>
  <si>
    <t>D10</t>
  </si>
  <si>
    <t>8.000-16.000</t>
  </si>
  <si>
    <t>B78</t>
  </si>
  <si>
    <t>P-Rücklöserate</t>
  </si>
  <si>
    <t>70%-100%</t>
  </si>
  <si>
    <t>E78</t>
  </si>
  <si>
    <t>60.000-90.000</t>
  </si>
  <si>
    <t>C209</t>
  </si>
  <si>
    <t>P-Fällungsrate</t>
  </si>
  <si>
    <t>0%-15%</t>
  </si>
  <si>
    <t>C512</t>
  </si>
  <si>
    <t>800-1.400</t>
  </si>
  <si>
    <t>B518</t>
  </si>
  <si>
    <t>C518</t>
  </si>
  <si>
    <t>75.000-105.000</t>
  </si>
  <si>
    <t>C521</t>
  </si>
  <si>
    <t>1.000-3.500</t>
  </si>
  <si>
    <t>C566</t>
  </si>
  <si>
    <t>45%-50%</t>
  </si>
  <si>
    <t>C67</t>
  </si>
  <si>
    <t>Rühreffizienz</t>
  </si>
  <si>
    <t>60%-95%</t>
  </si>
  <si>
    <t>C322</t>
  </si>
  <si>
    <t>Materialverlust-Anteil (Filtration)</t>
  </si>
  <si>
    <t>0,1%-5%</t>
  </si>
  <si>
    <t>C330</t>
  </si>
  <si>
    <t>TR des Filterkuchen</t>
  </si>
  <si>
    <t>30%-80%</t>
  </si>
  <si>
    <t>B81</t>
  </si>
  <si>
    <t>Zn-Rücklöserate</t>
  </si>
  <si>
    <t>30%-60%</t>
  </si>
  <si>
    <t>B235</t>
  </si>
  <si>
    <t>Zn-Fällungsrate</t>
  </si>
  <si>
    <t>80%-100%</t>
  </si>
  <si>
    <t>Abfall</t>
  </si>
  <si>
    <t>Gesamtphosphorsäure (100%)</t>
  </si>
  <si>
    <t>Düngermittel-Produkt</t>
  </si>
  <si>
    <t>P-säure/Düngemittel-Produkt</t>
  </si>
  <si>
    <t>Verdampftes Wasser/Düngemittel-Produkt</t>
  </si>
  <si>
    <t>Cu-Gehalt im Dünger</t>
  </si>
  <si>
    <t>Zn-Gehalt im Dünger</t>
  </si>
  <si>
    <t>C313</t>
  </si>
  <si>
    <t>C468</t>
  </si>
  <si>
    <t>C620</t>
  </si>
  <si>
    <t>C707</t>
  </si>
  <si>
    <t>C693</t>
  </si>
  <si>
    <t>C690</t>
  </si>
  <si>
    <t>C709</t>
  </si>
  <si>
    <t>C694</t>
  </si>
  <si>
    <t>B729</t>
  </si>
  <si>
    <t>C732</t>
  </si>
  <si>
    <t>C342</t>
  </si>
  <si>
    <t>C551</t>
  </si>
  <si>
    <t>B557</t>
  </si>
  <si>
    <t>C557</t>
  </si>
  <si>
    <t>C560</t>
  </si>
  <si>
    <t>C605</t>
  </si>
  <si>
    <t>C154</t>
  </si>
  <si>
    <t>TR des Filterkuchen 1</t>
  </si>
  <si>
    <t>40%-80%</t>
  </si>
  <si>
    <t>C421</t>
  </si>
  <si>
    <t>TR des Filterkuchen 2</t>
  </si>
  <si>
    <t>20%-60%</t>
  </si>
  <si>
    <t>10%-40%</t>
  </si>
  <si>
    <t>B363</t>
  </si>
  <si>
    <t>TR der Sprühsuspension</t>
  </si>
  <si>
    <t>B47</t>
  </si>
  <si>
    <t>C47</t>
  </si>
  <si>
    <t>D47</t>
  </si>
  <si>
    <t>B64</t>
  </si>
  <si>
    <t>C64</t>
  </si>
  <si>
    <t>D64</t>
  </si>
  <si>
    <t>C58</t>
  </si>
  <si>
    <t>C110</t>
  </si>
  <si>
    <t>C122</t>
  </si>
  <si>
    <t>C96</t>
  </si>
  <si>
    <t>C190</t>
  </si>
  <si>
    <t>C187</t>
  </si>
  <si>
    <t>C191</t>
  </si>
  <si>
    <t>D191</t>
  </si>
  <si>
    <t>B205</t>
  </si>
  <si>
    <t>B208</t>
  </si>
  <si>
    <t>Sensitivität Analyse PHOS4green-Verfahren</t>
  </si>
  <si>
    <t>Sensitivität Analyse Phosphorextraktion</t>
  </si>
  <si>
    <t>Sensitivität Analyse Schwermetallextraktion</t>
  </si>
  <si>
    <t>Daten von Bandfiltration</t>
  </si>
  <si>
    <t>Flüssige Phase (Bandfiltration)</t>
  </si>
  <si>
    <t>Feste Phase (Bandfiltration)</t>
  </si>
  <si>
    <t>TR feste Phase (Bandfiltration)</t>
  </si>
  <si>
    <t>P-Gehalt in SEF-KSA</t>
  </si>
  <si>
    <t>P-Gehalt in ISH-KSA</t>
  </si>
  <si>
    <t>Cu-Gehalt in SEF-KSA</t>
  </si>
  <si>
    <t>Zn-Gehalt in SEF-KSA</t>
  </si>
  <si>
    <t>P-Gehalt in TVM-KSA</t>
  </si>
  <si>
    <t>Extraktionsbedingung</t>
  </si>
  <si>
    <t>Phosphorextraktion</t>
  </si>
  <si>
    <t>Schwermetallextraktion</t>
  </si>
  <si>
    <t>Szenario 1 (SEF-KSA ohne Vorbehandlung,mit Fällung )</t>
  </si>
  <si>
    <t>Szenario 2 (SEF-KSA ohne Vorbehandlung,ohne Fällung)</t>
  </si>
  <si>
    <t>Szenario 3 (SEF-KSA mit Vorbehandlung,mit Fällung )</t>
  </si>
  <si>
    <t>Inputstrom vom System</t>
  </si>
  <si>
    <t>Outputstrom vom System</t>
  </si>
  <si>
    <t>Outputstrom des Systems</t>
  </si>
  <si>
    <t>Inputstrom des Systems</t>
  </si>
  <si>
    <t>Input-/Outputstrom des Prozesses</t>
  </si>
  <si>
    <t>Inputstrom</t>
  </si>
  <si>
    <t>Outputstrom</t>
  </si>
  <si>
    <t>Eingabedaten in das Modell, nicht frei wählbar</t>
  </si>
  <si>
    <t>Daten über Filtration</t>
  </si>
  <si>
    <t>Extraktionsbedingungen der Phosphorextraktion</t>
  </si>
  <si>
    <t>KSA(ISH mV)</t>
  </si>
  <si>
    <t>Klärschlammasche(ISH mV)</t>
  </si>
  <si>
    <t>Klärschlammasche(SEF mV)</t>
  </si>
  <si>
    <t>KSA(SEF oV)</t>
  </si>
  <si>
    <t>Klärschlammasche(SEF oV)</t>
  </si>
  <si>
    <t>KSA(TVM oV)</t>
  </si>
  <si>
    <t>Klärschlammasche(TVM oV)</t>
  </si>
  <si>
    <t>Phosphorsäure(V)</t>
  </si>
  <si>
    <t>Wasser (V)</t>
  </si>
  <si>
    <t>Szenario 4 (SEF-KSA ohne Vorbehandlung,mit Fällung )</t>
  </si>
  <si>
    <t>Szenario 5 (SEF-KSA mit Vorbehandlung,mit Fällung )</t>
  </si>
  <si>
    <t>Skalierungsfaktor des Modells</t>
  </si>
  <si>
    <t>TVM (oV)</t>
  </si>
  <si>
    <t>SEF(oV)</t>
  </si>
  <si>
    <t>KSA(oV)</t>
  </si>
  <si>
    <t>SEF (oV)</t>
  </si>
  <si>
    <t>Menge in der KSA(oV)</t>
  </si>
  <si>
    <t>Trockenmasse von Extrakt und KSA(oV)</t>
  </si>
  <si>
    <t>P(KSA(oV))</t>
  </si>
  <si>
    <t>P(H3PO4(oV))</t>
  </si>
  <si>
    <t>ISH(mV)</t>
  </si>
  <si>
    <t>KSA(mV)</t>
  </si>
  <si>
    <t>ISH (mV)</t>
  </si>
  <si>
    <t>gelöst (KSA(mV))</t>
  </si>
  <si>
    <t>ungelöst(KSA(mV))</t>
  </si>
  <si>
    <t>KSA-Menge(mV)</t>
  </si>
  <si>
    <t>Wassermenge(mV)</t>
  </si>
  <si>
    <t>Phosphorsäuremenge(mV)</t>
  </si>
  <si>
    <t>P(KSA(mV))</t>
  </si>
  <si>
    <t>S(KSA(mV))</t>
  </si>
  <si>
    <t>SEF(mV)</t>
  </si>
  <si>
    <t>SEF (mV)</t>
  </si>
  <si>
    <t>ungelöst (KSA(mV))</t>
  </si>
  <si>
    <t>ISH(oV)</t>
  </si>
  <si>
    <t>ISH (oV)</t>
  </si>
  <si>
    <t>Phosphorsäuremenge für KSA(oV)</t>
  </si>
  <si>
    <t>Phosphorsäure- und Wassermenge für KSA(oV)</t>
  </si>
  <si>
    <t>Wasser(oV)</t>
  </si>
  <si>
    <t>Trockenmasse von Filtrat, Filterkuchen 1 und KSA(oV)</t>
  </si>
  <si>
    <t>Elementkonzentration und -fracht in der nicht vorbehandelten Klärschlammasche</t>
  </si>
  <si>
    <t>Elementgehalt in der nicht vorbehandelten KSA</t>
  </si>
  <si>
    <t>KSA(ISH oV)</t>
  </si>
  <si>
    <t>Elementkonzentration und -fracht in der vorbehandelten Klärschlammasche</t>
  </si>
  <si>
    <t>Elementgehalt im Extrakt und in der nicht vorbehandelten Klärschlammasche</t>
  </si>
  <si>
    <t>Skalierungsfaktor</t>
  </si>
  <si>
    <t>Skalierungsfaktor für Anlageneffizienz</t>
  </si>
  <si>
    <t>Elementgehalt in Filtrat, Filterkuchen 1 und nicht vorbehandelter Klärschlammasche</t>
  </si>
  <si>
    <t>Phosphorsäure(Lösung)(V)</t>
  </si>
  <si>
    <t>Phosphorsäure(Lösung)(R)</t>
  </si>
  <si>
    <t>Wasser(R)</t>
  </si>
  <si>
    <t>Analyse 3: TR der Sprüh-Suspension gegen Wasser für TR-Einstellung, Verdampftes Wasser und Verdampftes Wasser/Düngemittel-Produkt</t>
  </si>
  <si>
    <t>Analyse 4 und 5: Kupfer-  und Zinkgehalt in der SEF-KSA gegen im Düngemittel-Produkt</t>
  </si>
  <si>
    <t>Daten für Sensitivität Analyse aus Szenario 1 SEFoV mit Fällung (HS)</t>
  </si>
  <si>
    <t>Analyse 1: Klärschlammasche gegen Gesamtphosphorsäure, Wasser für TR-Einstellung, Verdampftes Wasser und Düngemittel-Produkt</t>
  </si>
  <si>
    <t>Analyse 2: Phosphorgehalt in der KSA gegen Gesamtphosphorsäure,Düngemittel-Produkt und P-Säure/Düngemittel-Produkt</t>
  </si>
  <si>
    <t>Analyse 6: TR des Filterkuchens und Wasser im Filterkuchen, Abfallmenge sowie Wasser zur TR-Einstellung von Sprühsuspension</t>
  </si>
  <si>
    <t>Daten für Sensitivität Analyse aus Szenario 4 SEFoV mit Fällung (HS)</t>
  </si>
  <si>
    <t>Cu-Gehalt im Düngemittel-Produkt</t>
  </si>
  <si>
    <t>Zn-Gehalt im Düngemittel-Produkt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</si>
</sst>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64" formatCode="#,##0.0"/>
    <numFmt numFmtId="165" formatCode="0.0"/>
    <numFmt numFmtId="166" formatCode="0_);[Red]\(0\)"/>
    <numFmt numFmtId="167" formatCode="#,##0.000_);[Red]\(#,##0.000\)"/>
    <numFmt numFmtId="168" formatCode="#,##0_ "/>
    <numFmt numFmtId="169" formatCode="#,##0.0_);[Red]\(#,##0.0\)"/>
    <numFmt numFmtId="170" formatCode="0.0%"/>
    <numFmt numFmtId="171" formatCode="0.00_);[Red]\(0.00\)"/>
    <numFmt numFmtId="172" formatCode="0.000_);[Red]\(0.000\)"/>
    <numFmt numFmtId="173" formatCode="0.0_);[Red]\(0.0\)"/>
    <numFmt numFmtId="174" formatCode="#,##0_);[Red]\(#,##0\)"/>
    <numFmt numFmtId="175" formatCode="#,##0.00_ "/>
    <numFmt numFmtId="176" formatCode="#,##0.0_ "/>
    <numFmt numFmtId="177" formatCode="#,##0_ ;[Red]\-#,##0\ "/>
    <numFmt numFmtId="178" formatCode="#,##0\ _€;[Red]\-#,##0\ _€"/>
    <numFmt numFmtId="179" formatCode="#,##0.00_ ;[Red]\-#,##0.00\ "/>
    <numFmt numFmtId="180" formatCode="#,##0.00\ _€;[Red]\-#,##0.00\ _€"/>
    <numFmt numFmtId="182" formatCode="#,##0.0000"/>
    <numFmt numFmtId="183" formatCode="0.000"/>
    <numFmt numFmtId="184" formatCode="0.000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1"/>
      <color rgb="FF7030A0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indexed="81"/>
      <name val="Segoe UI"/>
      <family val="2"/>
    </font>
    <font>
      <i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b/>
      <sz val="11"/>
      <color rgb="FF000000"/>
      <name val="等线"/>
      <charset val="134"/>
    </font>
    <font>
      <sz val="12"/>
      <color rgb="FF222222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harter"/>
    </font>
    <font>
      <sz val="8"/>
      <name val="Calibri"/>
      <family val="2"/>
      <scheme val="minor"/>
    </font>
    <font>
      <sz val="11"/>
      <color theme="0" tint="-0.34998626667073579"/>
      <name val="Charter"/>
    </font>
    <font>
      <sz val="11"/>
      <name val="Charte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3EFEF"/>
        <bgColor indexed="64"/>
      </patternFill>
    </fill>
    <fill>
      <patternFill patternType="solid">
        <fgColor rgb="FFFF9966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1341">
    <xf numFmtId="0" fontId="0" fillId="0" borderId="0" xfId="0"/>
    <xf numFmtId="0" fontId="3" fillId="2" borderId="0" xfId="0" applyFont="1" applyFill="1"/>
    <xf numFmtId="0" fontId="0" fillId="0" borderId="1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4" xfId="0" applyFont="1" applyBorder="1" applyAlignment="1">
      <alignment horizontal="center"/>
    </xf>
    <xf numFmtId="3" fontId="0" fillId="0" borderId="9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0" fontId="0" fillId="2" borderId="0" xfId="0" applyFill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0" fontId="0" fillId="0" borderId="20" xfId="0" applyBorder="1"/>
    <xf numFmtId="0" fontId="0" fillId="0" borderId="22" xfId="0" applyBorder="1"/>
    <xf numFmtId="164" fontId="0" fillId="0" borderId="29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3" fontId="0" fillId="0" borderId="30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3" fontId="0" fillId="0" borderId="31" xfId="0" applyNumberFormat="1" applyBorder="1" applyAlignment="1">
      <alignment horizontal="center" vertical="center"/>
    </xf>
    <xf numFmtId="3" fontId="5" fillId="0" borderId="28" xfId="0" applyNumberFormat="1" applyFont="1" applyBorder="1" applyAlignment="1">
      <alignment horizontal="center" vertical="center"/>
    </xf>
    <xf numFmtId="3" fontId="6" fillId="0" borderId="31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3" fontId="0" fillId="0" borderId="29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6" fillId="0" borderId="31" xfId="0" applyNumberFormat="1" applyFont="1" applyBorder="1" applyAlignment="1">
      <alignment horizontal="center" vertical="center"/>
    </xf>
    <xf numFmtId="3" fontId="0" fillId="3" borderId="29" xfId="0" applyNumberFormat="1" applyFill="1" applyBorder="1" applyAlignment="1">
      <alignment horizontal="center" vertical="center"/>
    </xf>
    <xf numFmtId="3" fontId="0" fillId="3" borderId="30" xfId="0" applyNumberFormat="1" applyFill="1" applyBorder="1" applyAlignment="1">
      <alignment horizontal="center" vertical="center"/>
    </xf>
    <xf numFmtId="3" fontId="7" fillId="0" borderId="28" xfId="0" applyNumberFormat="1" applyFont="1" applyBorder="1" applyAlignment="1">
      <alignment horizontal="center" vertical="center"/>
    </xf>
    <xf numFmtId="3" fontId="8" fillId="0" borderId="31" xfId="0" applyNumberFormat="1" applyFont="1" applyBorder="1" applyAlignment="1">
      <alignment horizontal="center" vertical="center"/>
    </xf>
    <xf numFmtId="164" fontId="0" fillId="3" borderId="29" xfId="0" applyNumberFormat="1" applyFill="1" applyBorder="1" applyAlignment="1">
      <alignment horizontal="center" vertical="center"/>
    </xf>
    <xf numFmtId="3" fontId="0" fillId="3" borderId="7" xfId="0" applyNumberFormat="1" applyFill="1" applyBorder="1" applyAlignment="1">
      <alignment horizontal="center" vertical="center"/>
    </xf>
    <xf numFmtId="3" fontId="0" fillId="3" borderId="32" xfId="0" applyNumberFormat="1" applyFill="1" applyBorder="1" applyAlignment="1">
      <alignment horizontal="center" vertical="center"/>
    </xf>
    <xf numFmtId="3" fontId="7" fillId="0" borderId="6" xfId="0" applyNumberFormat="1" applyFont="1" applyBorder="1" applyAlignment="1">
      <alignment horizontal="center" vertical="center"/>
    </xf>
    <xf numFmtId="3" fontId="8" fillId="0" borderId="16" xfId="0" applyNumberFormat="1" applyFont="1" applyBorder="1" applyAlignment="1">
      <alignment horizontal="center" vertical="center"/>
    </xf>
    <xf numFmtId="3" fontId="5" fillId="0" borderId="6" xfId="0" applyNumberFormat="1" applyFont="1" applyBorder="1" applyAlignment="1">
      <alignment horizontal="center" vertical="center"/>
    </xf>
    <xf numFmtId="3" fontId="6" fillId="0" borderId="16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" fontId="0" fillId="0" borderId="2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0" fontId="9" fillId="2" borderId="0" xfId="0" applyFont="1" applyFill="1" applyAlignment="1">
      <alignment wrapText="1"/>
    </xf>
    <xf numFmtId="0" fontId="3" fillId="0" borderId="18" xfId="0" applyFont="1" applyBorder="1" applyAlignment="1">
      <alignment horizontal="center" wrapText="1"/>
    </xf>
    <xf numFmtId="0" fontId="0" fillId="0" borderId="37" xfId="0" applyBorder="1" applyAlignment="1">
      <alignment horizontal="center"/>
    </xf>
    <xf numFmtId="9" fontId="0" fillId="0" borderId="38" xfId="0" applyNumberFormat="1" applyBorder="1" applyAlignment="1">
      <alignment horizontal="center" vertical="center"/>
    </xf>
    <xf numFmtId="9" fontId="0" fillId="0" borderId="29" xfId="0" applyNumberFormat="1" applyBorder="1" applyAlignment="1">
      <alignment horizontal="center"/>
    </xf>
    <xf numFmtId="9" fontId="0" fillId="0" borderId="29" xfId="0" applyNumberFormat="1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0" fontId="0" fillId="0" borderId="39" xfId="0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/>
    </xf>
    <xf numFmtId="3" fontId="0" fillId="0" borderId="31" xfId="0" applyNumberFormat="1" applyBorder="1" applyAlignment="1">
      <alignment horizontal="center"/>
    </xf>
    <xf numFmtId="0" fontId="9" fillId="0" borderId="0" xfId="0" applyFont="1" applyAlignment="1">
      <alignment horizontal="center"/>
    </xf>
    <xf numFmtId="38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68" fontId="0" fillId="0" borderId="31" xfId="0" applyNumberFormat="1" applyBorder="1" applyAlignment="1">
      <alignment horizontal="center"/>
    </xf>
    <xf numFmtId="40" fontId="0" fillId="0" borderId="31" xfId="0" applyNumberFormat="1" applyBorder="1" applyAlignment="1">
      <alignment horizontal="center"/>
    </xf>
    <xf numFmtId="40" fontId="0" fillId="0" borderId="16" xfId="0" applyNumberFormat="1" applyBorder="1" applyAlignment="1">
      <alignment horizontal="center"/>
    </xf>
    <xf numFmtId="40" fontId="0" fillId="0" borderId="29" xfId="0" applyNumberForma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6" borderId="0" xfId="0" applyFill="1"/>
    <xf numFmtId="0" fontId="3" fillId="0" borderId="37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40" fontId="0" fillId="0" borderId="7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4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38" fontId="0" fillId="0" borderId="0" xfId="0" applyNumberFormat="1"/>
    <xf numFmtId="9" fontId="0" fillId="0" borderId="31" xfId="0" applyNumberForma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3" xfId="0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0" fontId="9" fillId="0" borderId="43" xfId="0" applyFont="1" applyBorder="1" applyAlignment="1">
      <alignment horizontal="center" vertical="center"/>
    </xf>
    <xf numFmtId="2" fontId="9" fillId="0" borderId="37" xfId="0" applyNumberFormat="1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0" fillId="0" borderId="37" xfId="0" applyBorder="1"/>
    <xf numFmtId="9" fontId="0" fillId="0" borderId="26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16" xfId="0" applyNumberFormat="1" applyBorder="1" applyAlignment="1">
      <alignment horizontal="center"/>
    </xf>
    <xf numFmtId="38" fontId="0" fillId="0" borderId="29" xfId="0" applyNumberFormat="1" applyBorder="1" applyAlignment="1">
      <alignment horizontal="center"/>
    </xf>
    <xf numFmtId="0" fontId="3" fillId="0" borderId="0" xfId="0" applyFont="1" applyAlignment="1">
      <alignment horizontal="left" vertical="center"/>
    </xf>
    <xf numFmtId="1" fontId="0" fillId="0" borderId="0" xfId="0" applyNumberFormat="1"/>
    <xf numFmtId="40" fontId="0" fillId="0" borderId="12" xfId="0" applyNumberFormat="1" applyBorder="1" applyAlignment="1">
      <alignment horizontal="center"/>
    </xf>
    <xf numFmtId="9" fontId="0" fillId="0" borderId="28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40" fontId="0" fillId="0" borderId="8" xfId="0" applyNumberFormat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3" fontId="0" fillId="7" borderId="30" xfId="0" applyNumberFormat="1" applyFill="1" applyBorder="1" applyAlignment="1">
      <alignment horizontal="center" vertical="center"/>
    </xf>
    <xf numFmtId="3" fontId="0" fillId="7" borderId="28" xfId="0" applyNumberFormat="1" applyFill="1" applyBorder="1" applyAlignment="1">
      <alignment horizontal="center" vertical="center"/>
    </xf>
    <xf numFmtId="1" fontId="0" fillId="0" borderId="23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0" borderId="43" xfId="0" applyBorder="1" applyAlignment="1">
      <alignment horizontal="center"/>
    </xf>
    <xf numFmtId="38" fontId="0" fillId="0" borderId="7" xfId="0" applyNumberFormat="1" applyBorder="1" applyAlignment="1">
      <alignment horizontal="center"/>
    </xf>
    <xf numFmtId="168" fontId="0" fillId="0" borderId="22" xfId="0" applyNumberForma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3" fillId="6" borderId="37" xfId="0" applyFont="1" applyFill="1" applyBorder="1" applyAlignment="1">
      <alignment horizontal="center" vertical="center"/>
    </xf>
    <xf numFmtId="0" fontId="3" fillId="0" borderId="4" xfId="0" applyFont="1" applyBorder="1"/>
    <xf numFmtId="9" fontId="0" fillId="0" borderId="16" xfId="0" applyNumberFormat="1" applyBorder="1" applyAlignment="1">
      <alignment horizontal="center"/>
    </xf>
    <xf numFmtId="40" fontId="0" fillId="0" borderId="11" xfId="0" applyNumberFormat="1" applyBorder="1" applyAlignment="1">
      <alignment horizontal="center"/>
    </xf>
    <xf numFmtId="170" fontId="0" fillId="0" borderId="6" xfId="1" applyNumberFormat="1" applyFont="1" applyBorder="1" applyAlignment="1">
      <alignment horizontal="center"/>
    </xf>
    <xf numFmtId="170" fontId="0" fillId="0" borderId="7" xfId="1" applyNumberFormat="1" applyFont="1" applyBorder="1" applyAlignment="1">
      <alignment horizontal="center"/>
    </xf>
    <xf numFmtId="9" fontId="0" fillId="0" borderId="16" xfId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9" fontId="8" fillId="0" borderId="31" xfId="0" applyNumberFormat="1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2" fontId="9" fillId="0" borderId="49" xfId="0" applyNumberFormat="1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52" xfId="0" applyBorder="1" applyAlignment="1">
      <alignment horizontal="center"/>
    </xf>
    <xf numFmtId="40" fontId="0" fillId="0" borderId="2" xfId="0" applyNumberFormat="1" applyBorder="1" applyAlignment="1">
      <alignment horizontal="center"/>
    </xf>
    <xf numFmtId="40" fontId="0" fillId="0" borderId="28" xfId="0" applyNumberFormat="1" applyBorder="1" applyAlignment="1">
      <alignment horizontal="center"/>
    </xf>
    <xf numFmtId="40" fontId="0" fillId="0" borderId="6" xfId="0" applyNumberFormat="1" applyBorder="1" applyAlignment="1">
      <alignment horizontal="center"/>
    </xf>
    <xf numFmtId="38" fontId="0" fillId="0" borderId="2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38" fontId="0" fillId="0" borderId="28" xfId="0" applyNumberFormat="1" applyBorder="1" applyAlignment="1">
      <alignment horizontal="center"/>
    </xf>
    <xf numFmtId="38" fontId="0" fillId="0" borderId="6" xfId="0" applyNumberForma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53" xfId="0" applyBorder="1"/>
    <xf numFmtId="0" fontId="0" fillId="9" borderId="0" xfId="0" applyFill="1"/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4" fillId="0" borderId="1" xfId="0" applyFont="1" applyBorder="1"/>
    <xf numFmtId="0" fontId="0" fillId="0" borderId="54" xfId="0" applyBorder="1"/>
    <xf numFmtId="0" fontId="4" fillId="0" borderId="5" xfId="0" applyFont="1" applyBorder="1"/>
    <xf numFmtId="0" fontId="3" fillId="0" borderId="36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0" fillId="0" borderId="40" xfId="0" applyBorder="1"/>
    <xf numFmtId="0" fontId="0" fillId="0" borderId="59" xfId="0" applyBorder="1"/>
    <xf numFmtId="0" fontId="0" fillId="0" borderId="2" xfId="0" applyBorder="1"/>
    <xf numFmtId="0" fontId="0" fillId="0" borderId="28" xfId="0" applyBorder="1" applyAlignment="1">
      <alignment horizontal="center"/>
    </xf>
    <xf numFmtId="0" fontId="3" fillId="9" borderId="19" xfId="0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40" fontId="13" fillId="0" borderId="0" xfId="0" applyNumberFormat="1" applyFont="1" applyAlignment="1">
      <alignment horizontal="center"/>
    </xf>
    <xf numFmtId="0" fontId="3" fillId="0" borderId="5" xfId="0" applyFont="1" applyBorder="1" applyAlignment="1">
      <alignment horizontal="left"/>
    </xf>
    <xf numFmtId="0" fontId="0" fillId="0" borderId="48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9" borderId="41" xfId="0" applyFont="1" applyFill="1" applyBorder="1" applyAlignment="1">
      <alignment horizontal="center"/>
    </xf>
    <xf numFmtId="0" fontId="3" fillId="9" borderId="11" xfId="0" applyFont="1" applyFill="1" applyBorder="1" applyAlignment="1">
      <alignment horizontal="center"/>
    </xf>
    <xf numFmtId="0" fontId="3" fillId="9" borderId="12" xfId="0" applyFont="1" applyFill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63" xfId="0" applyFont="1" applyBorder="1"/>
    <xf numFmtId="170" fontId="0" fillId="0" borderId="29" xfId="1" applyNumberFormat="1" applyFont="1" applyBorder="1" applyAlignment="1">
      <alignment horizontal="center"/>
    </xf>
    <xf numFmtId="170" fontId="0" fillId="0" borderId="28" xfId="1" applyNumberFormat="1" applyFont="1" applyBorder="1" applyAlignment="1">
      <alignment horizontal="center"/>
    </xf>
    <xf numFmtId="170" fontId="0" fillId="0" borderId="26" xfId="1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/>
    </xf>
    <xf numFmtId="9" fontId="3" fillId="0" borderId="12" xfId="0" applyNumberFormat="1" applyFont="1" applyBorder="1" applyAlignment="1">
      <alignment horizontal="center" vertical="center"/>
    </xf>
    <xf numFmtId="9" fontId="9" fillId="0" borderId="12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3" borderId="17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center"/>
    </xf>
    <xf numFmtId="9" fontId="3" fillId="0" borderId="11" xfId="0" applyNumberFormat="1" applyFon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2" xfId="0" applyBorder="1"/>
    <xf numFmtId="0" fontId="0" fillId="0" borderId="55" xfId="0" applyBorder="1"/>
    <xf numFmtId="0" fontId="3" fillId="0" borderId="49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170" fontId="0" fillId="0" borderId="31" xfId="1" applyNumberFormat="1" applyFont="1" applyFill="1" applyBorder="1" applyAlignment="1">
      <alignment horizontal="center"/>
    </xf>
    <xf numFmtId="0" fontId="9" fillId="0" borderId="55" xfId="0" applyFont="1" applyBorder="1" applyAlignment="1">
      <alignment horizontal="center" vertical="center"/>
    </xf>
    <xf numFmtId="168" fontId="0" fillId="0" borderId="21" xfId="0" applyNumberFormat="1" applyBorder="1" applyAlignment="1">
      <alignment horizontal="center"/>
    </xf>
    <xf numFmtId="168" fontId="0" fillId="0" borderId="2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0" fillId="0" borderId="28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1" xfId="0" applyBorder="1" applyAlignment="1">
      <alignment horizontal="center"/>
    </xf>
    <xf numFmtId="174" fontId="0" fillId="0" borderId="0" xfId="0" applyNumberFormat="1" applyAlignment="1">
      <alignment horizontal="center"/>
    </xf>
    <xf numFmtId="3" fontId="0" fillId="0" borderId="29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175" fontId="0" fillId="0" borderId="16" xfId="0" applyNumberFormat="1" applyBorder="1" applyAlignment="1">
      <alignment horizontal="center"/>
    </xf>
    <xf numFmtId="175" fontId="0" fillId="0" borderId="26" xfId="0" applyNumberFormat="1" applyBorder="1" applyAlignment="1">
      <alignment horizontal="center"/>
    </xf>
    <xf numFmtId="175" fontId="0" fillId="0" borderId="23" xfId="0" applyNumberFormat="1" applyBorder="1" applyAlignment="1">
      <alignment horizontal="center"/>
    </xf>
    <xf numFmtId="175" fontId="0" fillId="0" borderId="22" xfId="0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38" fontId="9" fillId="0" borderId="46" xfId="0" applyNumberFormat="1" applyFont="1" applyBorder="1" applyAlignment="1">
      <alignment horizontal="center"/>
    </xf>
    <xf numFmtId="168" fontId="9" fillId="0" borderId="46" xfId="0" applyNumberFormat="1" applyFont="1" applyBorder="1" applyAlignment="1">
      <alignment horizontal="center"/>
    </xf>
    <xf numFmtId="175" fontId="9" fillId="0" borderId="46" xfId="0" applyNumberFormat="1" applyFont="1" applyBorder="1" applyAlignment="1">
      <alignment horizontal="center"/>
    </xf>
    <xf numFmtId="168" fontId="9" fillId="0" borderId="67" xfId="0" applyNumberFormat="1" applyFont="1" applyBorder="1" applyAlignment="1">
      <alignment horizontal="center"/>
    </xf>
    <xf numFmtId="170" fontId="9" fillId="0" borderId="65" xfId="0" applyNumberFormat="1" applyFont="1" applyBorder="1" applyAlignment="1">
      <alignment horizontal="center"/>
    </xf>
    <xf numFmtId="0" fontId="3" fillId="0" borderId="68" xfId="0" applyFont="1" applyBorder="1" applyAlignment="1">
      <alignment horizontal="center"/>
    </xf>
    <xf numFmtId="3" fontId="0" fillId="3" borderId="9" xfId="0" applyNumberFormat="1" applyFill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0" fillId="0" borderId="51" xfId="0" applyBorder="1"/>
    <xf numFmtId="0" fontId="3" fillId="6" borderId="37" xfId="0" applyFont="1" applyFill="1" applyBorder="1" applyAlignment="1">
      <alignment horizontal="center"/>
    </xf>
    <xf numFmtId="38" fontId="3" fillId="6" borderId="31" xfId="0" applyNumberFormat="1" applyFont="1" applyFill="1" applyBorder="1" applyAlignment="1">
      <alignment horizontal="center"/>
    </xf>
    <xf numFmtId="0" fontId="3" fillId="6" borderId="39" xfId="0" applyFont="1" applyFill="1" applyBorder="1" applyAlignment="1">
      <alignment horizontal="center"/>
    </xf>
    <xf numFmtId="38" fontId="3" fillId="6" borderId="16" xfId="0" applyNumberFormat="1" applyFont="1" applyFill="1" applyBorder="1" applyAlignment="1">
      <alignment horizontal="center"/>
    </xf>
    <xf numFmtId="0" fontId="9" fillId="3" borderId="37" xfId="0" applyFont="1" applyFill="1" applyBorder="1" applyAlignment="1">
      <alignment horizontal="center"/>
    </xf>
    <xf numFmtId="0" fontId="13" fillId="3" borderId="28" xfId="0" applyFont="1" applyFill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38" xfId="0" applyFont="1" applyFill="1" applyBorder="1" applyAlignment="1">
      <alignment horizontal="center"/>
    </xf>
    <xf numFmtId="3" fontId="0" fillId="9" borderId="2" xfId="0" applyNumberFormat="1" applyFill="1" applyBorder="1" applyAlignment="1">
      <alignment horizontal="center" vertical="center"/>
    </xf>
    <xf numFmtId="3" fontId="0" fillId="9" borderId="20" xfId="0" applyNumberFormat="1" applyFill="1" applyBorder="1" applyAlignment="1">
      <alignment horizontal="center" vertical="center"/>
    </xf>
    <xf numFmtId="3" fontId="0" fillId="9" borderId="44" xfId="0" applyNumberFormat="1" applyFill="1" applyBorder="1" applyAlignment="1">
      <alignment horizontal="center" vertical="center"/>
    </xf>
    <xf numFmtId="3" fontId="0" fillId="9" borderId="9" xfId="0" applyNumberFormat="1" applyFill="1" applyBorder="1" applyAlignment="1">
      <alignment horizontal="center" vertical="center"/>
    </xf>
    <xf numFmtId="3" fontId="0" fillId="9" borderId="25" xfId="0" applyNumberFormat="1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9" fontId="0" fillId="9" borderId="2" xfId="0" applyNumberForma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9" fillId="3" borderId="43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38" fontId="0" fillId="3" borderId="31" xfId="0" applyNumberFormat="1" applyFill="1" applyBorder="1" applyAlignment="1">
      <alignment horizontal="center"/>
    </xf>
    <xf numFmtId="168" fontId="3" fillId="6" borderId="16" xfId="0" applyNumberFormat="1" applyFont="1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13" fillId="3" borderId="29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9" fontId="0" fillId="9" borderId="12" xfId="0" applyNumberFormat="1" applyFill="1" applyBorder="1" applyAlignment="1">
      <alignment horizontal="center" vertical="center"/>
    </xf>
    <xf numFmtId="38" fontId="0" fillId="3" borderId="22" xfId="0" applyNumberFormat="1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168" fontId="0" fillId="3" borderId="31" xfId="0" applyNumberForma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168" fontId="3" fillId="3" borderId="16" xfId="0" applyNumberFormat="1" applyFont="1" applyFill="1" applyBorder="1" applyAlignment="1">
      <alignment horizontal="center"/>
    </xf>
    <xf numFmtId="167" fontId="0" fillId="3" borderId="3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3" fontId="0" fillId="3" borderId="12" xfId="0" applyNumberFormat="1" applyFill="1" applyBorder="1" applyAlignment="1">
      <alignment horizontal="center"/>
    </xf>
    <xf numFmtId="3" fontId="0" fillId="3" borderId="31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3" fontId="0" fillId="3" borderId="22" xfId="0" applyNumberFormat="1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13" fillId="6" borderId="37" xfId="0" applyFont="1" applyFill="1" applyBorder="1" applyAlignment="1">
      <alignment horizontal="center"/>
    </xf>
    <xf numFmtId="10" fontId="13" fillId="6" borderId="31" xfId="0" applyNumberFormat="1" applyFont="1" applyFill="1" applyBorder="1" applyAlignment="1">
      <alignment horizontal="center"/>
    </xf>
    <xf numFmtId="0" fontId="13" fillId="6" borderId="39" xfId="0" applyFont="1" applyFill="1" applyBorder="1" applyAlignment="1">
      <alignment horizontal="center"/>
    </xf>
    <xf numFmtId="10" fontId="13" fillId="6" borderId="16" xfId="1" applyNumberFormat="1" applyFont="1" applyFill="1" applyBorder="1" applyAlignment="1">
      <alignment horizontal="center"/>
    </xf>
    <xf numFmtId="10" fontId="13" fillId="6" borderId="16" xfId="0" applyNumberFormat="1" applyFont="1" applyFill="1" applyBorder="1" applyAlignment="1">
      <alignment horizontal="center"/>
    </xf>
    <xf numFmtId="9" fontId="9" fillId="3" borderId="12" xfId="0" applyNumberFormat="1" applyFont="1" applyFill="1" applyBorder="1" applyAlignment="1">
      <alignment horizontal="center" vertical="center"/>
    </xf>
    <xf numFmtId="9" fontId="0" fillId="3" borderId="38" xfId="0" applyNumberFormat="1" applyFill="1" applyBorder="1" applyAlignment="1">
      <alignment horizontal="center" vertical="center"/>
    </xf>
    <xf numFmtId="0" fontId="0" fillId="3" borderId="31" xfId="0" applyFill="1" applyBorder="1" applyAlignment="1">
      <alignment horizontal="center"/>
    </xf>
    <xf numFmtId="2" fontId="0" fillId="3" borderId="31" xfId="0" applyNumberForma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3" fillId="6" borderId="28" xfId="0" applyFont="1" applyFill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9" fontId="0" fillId="3" borderId="31" xfId="1" applyFont="1" applyFill="1" applyBorder="1" applyAlignment="1">
      <alignment horizontal="center"/>
    </xf>
    <xf numFmtId="38" fontId="0" fillId="3" borderId="12" xfId="0" applyNumberFormat="1" applyFill="1" applyBorder="1" applyAlignment="1">
      <alignment horizontal="center"/>
    </xf>
    <xf numFmtId="170" fontId="0" fillId="3" borderId="31" xfId="1" applyNumberFormat="1" applyFont="1" applyFill="1" applyBorder="1" applyAlignment="1">
      <alignment horizontal="center"/>
    </xf>
    <xf numFmtId="0" fontId="3" fillId="3" borderId="37" xfId="0" applyFont="1" applyFill="1" applyBorder="1" applyAlignment="1">
      <alignment horizontal="center"/>
    </xf>
    <xf numFmtId="38" fontId="3" fillId="3" borderId="31" xfId="0" applyNumberFormat="1" applyFont="1" applyFill="1" applyBorder="1" applyAlignment="1">
      <alignment horizontal="center"/>
    </xf>
    <xf numFmtId="168" fontId="3" fillId="3" borderId="31" xfId="0" applyNumberFormat="1" applyFon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168" fontId="0" fillId="3" borderId="16" xfId="0" applyNumberFormat="1" applyFill="1" applyBorder="1" applyAlignment="1">
      <alignment horizontal="center"/>
    </xf>
    <xf numFmtId="168" fontId="3" fillId="6" borderId="31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3" fillId="3" borderId="37" xfId="0" applyFont="1" applyFill="1" applyBorder="1" applyAlignment="1">
      <alignment horizontal="center" vertical="center"/>
    </xf>
    <xf numFmtId="38" fontId="3" fillId="3" borderId="22" xfId="0" applyNumberFormat="1" applyFont="1" applyFill="1" applyBorder="1" applyAlignment="1">
      <alignment horizontal="center"/>
    </xf>
    <xf numFmtId="0" fontId="4" fillId="0" borderId="0" xfId="0" applyFont="1"/>
    <xf numFmtId="0" fontId="3" fillId="9" borderId="39" xfId="0" applyFont="1" applyFill="1" applyBorder="1" applyAlignment="1">
      <alignment horizontal="center" vertical="center"/>
    </xf>
    <xf numFmtId="38" fontId="0" fillId="6" borderId="38" xfId="0" applyNumberFormat="1" applyFill="1" applyBorder="1" applyAlignment="1">
      <alignment horizontal="center"/>
    </xf>
    <xf numFmtId="0" fontId="4" fillId="6" borderId="43" xfId="0" applyFont="1" applyFill="1" applyBorder="1" applyAlignment="1">
      <alignment horizontal="center" vertical="center"/>
    </xf>
    <xf numFmtId="0" fontId="4" fillId="6" borderId="39" xfId="0" applyFont="1" applyFill="1" applyBorder="1" applyAlignment="1">
      <alignment horizontal="center" vertical="center"/>
    </xf>
    <xf numFmtId="38" fontId="4" fillId="6" borderId="22" xfId="0" applyNumberFormat="1" applyFont="1" applyFill="1" applyBorder="1" applyAlignment="1">
      <alignment horizontal="center"/>
    </xf>
    <xf numFmtId="38" fontId="4" fillId="6" borderId="16" xfId="0" applyNumberFormat="1" applyFont="1" applyFill="1" applyBorder="1" applyAlignment="1">
      <alignment horizontal="center"/>
    </xf>
    <xf numFmtId="0" fontId="3" fillId="3" borderId="43" xfId="0" applyFont="1" applyFill="1" applyBorder="1" applyAlignment="1">
      <alignment horizontal="center"/>
    </xf>
    <xf numFmtId="3" fontId="3" fillId="3" borderId="22" xfId="0" applyNumberFormat="1" applyFont="1" applyFill="1" applyBorder="1" applyAlignment="1">
      <alignment horizontal="center"/>
    </xf>
    <xf numFmtId="0" fontId="3" fillId="3" borderId="43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38" fontId="3" fillId="3" borderId="16" xfId="0" applyNumberFormat="1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3" fontId="9" fillId="3" borderId="22" xfId="0" applyNumberFormat="1" applyFont="1" applyFill="1" applyBorder="1" applyAlignment="1">
      <alignment horizontal="center"/>
    </xf>
    <xf numFmtId="0" fontId="9" fillId="3" borderId="39" xfId="0" applyFont="1" applyFill="1" applyBorder="1" applyAlignment="1">
      <alignment horizontal="center" vertical="center"/>
    </xf>
    <xf numFmtId="38" fontId="0" fillId="3" borderId="16" xfId="0" applyNumberFormat="1" applyFill="1" applyBorder="1" applyAlignment="1">
      <alignment horizontal="center"/>
    </xf>
    <xf numFmtId="0" fontId="3" fillId="3" borderId="39" xfId="0" applyFont="1" applyFill="1" applyBorder="1" applyAlignment="1">
      <alignment horizontal="center"/>
    </xf>
    <xf numFmtId="0" fontId="9" fillId="3" borderId="38" xfId="0" applyFont="1" applyFill="1" applyBorder="1" applyAlignment="1">
      <alignment horizontal="center"/>
    </xf>
    <xf numFmtId="3" fontId="9" fillId="3" borderId="31" xfId="0" applyNumberFormat="1" applyFont="1" applyFill="1" applyBorder="1" applyAlignment="1">
      <alignment horizontal="center"/>
    </xf>
    <xf numFmtId="0" fontId="9" fillId="3" borderId="37" xfId="0" applyFont="1" applyFill="1" applyBorder="1" applyAlignment="1">
      <alignment horizontal="center" vertical="center"/>
    </xf>
    <xf numFmtId="0" fontId="0" fillId="3" borderId="42" xfId="0" applyFill="1" applyBorder="1" applyAlignment="1">
      <alignment horizontal="center"/>
    </xf>
    <xf numFmtId="0" fontId="3" fillId="3" borderId="49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9" fontId="0" fillId="3" borderId="28" xfId="0" applyNumberFormat="1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3" fontId="0" fillId="9" borderId="3" xfId="0" applyNumberFormat="1" applyFill="1" applyBorder="1" applyAlignment="1">
      <alignment horizontal="center" vertical="center"/>
    </xf>
    <xf numFmtId="3" fontId="0" fillId="9" borderId="28" xfId="0" applyNumberFormat="1" applyFill="1" applyBorder="1" applyAlignment="1">
      <alignment horizontal="center" vertical="center"/>
    </xf>
    <xf numFmtId="3" fontId="0" fillId="9" borderId="30" xfId="0" applyNumberFormat="1" applyFill="1" applyBorder="1" applyAlignment="1">
      <alignment horizontal="center" vertical="center"/>
    </xf>
    <xf numFmtId="3" fontId="0" fillId="9" borderId="6" xfId="0" applyNumberFormat="1" applyFill="1" applyBorder="1" applyAlignment="1">
      <alignment horizontal="center" vertical="center"/>
    </xf>
    <xf numFmtId="3" fontId="0" fillId="9" borderId="32" xfId="0" applyNumberForma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/>
    </xf>
    <xf numFmtId="9" fontId="0" fillId="3" borderId="23" xfId="0" applyNumberFormat="1" applyFill="1" applyBorder="1" applyAlignment="1">
      <alignment horizontal="center"/>
    </xf>
    <xf numFmtId="40" fontId="0" fillId="3" borderId="22" xfId="0" applyNumberFormat="1" applyFill="1" applyBorder="1" applyAlignment="1">
      <alignment horizontal="center"/>
    </xf>
    <xf numFmtId="9" fontId="0" fillId="3" borderId="38" xfId="0" applyNumberFormat="1" applyFill="1" applyBorder="1" applyAlignment="1">
      <alignment horizontal="center"/>
    </xf>
    <xf numFmtId="3" fontId="0" fillId="3" borderId="29" xfId="0" applyNumberFormat="1" applyFill="1" applyBorder="1" applyAlignment="1">
      <alignment horizontal="center"/>
    </xf>
    <xf numFmtId="10" fontId="13" fillId="3" borderId="26" xfId="0" applyNumberFormat="1" applyFont="1" applyFill="1" applyBorder="1" applyAlignment="1">
      <alignment horizontal="center"/>
    </xf>
    <xf numFmtId="10" fontId="13" fillId="6" borderId="39" xfId="0" applyNumberFormat="1" applyFont="1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38" fontId="9" fillId="3" borderId="31" xfId="0" applyNumberFormat="1" applyFont="1" applyFill="1" applyBorder="1" applyAlignment="1">
      <alignment horizontal="center"/>
    </xf>
    <xf numFmtId="10" fontId="13" fillId="6" borderId="31" xfId="1" applyNumberFormat="1" applyFont="1" applyFill="1" applyBorder="1" applyAlignment="1">
      <alignment horizontal="center"/>
    </xf>
    <xf numFmtId="0" fontId="0" fillId="3" borderId="49" xfId="0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2" fontId="9" fillId="3" borderId="49" xfId="0" applyNumberFormat="1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/>
    </xf>
    <xf numFmtId="3" fontId="0" fillId="3" borderId="21" xfId="0" applyNumberFormat="1" applyFill="1" applyBorder="1" applyAlignment="1">
      <alignment horizontal="center"/>
    </xf>
    <xf numFmtId="3" fontId="0" fillId="3" borderId="7" xfId="0" applyNumberFormat="1" applyFill="1" applyBorder="1" applyAlignment="1">
      <alignment horizontal="center"/>
    </xf>
    <xf numFmtId="3" fontId="0" fillId="3" borderId="16" xfId="0" applyNumberFormat="1" applyFill="1" applyBorder="1" applyAlignment="1">
      <alignment horizontal="center"/>
    </xf>
    <xf numFmtId="0" fontId="4" fillId="0" borderId="26" xfId="0" applyFon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38" fontId="3" fillId="0" borderId="31" xfId="0" applyNumberFormat="1" applyFont="1" applyBorder="1" applyAlignment="1">
      <alignment horizontal="center"/>
    </xf>
    <xf numFmtId="38" fontId="3" fillId="0" borderId="16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38" fontId="3" fillId="0" borderId="22" xfId="0" applyNumberFormat="1" applyFont="1" applyBorder="1" applyAlignment="1">
      <alignment horizontal="center"/>
    </xf>
    <xf numFmtId="176" fontId="9" fillId="0" borderId="67" xfId="0" applyNumberFormat="1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3" fontId="6" fillId="0" borderId="28" xfId="0" applyNumberFormat="1" applyFont="1" applyBorder="1" applyAlignment="1">
      <alignment horizontal="center" vertical="center"/>
    </xf>
    <xf numFmtId="0" fontId="0" fillId="10" borderId="0" xfId="0" applyFill="1"/>
    <xf numFmtId="172" fontId="0" fillId="10" borderId="31" xfId="0" applyNumberFormat="1" applyFill="1" applyBorder="1" applyAlignment="1">
      <alignment horizontal="center"/>
    </xf>
    <xf numFmtId="0" fontId="9" fillId="10" borderId="37" xfId="0" applyFont="1" applyFill="1" applyBorder="1" applyAlignment="1">
      <alignment horizontal="center"/>
    </xf>
    <xf numFmtId="0" fontId="9" fillId="10" borderId="39" xfId="0" applyFont="1" applyFill="1" applyBorder="1" applyAlignment="1">
      <alignment horizontal="center"/>
    </xf>
    <xf numFmtId="0" fontId="9" fillId="0" borderId="45" xfId="0" applyFont="1" applyBorder="1" applyAlignment="1">
      <alignment horizontal="center" vertical="center"/>
    </xf>
    <xf numFmtId="38" fontId="0" fillId="6" borderId="29" xfId="0" applyNumberFormat="1" applyFill="1" applyBorder="1" applyAlignment="1">
      <alignment horizontal="center"/>
    </xf>
    <xf numFmtId="9" fontId="0" fillId="0" borderId="28" xfId="1" applyFont="1" applyBorder="1" applyAlignment="1">
      <alignment horizontal="center"/>
    </xf>
    <xf numFmtId="9" fontId="0" fillId="0" borderId="66" xfId="1" applyFont="1" applyBorder="1" applyAlignment="1">
      <alignment horizontal="center"/>
    </xf>
    <xf numFmtId="0" fontId="0" fillId="3" borderId="50" xfId="0" applyFill="1" applyBorder="1" applyAlignment="1">
      <alignment horizontal="center" vertical="center"/>
    </xf>
    <xf numFmtId="170" fontId="0" fillId="3" borderId="2" xfId="0" applyNumberFormat="1" applyFill="1" applyBorder="1" applyAlignment="1">
      <alignment horizontal="center"/>
    </xf>
    <xf numFmtId="170" fontId="0" fillId="3" borderId="28" xfId="0" applyNumberFormat="1" applyFill="1" applyBorder="1" applyAlignment="1">
      <alignment horizontal="center"/>
    </xf>
    <xf numFmtId="0" fontId="0" fillId="3" borderId="45" xfId="0" applyFill="1" applyBorder="1" applyAlignment="1">
      <alignment horizontal="center" vertical="center"/>
    </xf>
    <xf numFmtId="9" fontId="0" fillId="0" borderId="28" xfId="1" applyFont="1" applyFill="1" applyBorder="1" applyAlignment="1">
      <alignment horizontal="center"/>
    </xf>
    <xf numFmtId="0" fontId="0" fillId="0" borderId="66" xfId="0" applyBorder="1" applyAlignment="1">
      <alignment horizontal="center"/>
    </xf>
    <xf numFmtId="38" fontId="0" fillId="6" borderId="11" xfId="0" applyNumberFormat="1" applyFill="1" applyBorder="1" applyAlignment="1">
      <alignment horizontal="center"/>
    </xf>
    <xf numFmtId="38" fontId="0" fillId="6" borderId="7" xfId="0" applyNumberFormat="1" applyFill="1" applyBorder="1" applyAlignment="1">
      <alignment horizontal="center"/>
    </xf>
    <xf numFmtId="0" fontId="0" fillId="0" borderId="50" xfId="0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0" fillId="9" borderId="31" xfId="0" applyNumberFormat="1" applyFill="1" applyBorder="1" applyAlignment="1">
      <alignment horizontal="center" vertical="center"/>
    </xf>
    <xf numFmtId="3" fontId="0" fillId="9" borderId="16" xfId="0" applyNumberFormat="1" applyFill="1" applyBorder="1" applyAlignment="1">
      <alignment horizontal="center" vertical="center"/>
    </xf>
    <xf numFmtId="0" fontId="3" fillId="0" borderId="19" xfId="0" applyFont="1" applyBorder="1" applyAlignment="1">
      <alignment horizontal="left"/>
    </xf>
    <xf numFmtId="0" fontId="9" fillId="0" borderId="39" xfId="0" applyFont="1" applyBorder="1" applyAlignment="1">
      <alignment horizontal="center"/>
    </xf>
    <xf numFmtId="0" fontId="3" fillId="9" borderId="43" xfId="0" applyFont="1" applyFill="1" applyBorder="1" applyAlignment="1">
      <alignment horizontal="center"/>
    </xf>
    <xf numFmtId="3" fontId="0" fillId="9" borderId="48" xfId="0" applyNumberFormat="1" applyFill="1" applyBorder="1" applyAlignment="1">
      <alignment horizontal="center" vertical="center"/>
    </xf>
    <xf numFmtId="3" fontId="0" fillId="9" borderId="40" xfId="0" applyNumberFormat="1" applyFill="1" applyBorder="1" applyAlignment="1">
      <alignment horizontal="center" vertical="center"/>
    </xf>
    <xf numFmtId="0" fontId="9" fillId="10" borderId="49" xfId="0" applyFont="1" applyFill="1" applyBorder="1" applyAlignment="1">
      <alignment horizontal="center"/>
    </xf>
    <xf numFmtId="169" fontId="0" fillId="10" borderId="16" xfId="0" applyNumberFormat="1" applyFill="1" applyBorder="1" applyAlignment="1">
      <alignment horizontal="center"/>
    </xf>
    <xf numFmtId="0" fontId="9" fillId="10" borderId="51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0" borderId="19" xfId="0" applyFont="1" applyBorder="1"/>
    <xf numFmtId="0" fontId="3" fillId="0" borderId="37" xfId="0" applyFont="1" applyBorder="1"/>
    <xf numFmtId="0" fontId="3" fillId="3" borderId="2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70" xfId="0" applyBorder="1" applyAlignment="1">
      <alignment horizontal="center"/>
    </xf>
    <xf numFmtId="177" fontId="0" fillId="0" borderId="29" xfId="0" applyNumberFormat="1" applyBorder="1" applyAlignment="1">
      <alignment horizontal="center"/>
    </xf>
    <xf numFmtId="10" fontId="0" fillId="6" borderId="29" xfId="0" applyNumberFormat="1" applyFill="1" applyBorder="1" applyAlignment="1">
      <alignment horizontal="center"/>
    </xf>
    <xf numFmtId="3" fontId="0" fillId="6" borderId="29" xfId="0" applyNumberFormat="1" applyFill="1" applyBorder="1" applyAlignment="1">
      <alignment horizontal="center"/>
    </xf>
    <xf numFmtId="10" fontId="0" fillId="6" borderId="29" xfId="1" applyNumberFormat="1" applyFont="1" applyFill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10" fontId="0" fillId="6" borderId="11" xfId="0" applyNumberFormat="1" applyFill="1" applyBorder="1" applyAlignment="1">
      <alignment horizontal="center"/>
    </xf>
    <xf numFmtId="3" fontId="0" fillId="6" borderId="11" xfId="0" applyNumberFormat="1" applyFill="1" applyBorder="1" applyAlignment="1">
      <alignment horizontal="center"/>
    </xf>
    <xf numFmtId="10" fontId="0" fillId="6" borderId="11" xfId="1" applyNumberFormat="1" applyFont="1" applyFill="1" applyBorder="1" applyAlignment="1">
      <alignment horizontal="center"/>
    </xf>
    <xf numFmtId="10" fontId="0" fillId="6" borderId="12" xfId="0" applyNumberFormat="1" applyFill="1" applyBorder="1" applyAlignment="1">
      <alignment horizontal="center"/>
    </xf>
    <xf numFmtId="10" fontId="0" fillId="6" borderId="31" xfId="0" applyNumberFormat="1" applyFill="1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0" fontId="0" fillId="6" borderId="7" xfId="0" applyNumberFormat="1" applyFill="1" applyBorder="1" applyAlignment="1">
      <alignment horizontal="center"/>
    </xf>
    <xf numFmtId="3" fontId="0" fillId="6" borderId="7" xfId="0" applyNumberFormat="1" applyFill="1" applyBorder="1" applyAlignment="1">
      <alignment horizontal="center"/>
    </xf>
    <xf numFmtId="10" fontId="0" fillId="6" borderId="7" xfId="1" applyNumberFormat="1" applyFont="1" applyFill="1" applyBorder="1" applyAlignment="1">
      <alignment horizontal="center"/>
    </xf>
    <xf numFmtId="10" fontId="0" fillId="6" borderId="16" xfId="0" applyNumberFormat="1" applyFill="1" applyBorder="1" applyAlignment="1">
      <alignment horizontal="center"/>
    </xf>
    <xf numFmtId="177" fontId="0" fillId="0" borderId="3" xfId="0" applyNumberFormat="1" applyBorder="1" applyAlignment="1">
      <alignment horizontal="center"/>
    </xf>
    <xf numFmtId="177" fontId="0" fillId="0" borderId="30" xfId="0" applyNumberFormat="1" applyBorder="1" applyAlignment="1">
      <alignment horizontal="center"/>
    </xf>
    <xf numFmtId="177" fontId="0" fillId="0" borderId="32" xfId="0" applyNumberFormat="1" applyBorder="1" applyAlignment="1">
      <alignment horizontal="center"/>
    </xf>
    <xf numFmtId="38" fontId="0" fillId="6" borderId="2" xfId="0" applyNumberFormat="1" applyFill="1" applyBorder="1" applyAlignment="1">
      <alignment horizontal="center"/>
    </xf>
    <xf numFmtId="38" fontId="0" fillId="6" borderId="28" xfId="0" applyNumberFormat="1" applyFill="1" applyBorder="1" applyAlignment="1">
      <alignment horizontal="center"/>
    </xf>
    <xf numFmtId="38" fontId="0" fillId="6" borderId="6" xfId="0" applyNumberFormat="1" applyFill="1" applyBorder="1" applyAlignment="1">
      <alignment horizontal="center"/>
    </xf>
    <xf numFmtId="0" fontId="3" fillId="10" borderId="53" xfId="0" applyFont="1" applyFill="1" applyBorder="1" applyAlignment="1">
      <alignment horizontal="center"/>
    </xf>
    <xf numFmtId="9" fontId="0" fillId="10" borderId="43" xfId="0" applyNumberFormat="1" applyFill="1" applyBorder="1" applyAlignment="1">
      <alignment horizontal="center" vertical="center"/>
    </xf>
    <xf numFmtId="9" fontId="0" fillId="10" borderId="37" xfId="0" applyNumberFormat="1" applyFill="1" applyBorder="1" applyAlignment="1">
      <alignment horizontal="center" vertical="center"/>
    </xf>
    <xf numFmtId="9" fontId="0" fillId="10" borderId="39" xfId="0" applyNumberFormat="1" applyFill="1" applyBorder="1" applyAlignment="1">
      <alignment horizontal="center" vertical="center"/>
    </xf>
    <xf numFmtId="169" fontId="0" fillId="10" borderId="31" xfId="0" applyNumberFormat="1" applyFill="1" applyBorder="1" applyAlignment="1">
      <alignment horizontal="center"/>
    </xf>
    <xf numFmtId="0" fontId="3" fillId="3" borderId="61" xfId="0" applyFont="1" applyFill="1" applyBorder="1" applyAlignment="1">
      <alignment horizontal="center"/>
    </xf>
    <xf numFmtId="0" fontId="3" fillId="0" borderId="49" xfId="0" applyFont="1" applyBorder="1"/>
    <xf numFmtId="0" fontId="3" fillId="10" borderId="17" xfId="0" applyFont="1" applyFill="1" applyBorder="1" applyAlignment="1">
      <alignment horizontal="center"/>
    </xf>
    <xf numFmtId="0" fontId="3" fillId="10" borderId="33" xfId="0" applyFont="1" applyFill="1" applyBorder="1" applyAlignment="1">
      <alignment horizontal="center"/>
    </xf>
    <xf numFmtId="0" fontId="3" fillId="10" borderId="18" xfId="0" applyFont="1" applyFill="1" applyBorder="1" applyAlignment="1">
      <alignment horizontal="center"/>
    </xf>
    <xf numFmtId="170" fontId="0" fillId="10" borderId="44" xfId="1" applyNumberFormat="1" applyFont="1" applyFill="1" applyBorder="1" applyAlignment="1">
      <alignment horizontal="center"/>
    </xf>
    <xf numFmtId="170" fontId="0" fillId="10" borderId="10" xfId="1" applyNumberFormat="1" applyFont="1" applyFill="1" applyBorder="1" applyAlignment="1">
      <alignment horizontal="center"/>
    </xf>
    <xf numFmtId="9" fontId="0" fillId="10" borderId="8" xfId="1" applyFont="1" applyFill="1" applyBorder="1" applyAlignment="1">
      <alignment horizontal="center"/>
    </xf>
    <xf numFmtId="177" fontId="0" fillId="0" borderId="2" xfId="0" applyNumberFormat="1" applyBorder="1" applyAlignment="1">
      <alignment horizontal="center"/>
    </xf>
    <xf numFmtId="10" fontId="0" fillId="6" borderId="12" xfId="1" applyNumberFormat="1" applyFont="1" applyFill="1" applyBorder="1" applyAlignment="1">
      <alignment horizontal="center"/>
    </xf>
    <xf numFmtId="177" fontId="0" fillId="0" borderId="28" xfId="0" applyNumberFormat="1" applyBorder="1" applyAlignment="1">
      <alignment horizontal="center"/>
    </xf>
    <xf numFmtId="10" fontId="0" fillId="6" borderId="31" xfId="1" applyNumberFormat="1" applyFont="1" applyFill="1" applyBorder="1" applyAlignment="1">
      <alignment horizontal="center"/>
    </xf>
    <xf numFmtId="177" fontId="0" fillId="0" borderId="6" xfId="0" applyNumberFormat="1" applyBorder="1" applyAlignment="1">
      <alignment horizontal="center"/>
    </xf>
    <xf numFmtId="10" fontId="0" fillId="6" borderId="16" xfId="1" applyNumberFormat="1" applyFont="1" applyFill="1" applyBorder="1" applyAlignment="1">
      <alignment horizontal="center"/>
    </xf>
    <xf numFmtId="38" fontId="0" fillId="6" borderId="41" xfId="0" applyNumberFormat="1" applyFill="1" applyBorder="1" applyAlignment="1">
      <alignment horizontal="center"/>
    </xf>
    <xf numFmtId="38" fontId="0" fillId="6" borderId="26" xfId="0" applyNumberFormat="1" applyFill="1" applyBorder="1" applyAlignment="1">
      <alignment horizontal="center"/>
    </xf>
    <xf numFmtId="177" fontId="0" fillId="0" borderId="12" xfId="0" applyNumberFormat="1" applyBorder="1" applyAlignment="1">
      <alignment horizontal="center"/>
    </xf>
    <xf numFmtId="177" fontId="0" fillId="0" borderId="31" xfId="0" applyNumberFormat="1" applyBorder="1" applyAlignment="1">
      <alignment horizontal="center"/>
    </xf>
    <xf numFmtId="177" fontId="0" fillId="0" borderId="16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8" fontId="0" fillId="0" borderId="32" xfId="0" applyNumberFormat="1" applyBorder="1" applyAlignment="1">
      <alignment horizontal="center"/>
    </xf>
    <xf numFmtId="168" fontId="0" fillId="0" borderId="43" xfId="0" applyNumberFormat="1" applyBorder="1" applyAlignment="1">
      <alignment horizontal="center"/>
    </xf>
    <xf numFmtId="168" fontId="0" fillId="0" borderId="37" xfId="0" applyNumberFormat="1" applyBorder="1" applyAlignment="1">
      <alignment horizontal="center"/>
    </xf>
    <xf numFmtId="168" fontId="0" fillId="0" borderId="39" xfId="0" applyNumberFormat="1" applyBorder="1" applyAlignment="1">
      <alignment horizontal="center"/>
    </xf>
    <xf numFmtId="10" fontId="0" fillId="0" borderId="12" xfId="1" applyNumberFormat="1" applyFont="1" applyFill="1" applyBorder="1" applyAlignment="1">
      <alignment horizontal="center"/>
    </xf>
    <xf numFmtId="10" fontId="0" fillId="0" borderId="31" xfId="1" applyNumberFormat="1" applyFont="1" applyFill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3" fillId="6" borderId="49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38" fontId="4" fillId="6" borderId="28" xfId="0" applyNumberFormat="1" applyFont="1" applyFill="1" applyBorder="1" applyAlignment="1">
      <alignment horizontal="center"/>
    </xf>
    <xf numFmtId="10" fontId="0" fillId="6" borderId="22" xfId="1" applyNumberFormat="1" applyFont="1" applyFill="1" applyBorder="1" applyAlignment="1">
      <alignment horizontal="center"/>
    </xf>
    <xf numFmtId="0" fontId="3" fillId="0" borderId="55" xfId="0" applyFont="1" applyBorder="1"/>
    <xf numFmtId="0" fontId="0" fillId="3" borderId="32" xfId="0" applyFill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38" xfId="0" applyNumberFormat="1" applyBorder="1" applyAlignment="1">
      <alignment horizontal="center"/>
    </xf>
    <xf numFmtId="3" fontId="0" fillId="0" borderId="26" xfId="0" applyNumberForma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3" fillId="9" borderId="20" xfId="0" applyFont="1" applyFill="1" applyBorder="1" applyAlignment="1">
      <alignment horizontal="center"/>
    </xf>
    <xf numFmtId="0" fontId="3" fillId="9" borderId="22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9" fontId="9" fillId="10" borderId="41" xfId="0" applyNumberFormat="1" applyFont="1" applyFill="1" applyBorder="1" applyAlignment="1">
      <alignment horizontal="center"/>
    </xf>
    <xf numFmtId="171" fontId="9" fillId="10" borderId="38" xfId="0" applyNumberFormat="1" applyFont="1" applyFill="1" applyBorder="1" applyAlignment="1">
      <alignment horizontal="center"/>
    </xf>
    <xf numFmtId="171" fontId="9" fillId="10" borderId="26" xfId="0" applyNumberFormat="1" applyFont="1" applyFill="1" applyBorder="1" applyAlignment="1">
      <alignment horizontal="center"/>
    </xf>
    <xf numFmtId="0" fontId="9" fillId="10" borderId="19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 vertical="center"/>
    </xf>
    <xf numFmtId="0" fontId="9" fillId="10" borderId="48" xfId="0" applyFont="1" applyFill="1" applyBorder="1" applyAlignment="1">
      <alignment horizontal="center"/>
    </xf>
    <xf numFmtId="172" fontId="0" fillId="10" borderId="22" xfId="0" applyNumberFormat="1" applyFill="1" applyBorder="1" applyAlignment="1">
      <alignment horizontal="center"/>
    </xf>
    <xf numFmtId="0" fontId="0" fillId="0" borderId="36" xfId="0" applyBorder="1"/>
    <xf numFmtId="38" fontId="0" fillId="0" borderId="3" xfId="0" applyNumberFormat="1" applyBorder="1" applyAlignment="1">
      <alignment horizontal="center"/>
    </xf>
    <xf numFmtId="38" fontId="0" fillId="0" borderId="30" xfId="0" applyNumberFormat="1" applyBorder="1" applyAlignment="1">
      <alignment horizontal="center"/>
    </xf>
    <xf numFmtId="38" fontId="0" fillId="0" borderId="32" xfId="0" applyNumberFormat="1" applyBorder="1" applyAlignment="1">
      <alignment horizontal="center"/>
    </xf>
    <xf numFmtId="0" fontId="3" fillId="0" borderId="27" xfId="0" applyFont="1" applyBorder="1" applyAlignment="1">
      <alignment horizontal="center"/>
    </xf>
    <xf numFmtId="175" fontId="0" fillId="0" borderId="27" xfId="0" applyNumberFormat="1" applyBorder="1" applyAlignment="1">
      <alignment horizontal="center"/>
    </xf>
    <xf numFmtId="175" fontId="0" fillId="0" borderId="32" xfId="0" applyNumberFormat="1" applyBorder="1" applyAlignment="1">
      <alignment horizontal="center"/>
    </xf>
    <xf numFmtId="175" fontId="0" fillId="0" borderId="43" xfId="0" applyNumberFormat="1" applyBorder="1" applyAlignment="1">
      <alignment horizontal="center"/>
    </xf>
    <xf numFmtId="175" fontId="0" fillId="0" borderId="39" xfId="0" applyNumberFormat="1" applyBorder="1" applyAlignment="1">
      <alignment horizontal="center"/>
    </xf>
    <xf numFmtId="10" fontId="9" fillId="0" borderId="65" xfId="0" applyNumberFormat="1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3" fillId="0" borderId="19" xfId="0" applyFont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3" borderId="70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3" borderId="19" xfId="0" applyNumberFormat="1" applyFill="1" applyBorder="1" applyAlignment="1">
      <alignment horizontal="center"/>
    </xf>
    <xf numFmtId="168" fontId="0" fillId="3" borderId="37" xfId="0" applyNumberFormat="1" applyFill="1" applyBorder="1" applyAlignment="1">
      <alignment horizontal="center"/>
    </xf>
    <xf numFmtId="168" fontId="0" fillId="3" borderId="39" xfId="0" applyNumberFormat="1" applyFill="1" applyBorder="1" applyAlignment="1">
      <alignment horizontal="center"/>
    </xf>
    <xf numFmtId="0" fontId="9" fillId="10" borderId="55" xfId="0" applyFont="1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45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" fillId="9" borderId="56" xfId="0" applyFont="1" applyFill="1" applyBorder="1" applyAlignment="1">
      <alignment horizontal="center"/>
    </xf>
    <xf numFmtId="0" fontId="0" fillId="0" borderId="74" xfId="0" applyBorder="1" applyAlignment="1">
      <alignment horizontal="center"/>
    </xf>
    <xf numFmtId="3" fontId="0" fillId="9" borderId="57" xfId="0" applyNumberFormat="1" applyFill="1" applyBorder="1" applyAlignment="1">
      <alignment horizontal="center" vertical="center"/>
    </xf>
    <xf numFmtId="3" fontId="0" fillId="9" borderId="75" xfId="0" applyNumberFormat="1" applyFill="1" applyBorder="1" applyAlignment="1">
      <alignment horizontal="center" vertical="center"/>
    </xf>
    <xf numFmtId="3" fontId="0" fillId="9" borderId="76" xfId="0" applyNumberForma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/>
    </xf>
    <xf numFmtId="0" fontId="9" fillId="0" borderId="45" xfId="0" applyFont="1" applyBorder="1" applyAlignment="1">
      <alignment horizontal="center"/>
    </xf>
    <xf numFmtId="9" fontId="0" fillId="10" borderId="19" xfId="0" applyNumberForma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20" xfId="0" applyNumberFormat="1" applyBorder="1" applyAlignment="1">
      <alignment horizontal="center"/>
    </xf>
    <xf numFmtId="3" fontId="0" fillId="6" borderId="31" xfId="0" applyNumberFormat="1" applyFill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0" fillId="0" borderId="30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177" fontId="0" fillId="6" borderId="2" xfId="0" applyNumberFormat="1" applyFill="1" applyBorder="1" applyAlignment="1">
      <alignment horizontal="center"/>
    </xf>
    <xf numFmtId="177" fontId="0" fillId="6" borderId="28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3" fontId="0" fillId="6" borderId="41" xfId="0" applyNumberFormat="1" applyFill="1" applyBorder="1" applyAlignment="1">
      <alignment horizontal="center"/>
    </xf>
    <xf numFmtId="3" fontId="0" fillId="6" borderId="38" xfId="0" applyNumberFormat="1" applyFill="1" applyBorder="1" applyAlignment="1">
      <alignment horizontal="center"/>
    </xf>
    <xf numFmtId="3" fontId="0" fillId="6" borderId="26" xfId="0" applyNumberFormat="1" applyFill="1" applyBorder="1" applyAlignment="1">
      <alignment horizontal="center"/>
    </xf>
    <xf numFmtId="10" fontId="0" fillId="6" borderId="3" xfId="0" applyNumberFormat="1" applyFill="1" applyBorder="1" applyAlignment="1">
      <alignment horizontal="center"/>
    </xf>
    <xf numFmtId="10" fontId="0" fillId="6" borderId="30" xfId="0" applyNumberFormat="1" applyFill="1" applyBorder="1" applyAlignment="1">
      <alignment horizontal="center"/>
    </xf>
    <xf numFmtId="10" fontId="0" fillId="6" borderId="32" xfId="0" applyNumberFormat="1" applyFill="1" applyBorder="1" applyAlignment="1">
      <alignment horizontal="center"/>
    </xf>
    <xf numFmtId="3" fontId="0" fillId="6" borderId="2" xfId="0" applyNumberFormat="1" applyFill="1" applyBorder="1" applyAlignment="1">
      <alignment horizontal="center"/>
    </xf>
    <xf numFmtId="3" fontId="0" fillId="6" borderId="28" xfId="0" applyNumberFormat="1" applyFill="1" applyBorder="1" applyAlignment="1">
      <alignment horizontal="center"/>
    </xf>
    <xf numFmtId="3" fontId="0" fillId="6" borderId="6" xfId="0" applyNumberFormat="1" applyFill="1" applyBorder="1" applyAlignment="1">
      <alignment horizontal="center"/>
    </xf>
    <xf numFmtId="10" fontId="0" fillId="6" borderId="3" xfId="1" applyNumberFormat="1" applyFont="1" applyFill="1" applyBorder="1" applyAlignment="1">
      <alignment horizontal="center"/>
    </xf>
    <xf numFmtId="10" fontId="0" fillId="6" borderId="30" xfId="1" applyNumberFormat="1" applyFont="1" applyFill="1" applyBorder="1" applyAlignment="1">
      <alignment horizontal="center"/>
    </xf>
    <xf numFmtId="10" fontId="0" fillId="6" borderId="32" xfId="1" applyNumberFormat="1" applyFont="1" applyFill="1" applyBorder="1" applyAlignment="1">
      <alignment horizontal="center"/>
    </xf>
    <xf numFmtId="3" fontId="0" fillId="6" borderId="28" xfId="0" applyNumberFormat="1" applyFill="1" applyBorder="1" applyAlignment="1">
      <alignment horizontal="center" vertical="center"/>
    </xf>
    <xf numFmtId="3" fontId="0" fillId="6" borderId="31" xfId="0" applyNumberFormat="1" applyFill="1" applyBorder="1" applyAlignment="1">
      <alignment horizontal="center" vertical="center"/>
    </xf>
    <xf numFmtId="10" fontId="0" fillId="6" borderId="30" xfId="0" applyNumberFormat="1" applyFill="1" applyBorder="1" applyAlignment="1">
      <alignment horizontal="center" vertical="center"/>
    </xf>
    <xf numFmtId="10" fontId="0" fillId="6" borderId="31" xfId="0" applyNumberFormat="1" applyFill="1" applyBorder="1" applyAlignment="1">
      <alignment horizontal="center" vertical="center"/>
    </xf>
    <xf numFmtId="3" fontId="0" fillId="0" borderId="41" xfId="0" applyNumberFormat="1" applyBorder="1" applyAlignment="1">
      <alignment horizontal="center"/>
    </xf>
    <xf numFmtId="3" fontId="0" fillId="6" borderId="38" xfId="0" applyNumberFormat="1" applyFill="1" applyBorder="1" applyAlignment="1">
      <alignment horizontal="center" vertical="center"/>
    </xf>
    <xf numFmtId="9" fontId="9" fillId="10" borderId="41" xfId="1" applyFont="1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3" fontId="0" fillId="0" borderId="42" xfId="0" applyNumberFormat="1" applyBorder="1" applyAlignment="1">
      <alignment horizontal="center"/>
    </xf>
    <xf numFmtId="9" fontId="0" fillId="3" borderId="47" xfId="0" applyNumberFormat="1" applyFill="1" applyBorder="1" applyAlignment="1">
      <alignment horizontal="center"/>
    </xf>
    <xf numFmtId="0" fontId="0" fillId="0" borderId="45" xfId="0" applyBorder="1" applyAlignment="1">
      <alignment horizontal="center" vertical="center"/>
    </xf>
    <xf numFmtId="3" fontId="0" fillId="3" borderId="38" xfId="0" applyNumberFormat="1" applyFill="1" applyBorder="1" applyAlignment="1">
      <alignment horizontal="center" vertical="center"/>
    </xf>
    <xf numFmtId="3" fontId="0" fillId="3" borderId="42" xfId="0" applyNumberFormat="1" applyFill="1" applyBorder="1" applyAlignment="1">
      <alignment horizontal="center"/>
    </xf>
    <xf numFmtId="177" fontId="0" fillId="0" borderId="46" xfId="0" applyNumberFormat="1" applyBorder="1" applyAlignment="1">
      <alignment horizontal="center"/>
    </xf>
    <xf numFmtId="2" fontId="0" fillId="0" borderId="29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0" fontId="4" fillId="6" borderId="31" xfId="1" applyNumberFormat="1" applyFont="1" applyFill="1" applyBorder="1" applyAlignment="1">
      <alignment horizontal="center"/>
    </xf>
    <xf numFmtId="10" fontId="4" fillId="9" borderId="16" xfId="1" applyNumberFormat="1" applyFont="1" applyFill="1" applyBorder="1" applyAlignment="1">
      <alignment horizontal="center"/>
    </xf>
    <xf numFmtId="10" fontId="4" fillId="6" borderId="31" xfId="0" applyNumberFormat="1" applyFont="1" applyFill="1" applyBorder="1" applyAlignment="1">
      <alignment horizontal="center"/>
    </xf>
    <xf numFmtId="0" fontId="0" fillId="3" borderId="66" xfId="0" applyFill="1" applyBorder="1" applyAlignment="1">
      <alignment horizontal="center"/>
    </xf>
    <xf numFmtId="38" fontId="3" fillId="6" borderId="30" xfId="0" applyNumberFormat="1" applyFont="1" applyFill="1" applyBorder="1" applyAlignment="1">
      <alignment horizontal="center"/>
    </xf>
    <xf numFmtId="168" fontId="4" fillId="9" borderId="6" xfId="0" applyNumberFormat="1" applyFont="1" applyFill="1" applyBorder="1" applyAlignment="1">
      <alignment horizontal="center"/>
    </xf>
    <xf numFmtId="10" fontId="4" fillId="6" borderId="16" xfId="0" applyNumberFormat="1" applyFont="1" applyFill="1" applyBorder="1" applyAlignment="1">
      <alignment horizontal="center"/>
    </xf>
    <xf numFmtId="3" fontId="0" fillId="3" borderId="2" xfId="0" applyNumberFormat="1" applyFill="1" applyBorder="1" applyAlignment="1">
      <alignment horizontal="center"/>
    </xf>
    <xf numFmtId="3" fontId="0" fillId="3" borderId="11" xfId="0" applyNumberFormat="1" applyFill="1" applyBorder="1" applyAlignment="1">
      <alignment horizontal="center"/>
    </xf>
    <xf numFmtId="3" fontId="0" fillId="3" borderId="28" xfId="0" applyNumberFormat="1" applyFill="1" applyBorder="1" applyAlignment="1">
      <alignment horizontal="center"/>
    </xf>
    <xf numFmtId="3" fontId="0" fillId="3" borderId="28" xfId="0" applyNumberFormat="1" applyFill="1" applyBorder="1" applyAlignment="1">
      <alignment horizontal="center" vertical="center"/>
    </xf>
    <xf numFmtId="3" fontId="4" fillId="6" borderId="38" xfId="0" applyNumberFormat="1" applyFont="1" applyFill="1" applyBorder="1" applyAlignment="1">
      <alignment horizontal="center"/>
    </xf>
    <xf numFmtId="3" fontId="0" fillId="3" borderId="6" xfId="0" applyNumberFormat="1" applyFill="1" applyBorder="1" applyAlignment="1">
      <alignment horizontal="center" vertical="center"/>
    </xf>
    <xf numFmtId="3" fontId="0" fillId="0" borderId="27" xfId="0" applyNumberFormat="1" applyBorder="1" applyAlignment="1">
      <alignment horizontal="center"/>
    </xf>
    <xf numFmtId="3" fontId="4" fillId="6" borderId="28" xfId="0" applyNumberFormat="1" applyFont="1" applyFill="1" applyBorder="1" applyAlignment="1">
      <alignment horizontal="center"/>
    </xf>
    <xf numFmtId="3" fontId="0" fillId="0" borderId="44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78" xfId="0" applyNumberFormat="1" applyBorder="1" applyAlignment="1">
      <alignment horizontal="center"/>
    </xf>
    <xf numFmtId="0" fontId="3" fillId="0" borderId="37" xfId="0" applyFont="1" applyBorder="1" applyAlignment="1">
      <alignment horizontal="left" vertical="center"/>
    </xf>
    <xf numFmtId="3" fontId="0" fillId="9" borderId="10" xfId="0" applyNumberFormat="1" applyFill="1" applyBorder="1" applyAlignment="1">
      <alignment horizontal="center" vertical="center"/>
    </xf>
    <xf numFmtId="3" fontId="0" fillId="9" borderId="8" xfId="0" applyNumberForma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/>
    </xf>
    <xf numFmtId="38" fontId="4" fillId="6" borderId="37" xfId="0" applyNumberFormat="1" applyFont="1" applyFill="1" applyBorder="1" applyAlignment="1">
      <alignment horizontal="center"/>
    </xf>
    <xf numFmtId="168" fontId="4" fillId="6" borderId="37" xfId="0" applyNumberFormat="1" applyFont="1" applyFill="1" applyBorder="1" applyAlignment="1">
      <alignment horizontal="center"/>
    </xf>
    <xf numFmtId="38" fontId="4" fillId="6" borderId="39" xfId="0" applyNumberFormat="1" applyFont="1" applyFill="1" applyBorder="1" applyAlignment="1">
      <alignment horizontal="center"/>
    </xf>
    <xf numFmtId="0" fontId="0" fillId="6" borderId="67" xfId="0" applyFill="1" applyBorder="1" applyAlignment="1">
      <alignment horizontal="center"/>
    </xf>
    <xf numFmtId="0" fontId="0" fillId="6" borderId="76" xfId="0" applyFill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38" fontId="3" fillId="0" borderId="25" xfId="0" applyNumberFormat="1" applyFont="1" applyBorder="1" applyAlignment="1">
      <alignment horizontal="center"/>
    </xf>
    <xf numFmtId="38" fontId="9" fillId="3" borderId="12" xfId="0" applyNumberFormat="1" applyFont="1" applyFill="1" applyBorder="1" applyAlignment="1">
      <alignment horizontal="center"/>
    </xf>
    <xf numFmtId="0" fontId="9" fillId="3" borderId="41" xfId="0" applyFont="1" applyFill="1" applyBorder="1" applyAlignment="1">
      <alignment horizontal="center"/>
    </xf>
    <xf numFmtId="3" fontId="0" fillId="9" borderId="27" xfId="0" applyNumberForma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77" fontId="0" fillId="0" borderId="41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177" fontId="0" fillId="0" borderId="26" xfId="0" applyNumberFormat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3" fillId="3" borderId="41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/>
    </xf>
    <xf numFmtId="3" fontId="0" fillId="9" borderId="49" xfId="0" applyNumberFormat="1" applyFill="1" applyBorder="1" applyAlignment="1">
      <alignment horizontal="center" vertical="center"/>
    </xf>
    <xf numFmtId="3" fontId="0" fillId="9" borderId="51" xfId="0" applyNumberFormat="1" applyFill="1" applyBorder="1" applyAlignment="1">
      <alignment horizontal="center" vertical="center"/>
    </xf>
    <xf numFmtId="3" fontId="0" fillId="3" borderId="24" xfId="0" applyNumberForma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/>
    </xf>
    <xf numFmtId="173" fontId="0" fillId="10" borderId="22" xfId="0" applyNumberFormat="1" applyFill="1" applyBorder="1" applyAlignment="1">
      <alignment horizontal="center"/>
    </xf>
    <xf numFmtId="171" fontId="0" fillId="10" borderId="31" xfId="0" applyNumberFormat="1" applyFill="1" applyBorder="1" applyAlignment="1">
      <alignment horizontal="center"/>
    </xf>
    <xf numFmtId="173" fontId="0" fillId="10" borderId="31" xfId="0" applyNumberFormat="1" applyFill="1" applyBorder="1" applyAlignment="1">
      <alignment horizontal="center"/>
    </xf>
    <xf numFmtId="170" fontId="0" fillId="3" borderId="23" xfId="0" applyNumberFormat="1" applyFill="1" applyBorder="1" applyAlignment="1">
      <alignment horizontal="center"/>
    </xf>
    <xf numFmtId="170" fontId="0" fillId="3" borderId="38" xfId="0" applyNumberFormat="1" applyFill="1" applyBorder="1" applyAlignment="1">
      <alignment horizontal="center"/>
    </xf>
    <xf numFmtId="3" fontId="0" fillId="6" borderId="20" xfId="0" applyNumberFormat="1" applyFill="1" applyBorder="1" applyAlignment="1">
      <alignment horizontal="center"/>
    </xf>
    <xf numFmtId="10" fontId="0" fillId="6" borderId="22" xfId="0" applyNumberFormat="1" applyFill="1" applyBorder="1" applyAlignment="1">
      <alignment horizontal="center"/>
    </xf>
    <xf numFmtId="0" fontId="3" fillId="10" borderId="55" xfId="0" applyFont="1" applyFill="1" applyBorder="1" applyAlignment="1">
      <alignment horizontal="center"/>
    </xf>
    <xf numFmtId="0" fontId="9" fillId="0" borderId="50" xfId="0" applyFont="1" applyBorder="1" applyAlignment="1">
      <alignment horizontal="center"/>
    </xf>
    <xf numFmtId="3" fontId="0" fillId="9" borderId="77" xfId="0" applyNumberFormat="1" applyFill="1" applyBorder="1" applyAlignment="1">
      <alignment horizontal="center" vertical="center"/>
    </xf>
    <xf numFmtId="168" fontId="0" fillId="3" borderId="3" xfId="0" applyNumberFormat="1" applyFill="1" applyBorder="1" applyAlignment="1">
      <alignment horizontal="center"/>
    </xf>
    <xf numFmtId="168" fontId="0" fillId="3" borderId="30" xfId="0" applyNumberFormat="1" applyFill="1" applyBorder="1" applyAlignment="1">
      <alignment horizontal="center"/>
    </xf>
    <xf numFmtId="168" fontId="0" fillId="3" borderId="32" xfId="0" applyNumberFormat="1" applyFill="1" applyBorder="1" applyAlignment="1">
      <alignment horizontal="center"/>
    </xf>
    <xf numFmtId="3" fontId="0" fillId="9" borderId="19" xfId="0" applyNumberFormat="1" applyFill="1" applyBorder="1" applyAlignment="1">
      <alignment horizontal="center" vertical="center"/>
    </xf>
    <xf numFmtId="3" fontId="0" fillId="9" borderId="37" xfId="0" applyNumberFormat="1" applyFill="1" applyBorder="1" applyAlignment="1">
      <alignment horizontal="center" vertical="center"/>
    </xf>
    <xf numFmtId="3" fontId="0" fillId="9" borderId="39" xfId="0" applyNumberFormat="1" applyFill="1" applyBorder="1" applyAlignment="1">
      <alignment horizontal="center" vertical="center"/>
    </xf>
    <xf numFmtId="0" fontId="0" fillId="3" borderId="74" xfId="0" applyFill="1" applyBorder="1" applyAlignment="1">
      <alignment horizontal="center"/>
    </xf>
    <xf numFmtId="168" fontId="0" fillId="0" borderId="56" xfId="0" applyNumberFormat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68" fontId="0" fillId="0" borderId="67" xfId="0" applyNumberFormat="1" applyBorder="1" applyAlignment="1">
      <alignment horizontal="center"/>
    </xf>
    <xf numFmtId="3" fontId="0" fillId="6" borderId="23" xfId="0" applyNumberFormat="1" applyFill="1" applyBorder="1" applyAlignment="1">
      <alignment horizontal="center"/>
    </xf>
    <xf numFmtId="3" fontId="0" fillId="0" borderId="23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3" fontId="0" fillId="0" borderId="38" xfId="0" applyNumberFormat="1" applyBorder="1" applyAlignment="1">
      <alignment horizontal="center" vertical="center"/>
    </xf>
    <xf numFmtId="3" fontId="0" fillId="3" borderId="26" xfId="0" applyNumberFormat="1" applyFill="1" applyBorder="1" applyAlignment="1">
      <alignment horizontal="center" vertical="center"/>
    </xf>
    <xf numFmtId="40" fontId="0" fillId="0" borderId="61" xfId="0" applyNumberFormat="1" applyBorder="1" applyAlignment="1">
      <alignment horizontal="center"/>
    </xf>
    <xf numFmtId="0" fontId="8" fillId="0" borderId="37" xfId="0" applyFont="1" applyBorder="1" applyAlignment="1">
      <alignment horizontal="center"/>
    </xf>
    <xf numFmtId="3" fontId="0" fillId="3" borderId="20" xfId="0" applyNumberFormat="1" applyFill="1" applyBorder="1" applyAlignment="1">
      <alignment horizontal="center"/>
    </xf>
    <xf numFmtId="3" fontId="0" fillId="3" borderId="27" xfId="0" applyNumberFormat="1" applyFill="1" applyBorder="1" applyAlignment="1">
      <alignment horizontal="center"/>
    </xf>
    <xf numFmtId="3" fontId="0" fillId="3" borderId="30" xfId="0" applyNumberFormat="1" applyFill="1" applyBorder="1" applyAlignment="1">
      <alignment horizontal="center"/>
    </xf>
    <xf numFmtId="3" fontId="0" fillId="3" borderId="6" xfId="0" applyNumberFormat="1" applyFill="1" applyBorder="1" applyAlignment="1">
      <alignment horizontal="center"/>
    </xf>
    <xf numFmtId="3" fontId="0" fillId="3" borderId="3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170" fontId="0" fillId="3" borderId="47" xfId="0" applyNumberFormat="1" applyFill="1" applyBorder="1" applyAlignment="1">
      <alignment horizontal="center"/>
    </xf>
    <xf numFmtId="10" fontId="13" fillId="9" borderId="16" xfId="0" applyNumberFormat="1" applyFont="1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10" fontId="13" fillId="9" borderId="12" xfId="0" applyNumberFormat="1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3" fontId="9" fillId="3" borderId="16" xfId="0" applyNumberFormat="1" applyFont="1" applyFill="1" applyBorder="1" applyAlignment="1">
      <alignment horizontal="center"/>
    </xf>
    <xf numFmtId="3" fontId="9" fillId="3" borderId="12" xfId="0" applyNumberFormat="1" applyFont="1" applyFill="1" applyBorder="1" applyAlignment="1">
      <alignment horizontal="center"/>
    </xf>
    <xf numFmtId="0" fontId="4" fillId="6" borderId="39" xfId="0" applyFont="1" applyFill="1" applyBorder="1" applyAlignment="1">
      <alignment horizontal="center"/>
    </xf>
    <xf numFmtId="3" fontId="4" fillId="6" borderId="16" xfId="0" applyNumberFormat="1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3" fontId="3" fillId="3" borderId="8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left"/>
    </xf>
    <xf numFmtId="0" fontId="9" fillId="3" borderId="48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9" fillId="3" borderId="55" xfId="0" applyFont="1" applyFill="1" applyBorder="1" applyAlignment="1">
      <alignment horizontal="center"/>
    </xf>
    <xf numFmtId="0" fontId="9" fillId="3" borderId="49" xfId="0" applyFont="1" applyFill="1" applyBorder="1" applyAlignment="1">
      <alignment horizontal="center"/>
    </xf>
    <xf numFmtId="0" fontId="4" fillId="6" borderId="51" xfId="0" applyFont="1" applyFill="1" applyBorder="1" applyAlignment="1">
      <alignment horizontal="center"/>
    </xf>
    <xf numFmtId="178" fontId="4" fillId="6" borderId="43" xfId="0" applyNumberFormat="1" applyFont="1" applyFill="1" applyBorder="1" applyAlignment="1">
      <alignment horizontal="center"/>
    </xf>
    <xf numFmtId="178" fontId="4" fillId="6" borderId="37" xfId="0" applyNumberFormat="1" applyFont="1" applyFill="1" applyBorder="1" applyAlignment="1">
      <alignment horizontal="center"/>
    </xf>
    <xf numFmtId="0" fontId="9" fillId="3" borderId="51" xfId="0" applyFont="1" applyFill="1" applyBorder="1" applyAlignment="1">
      <alignment horizontal="center"/>
    </xf>
    <xf numFmtId="38" fontId="4" fillId="6" borderId="43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38" fontId="3" fillId="0" borderId="0" xfId="0" applyNumberFormat="1" applyFont="1" applyAlignment="1">
      <alignment horizontal="center"/>
    </xf>
    <xf numFmtId="38" fontId="3" fillId="0" borderId="12" xfId="0" applyNumberFormat="1" applyFont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51" xfId="0" applyFont="1" applyFill="1" applyBorder="1" applyAlignment="1">
      <alignment horizontal="center"/>
    </xf>
    <xf numFmtId="3" fontId="3" fillId="6" borderId="16" xfId="0" applyNumberFormat="1" applyFont="1" applyFill="1" applyBorder="1" applyAlignment="1">
      <alignment horizontal="center"/>
    </xf>
    <xf numFmtId="0" fontId="3" fillId="0" borderId="53" xfId="0" applyFont="1" applyBorder="1"/>
    <xf numFmtId="0" fontId="0" fillId="0" borderId="2" xfId="0" applyBorder="1" applyAlignment="1">
      <alignment horizontal="center"/>
    </xf>
    <xf numFmtId="0" fontId="4" fillId="6" borderId="5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3" fontId="4" fillId="6" borderId="8" xfId="0" applyNumberFormat="1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9" fillId="0" borderId="15" xfId="0" applyFont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11" xfId="0" applyNumberFormat="1" applyBorder="1" applyAlignment="1">
      <alignment horizontal="center"/>
    </xf>
    <xf numFmtId="9" fontId="0" fillId="0" borderId="12" xfId="0" applyNumberFormat="1" applyBorder="1" applyAlignment="1">
      <alignment horizontal="center" vertical="center"/>
    </xf>
    <xf numFmtId="0" fontId="0" fillId="0" borderId="55" xfId="0" applyBorder="1" applyAlignment="1">
      <alignment horizontal="center"/>
    </xf>
    <xf numFmtId="9" fontId="0" fillId="9" borderId="28" xfId="0" applyNumberFormat="1" applyFill="1" applyBorder="1" applyAlignment="1">
      <alignment horizontal="center" vertical="center"/>
    </xf>
    <xf numFmtId="9" fontId="0" fillId="9" borderId="31" xfId="0" applyNumberFormat="1" applyFill="1" applyBorder="1" applyAlignment="1">
      <alignment horizontal="center" vertical="center"/>
    </xf>
    <xf numFmtId="170" fontId="0" fillId="9" borderId="31" xfId="0" applyNumberFormat="1" applyFill="1" applyBorder="1" applyAlignment="1">
      <alignment horizontal="center" vertical="center"/>
    </xf>
    <xf numFmtId="9" fontId="0" fillId="9" borderId="31" xfId="0" applyNumberFormat="1" applyFill="1" applyBorder="1" applyAlignment="1">
      <alignment horizontal="center"/>
    </xf>
    <xf numFmtId="9" fontId="0" fillId="9" borderId="6" xfId="0" applyNumberFormat="1" applyFill="1" applyBorder="1" applyAlignment="1">
      <alignment horizontal="center" vertical="center"/>
    </xf>
    <xf numFmtId="9" fontId="0" fillId="9" borderId="16" xfId="0" applyNumberFormat="1" applyFill="1" applyBorder="1" applyAlignment="1">
      <alignment horizontal="center"/>
    </xf>
    <xf numFmtId="168" fontId="0" fillId="0" borderId="0" xfId="0" applyNumberFormat="1"/>
    <xf numFmtId="0" fontId="9" fillId="0" borderId="19" xfId="0" applyFont="1" applyBorder="1" applyAlignment="1">
      <alignment horizontal="center" vertical="center"/>
    </xf>
    <xf numFmtId="3" fontId="0" fillId="0" borderId="49" xfId="0" applyNumberFormat="1" applyBorder="1" applyAlignment="1">
      <alignment horizontal="center"/>
    </xf>
    <xf numFmtId="0" fontId="4" fillId="3" borderId="26" xfId="0" applyFont="1" applyFill="1" applyBorder="1" applyAlignment="1">
      <alignment horizontal="center"/>
    </xf>
    <xf numFmtId="9" fontId="0" fillId="0" borderId="0" xfId="1" applyFont="1" applyAlignment="1"/>
    <xf numFmtId="0" fontId="4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/>
    </xf>
    <xf numFmtId="38" fontId="4" fillId="6" borderId="31" xfId="0" applyNumberFormat="1" applyFont="1" applyFill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4" fillId="6" borderId="49" xfId="0" applyFont="1" applyFill="1" applyBorder="1" applyAlignment="1">
      <alignment horizontal="center"/>
    </xf>
    <xf numFmtId="0" fontId="0" fillId="3" borderId="28" xfId="0" applyFill="1" applyBorder="1" applyAlignment="1">
      <alignment horizontal="center" vertical="center"/>
    </xf>
    <xf numFmtId="9" fontId="1" fillId="0" borderId="31" xfId="1" applyFont="1" applyFill="1" applyBorder="1" applyAlignment="1">
      <alignment horizontal="center"/>
    </xf>
    <xf numFmtId="3" fontId="1" fillId="0" borderId="31" xfId="1" applyNumberFormat="1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3" fontId="4" fillId="6" borderId="16" xfId="1" applyNumberFormat="1" applyFont="1" applyFill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44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3" fontId="0" fillId="3" borderId="59" xfId="0" applyNumberFormat="1" applyFill="1" applyBorder="1" applyAlignment="1">
      <alignment horizontal="center" vertical="center"/>
    </xf>
    <xf numFmtId="38" fontId="0" fillId="0" borderId="12" xfId="0" applyNumberFormat="1" applyBorder="1" applyAlignment="1">
      <alignment horizontal="center"/>
    </xf>
    <xf numFmtId="0" fontId="4" fillId="0" borderId="5" xfId="0" applyFont="1" applyBorder="1" applyAlignment="1">
      <alignment horizontal="left"/>
    </xf>
    <xf numFmtId="9" fontId="0" fillId="0" borderId="31" xfId="1" applyFont="1" applyFill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38" fontId="14" fillId="0" borderId="12" xfId="0" applyNumberFormat="1" applyFont="1" applyBorder="1" applyAlignment="1">
      <alignment horizontal="center"/>
    </xf>
    <xf numFmtId="177" fontId="4" fillId="6" borderId="31" xfId="0" applyNumberFormat="1" applyFont="1" applyFill="1" applyBorder="1" applyAlignment="1">
      <alignment horizontal="center"/>
    </xf>
    <xf numFmtId="177" fontId="4" fillId="6" borderId="16" xfId="0" applyNumberFormat="1" applyFont="1" applyFill="1" applyBorder="1" applyAlignment="1">
      <alignment horizontal="center"/>
    </xf>
    <xf numFmtId="179" fontId="0" fillId="0" borderId="31" xfId="0" applyNumberFormat="1" applyBorder="1" applyAlignment="1">
      <alignment horizontal="center"/>
    </xf>
    <xf numFmtId="170" fontId="0" fillId="9" borderId="31" xfId="0" applyNumberFormat="1" applyFill="1" applyBorder="1" applyAlignment="1">
      <alignment horizontal="center"/>
    </xf>
    <xf numFmtId="170" fontId="0" fillId="9" borderId="16" xfId="0" applyNumberFormat="1" applyFill="1" applyBorder="1" applyAlignment="1">
      <alignment horizontal="center"/>
    </xf>
    <xf numFmtId="2" fontId="0" fillId="3" borderId="46" xfId="1" applyNumberFormat="1" applyFont="1" applyFill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0" fontId="3" fillId="3" borderId="15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3" fontId="3" fillId="0" borderId="31" xfId="0" applyNumberFormat="1" applyFont="1" applyBorder="1" applyAlignment="1">
      <alignment horizontal="center"/>
    </xf>
    <xf numFmtId="0" fontId="4" fillId="0" borderId="51" xfId="0" applyFont="1" applyBorder="1" applyAlignment="1">
      <alignment horizontal="center"/>
    </xf>
    <xf numFmtId="3" fontId="4" fillId="0" borderId="16" xfId="0" applyNumberFormat="1" applyFont="1" applyBorder="1" applyAlignment="1">
      <alignment horizontal="center"/>
    </xf>
    <xf numFmtId="38" fontId="4" fillId="0" borderId="31" xfId="0" applyNumberFormat="1" applyFont="1" applyBorder="1" applyAlignment="1">
      <alignment horizontal="center"/>
    </xf>
    <xf numFmtId="170" fontId="0" fillId="3" borderId="6" xfId="0" applyNumberFormat="1" applyFill="1" applyBorder="1" applyAlignment="1">
      <alignment horizontal="center"/>
    </xf>
    <xf numFmtId="9" fontId="0" fillId="0" borderId="64" xfId="0" applyNumberFormat="1" applyBorder="1" applyAlignment="1">
      <alignment horizontal="center"/>
    </xf>
    <xf numFmtId="174" fontId="0" fillId="3" borderId="31" xfId="0" applyNumberFormat="1" applyFill="1" applyBorder="1" applyAlignment="1">
      <alignment horizontal="center"/>
    </xf>
    <xf numFmtId="174" fontId="4" fillId="6" borderId="31" xfId="0" applyNumberFormat="1" applyFont="1" applyFill="1" applyBorder="1" applyAlignment="1">
      <alignment horizontal="center"/>
    </xf>
    <xf numFmtId="170" fontId="0" fillId="9" borderId="16" xfId="0" applyNumberFormat="1" applyFill="1" applyBorder="1" applyAlignment="1">
      <alignment horizontal="center" vertical="center"/>
    </xf>
    <xf numFmtId="168" fontId="0" fillId="0" borderId="24" xfId="0" applyNumberFormat="1" applyBorder="1" applyAlignment="1">
      <alignment horizontal="center"/>
    </xf>
    <xf numFmtId="170" fontId="0" fillId="0" borderId="26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9" fontId="0" fillId="0" borderId="2" xfId="0" applyNumberFormat="1" applyBorder="1" applyAlignment="1">
      <alignment horizontal="center" vertical="center"/>
    </xf>
    <xf numFmtId="170" fontId="0" fillId="0" borderId="7" xfId="0" applyNumberFormat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4" fillId="6" borderId="37" xfId="0" applyFont="1" applyFill="1" applyBorder="1" applyAlignment="1">
      <alignment horizontal="center"/>
    </xf>
    <xf numFmtId="0" fontId="14" fillId="0" borderId="19" xfId="0" applyFont="1" applyBorder="1" applyAlignment="1">
      <alignment horizontal="center"/>
    </xf>
    <xf numFmtId="174" fontId="0" fillId="0" borderId="31" xfId="0" applyNumberFormat="1" applyBorder="1" applyAlignment="1">
      <alignment horizontal="center"/>
    </xf>
    <xf numFmtId="174" fontId="4" fillId="6" borderId="16" xfId="0" applyNumberFormat="1" applyFont="1" applyFill="1" applyBorder="1" applyAlignment="1">
      <alignment horizontal="center"/>
    </xf>
    <xf numFmtId="177" fontId="0" fillId="6" borderId="41" xfId="0" applyNumberFormat="1" applyFill="1" applyBorder="1" applyAlignment="1">
      <alignment horizontal="center"/>
    </xf>
    <xf numFmtId="177" fontId="0" fillId="6" borderId="38" xfId="0" applyNumberFormat="1" applyFill="1" applyBorder="1" applyAlignment="1">
      <alignment horizontal="center"/>
    </xf>
    <xf numFmtId="177" fontId="0" fillId="6" borderId="26" xfId="0" applyNumberFormat="1" applyFill="1" applyBorder="1" applyAlignment="1">
      <alignment horizontal="center"/>
    </xf>
    <xf numFmtId="0" fontId="15" fillId="0" borderId="0" xfId="0" applyFont="1"/>
    <xf numFmtId="3" fontId="0" fillId="9" borderId="29" xfId="0" applyNumberFormat="1" applyFill="1" applyBorder="1" applyAlignment="1">
      <alignment horizontal="center" vertical="center"/>
    </xf>
    <xf numFmtId="0" fontId="3" fillId="9" borderId="29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left"/>
    </xf>
    <xf numFmtId="3" fontId="0" fillId="9" borderId="21" xfId="0" applyNumberForma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 vertical="center"/>
    </xf>
    <xf numFmtId="0" fontId="3" fillId="9" borderId="31" xfId="0" applyFont="1" applyFill="1" applyBorder="1" applyAlignment="1">
      <alignment horizontal="center"/>
    </xf>
    <xf numFmtId="3" fontId="0" fillId="9" borderId="7" xfId="0" applyNumberFormat="1" applyFill="1" applyBorder="1" applyAlignment="1">
      <alignment horizontal="center" vertical="center"/>
    </xf>
    <xf numFmtId="9" fontId="0" fillId="0" borderId="22" xfId="1" applyFont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0" fontId="4" fillId="3" borderId="38" xfId="0" applyFont="1" applyFill="1" applyBorder="1" applyAlignment="1">
      <alignment horizontal="center"/>
    </xf>
    <xf numFmtId="3" fontId="4" fillId="3" borderId="31" xfId="0" applyNumberFormat="1" applyFont="1" applyFill="1" applyBorder="1" applyAlignment="1">
      <alignment horizontal="center"/>
    </xf>
    <xf numFmtId="3" fontId="0" fillId="3" borderId="44" xfId="0" applyNumberFormat="1" applyFill="1" applyBorder="1" applyAlignment="1">
      <alignment horizontal="center"/>
    </xf>
    <xf numFmtId="3" fontId="0" fillId="3" borderId="10" xfId="0" applyNumberForma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3" fontId="4" fillId="0" borderId="28" xfId="0" applyNumberFormat="1" applyFont="1" applyBorder="1" applyAlignment="1">
      <alignment horizontal="center"/>
    </xf>
    <xf numFmtId="3" fontId="4" fillId="0" borderId="31" xfId="0" applyNumberFormat="1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16" fillId="0" borderId="0" xfId="0" applyFont="1"/>
    <xf numFmtId="3" fontId="0" fillId="0" borderId="0" xfId="0" applyNumberFormat="1"/>
    <xf numFmtId="0" fontId="0" fillId="0" borderId="23" xfId="0" applyBorder="1" applyAlignment="1">
      <alignment horizontal="center"/>
    </xf>
    <xf numFmtId="0" fontId="0" fillId="0" borderId="63" xfId="0" applyBorder="1" applyAlignment="1">
      <alignment horizontal="center"/>
    </xf>
    <xf numFmtId="38" fontId="0" fillId="0" borderId="22" xfId="0" applyNumberForma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3" fontId="4" fillId="0" borderId="29" xfId="0" applyNumberFormat="1" applyFont="1" applyBorder="1" applyAlignment="1">
      <alignment horizontal="center"/>
    </xf>
    <xf numFmtId="2" fontId="0" fillId="0" borderId="12" xfId="1" applyNumberFormat="1" applyFont="1" applyBorder="1" applyAlignment="1">
      <alignment horizontal="center"/>
    </xf>
    <xf numFmtId="3" fontId="0" fillId="0" borderId="55" xfId="0" applyNumberFormat="1" applyBorder="1" applyAlignment="1">
      <alignment horizontal="center"/>
    </xf>
    <xf numFmtId="3" fontId="0" fillId="0" borderId="51" xfId="0" applyNumberFormat="1" applyBorder="1" applyAlignment="1">
      <alignment horizontal="center"/>
    </xf>
    <xf numFmtId="2" fontId="0" fillId="0" borderId="31" xfId="1" applyNumberFormat="1" applyFont="1" applyBorder="1" applyAlignment="1">
      <alignment horizontal="center"/>
    </xf>
    <xf numFmtId="2" fontId="0" fillId="0" borderId="16" xfId="1" applyNumberFormat="1" applyFont="1" applyBorder="1" applyAlignment="1">
      <alignment horizontal="center"/>
    </xf>
    <xf numFmtId="3" fontId="4" fillId="0" borderId="49" xfId="0" applyNumberFormat="1" applyFont="1" applyBorder="1" applyAlignment="1">
      <alignment horizontal="center"/>
    </xf>
    <xf numFmtId="2" fontId="4" fillId="0" borderId="31" xfId="1" applyNumberFormat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9" fontId="0" fillId="0" borderId="20" xfId="1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9" fontId="0" fillId="0" borderId="49" xfId="1" applyFont="1" applyBorder="1" applyAlignment="1">
      <alignment horizontal="center"/>
    </xf>
    <xf numFmtId="9" fontId="0" fillId="0" borderId="51" xfId="1" applyFont="1" applyBorder="1" applyAlignment="1">
      <alignment horizontal="center"/>
    </xf>
    <xf numFmtId="3" fontId="0" fillId="0" borderId="0" xfId="0" applyNumberFormat="1" applyAlignment="1">
      <alignment horizontal="center"/>
    </xf>
    <xf numFmtId="3" fontId="4" fillId="0" borderId="0" xfId="0" applyNumberFormat="1" applyFont="1" applyAlignment="1">
      <alignment horizontal="center"/>
    </xf>
    <xf numFmtId="3" fontId="4" fillId="0" borderId="38" xfId="0" applyNumberFormat="1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2" fontId="0" fillId="0" borderId="12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38" fontId="0" fillId="0" borderId="52" xfId="0" applyNumberFormat="1" applyBorder="1" applyAlignment="1">
      <alignment horizontal="center"/>
    </xf>
    <xf numFmtId="0" fontId="17" fillId="0" borderId="0" xfId="0" applyFont="1"/>
    <xf numFmtId="0" fontId="8" fillId="0" borderId="39" xfId="0" applyFont="1" applyBorder="1" applyAlignment="1">
      <alignment horizontal="center"/>
    </xf>
    <xf numFmtId="168" fontId="14" fillId="6" borderId="16" xfId="0" applyNumberFormat="1" applyFont="1" applyFill="1" applyBorder="1" applyAlignment="1">
      <alignment horizontal="center"/>
    </xf>
    <xf numFmtId="0" fontId="18" fillId="0" borderId="0" xfId="0" applyFont="1"/>
    <xf numFmtId="0" fontId="8" fillId="0" borderId="0" xfId="0" applyFont="1"/>
    <xf numFmtId="0" fontId="18" fillId="0" borderId="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38" fontId="8" fillId="0" borderId="22" xfId="0" applyNumberFormat="1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38" fontId="8" fillId="0" borderId="31" xfId="0" applyNumberFormat="1" applyFont="1" applyBorder="1" applyAlignment="1">
      <alignment horizontal="center"/>
    </xf>
    <xf numFmtId="10" fontId="8" fillId="0" borderId="31" xfId="1" applyNumberFormat="1" applyFont="1" applyFill="1" applyBorder="1" applyAlignment="1">
      <alignment horizontal="center"/>
    </xf>
    <xf numFmtId="170" fontId="8" fillId="0" borderId="31" xfId="1" applyNumberFormat="1" applyFont="1" applyFill="1" applyBorder="1" applyAlignment="1">
      <alignment horizontal="center"/>
    </xf>
    <xf numFmtId="0" fontId="18" fillId="0" borderId="38" xfId="0" applyFont="1" applyBorder="1" applyAlignment="1">
      <alignment horizontal="center"/>
    </xf>
    <xf numFmtId="9" fontId="8" fillId="0" borderId="31" xfId="0" applyNumberFormat="1" applyFont="1" applyBorder="1" applyAlignment="1">
      <alignment horizontal="center"/>
    </xf>
    <xf numFmtId="168" fontId="8" fillId="0" borderId="31" xfId="0" applyNumberFormat="1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168" fontId="8" fillId="0" borderId="16" xfId="0" applyNumberFormat="1" applyFont="1" applyBorder="1" applyAlignment="1">
      <alignment horizontal="center"/>
    </xf>
    <xf numFmtId="9" fontId="8" fillId="3" borderId="31" xfId="1" applyFont="1" applyFill="1" applyBorder="1" applyAlignment="1">
      <alignment horizontal="center"/>
    </xf>
    <xf numFmtId="0" fontId="18" fillId="6" borderId="37" xfId="0" applyFont="1" applyFill="1" applyBorder="1" applyAlignment="1">
      <alignment horizontal="center"/>
    </xf>
    <xf numFmtId="38" fontId="18" fillId="6" borderId="31" xfId="0" applyNumberFormat="1" applyFont="1" applyFill="1" applyBorder="1" applyAlignment="1">
      <alignment horizontal="center"/>
    </xf>
    <xf numFmtId="168" fontId="18" fillId="6" borderId="31" xfId="0" applyNumberFormat="1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3" borderId="55" xfId="0" applyFont="1" applyFill="1" applyBorder="1" applyAlignment="1">
      <alignment horizontal="center"/>
    </xf>
    <xf numFmtId="0" fontId="0" fillId="0" borderId="11" xfId="0" applyBorder="1"/>
    <xf numFmtId="0" fontId="8" fillId="0" borderId="6" xfId="0" applyFont="1" applyBorder="1" applyAlignment="1">
      <alignment horizontal="center"/>
    </xf>
    <xf numFmtId="0" fontId="18" fillId="10" borderId="28" xfId="0" applyFont="1" applyFill="1" applyBorder="1" applyAlignment="1">
      <alignment horizontal="center"/>
    </xf>
    <xf numFmtId="9" fontId="8" fillId="10" borderId="2" xfId="0" applyNumberFormat="1" applyFont="1" applyFill="1" applyBorder="1" applyAlignment="1">
      <alignment horizontal="center" vertical="center"/>
    </xf>
    <xf numFmtId="9" fontId="8" fillId="10" borderId="28" xfId="0" applyNumberFormat="1" applyFont="1" applyFill="1" applyBorder="1" applyAlignment="1">
      <alignment horizontal="center" vertical="center"/>
    </xf>
    <xf numFmtId="9" fontId="8" fillId="10" borderId="6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0" fillId="12" borderId="0" xfId="0" applyFill="1"/>
    <xf numFmtId="0" fontId="3" fillId="12" borderId="29" xfId="0" applyFont="1" applyFill="1" applyBorder="1" applyAlignment="1">
      <alignment horizontal="center"/>
    </xf>
    <xf numFmtId="9" fontId="8" fillId="12" borderId="11" xfId="0" applyNumberFormat="1" applyFont="1" applyFill="1" applyBorder="1" applyAlignment="1">
      <alignment horizontal="center" vertical="center"/>
    </xf>
    <xf numFmtId="9" fontId="8" fillId="12" borderId="29" xfId="0" applyNumberFormat="1" applyFont="1" applyFill="1" applyBorder="1" applyAlignment="1">
      <alignment horizontal="center" vertical="center"/>
    </xf>
    <xf numFmtId="9" fontId="8" fillId="12" borderId="7" xfId="0" applyNumberFormat="1" applyFont="1" applyFill="1" applyBorder="1" applyAlignment="1">
      <alignment horizontal="center" vertical="center"/>
    </xf>
    <xf numFmtId="3" fontId="0" fillId="9" borderId="59" xfId="0" applyNumberFormat="1" applyFill="1" applyBorder="1" applyAlignment="1">
      <alignment horizontal="center" vertical="center"/>
    </xf>
    <xf numFmtId="0" fontId="8" fillId="0" borderId="66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9" fontId="8" fillId="0" borderId="16" xfId="0" applyNumberFormat="1" applyFont="1" applyBorder="1" applyAlignment="1">
      <alignment horizontal="center" vertical="center"/>
    </xf>
    <xf numFmtId="0" fontId="3" fillId="9" borderId="65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9" fontId="8" fillId="10" borderId="20" xfId="0" applyNumberFormat="1" applyFont="1" applyFill="1" applyBorder="1" applyAlignment="1">
      <alignment horizontal="center" vertical="center"/>
    </xf>
    <xf numFmtId="9" fontId="8" fillId="12" borderId="21" xfId="0" applyNumberFormat="1" applyFont="1" applyFill="1" applyBorder="1" applyAlignment="1">
      <alignment horizontal="center" vertical="center"/>
    </xf>
    <xf numFmtId="9" fontId="8" fillId="0" borderId="22" xfId="0" applyNumberFormat="1" applyFont="1" applyBorder="1" applyAlignment="1">
      <alignment horizontal="center" vertical="center"/>
    </xf>
    <xf numFmtId="0" fontId="18" fillId="0" borderId="31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10" fontId="4" fillId="12" borderId="16" xfId="1" applyNumberFormat="1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10" fontId="0" fillId="3" borderId="31" xfId="1" applyNumberFormat="1" applyFont="1" applyFill="1" applyBorder="1" applyAlignment="1">
      <alignment horizontal="center"/>
    </xf>
    <xf numFmtId="0" fontId="3" fillId="3" borderId="49" xfId="0" applyFont="1" applyFill="1" applyBorder="1" applyAlignment="1">
      <alignment horizontal="center"/>
    </xf>
    <xf numFmtId="0" fontId="3" fillId="3" borderId="51" xfId="0" applyFont="1" applyFill="1" applyBorder="1" applyAlignment="1">
      <alignment horizontal="center" vertical="center"/>
    </xf>
    <xf numFmtId="38" fontId="3" fillId="3" borderId="12" xfId="0" applyNumberFormat="1" applyFont="1" applyFill="1" applyBorder="1" applyAlignment="1">
      <alignment horizontal="center"/>
    </xf>
    <xf numFmtId="3" fontId="3" fillId="3" borderId="31" xfId="0" applyNumberFormat="1" applyFont="1" applyFill="1" applyBorder="1" applyAlignment="1">
      <alignment horizontal="center"/>
    </xf>
    <xf numFmtId="0" fontId="0" fillId="3" borderId="51" xfId="0" applyFill="1" applyBorder="1" applyAlignment="1">
      <alignment horizontal="center" vertical="center"/>
    </xf>
    <xf numFmtId="0" fontId="0" fillId="0" borderId="49" xfId="0" applyBorder="1"/>
    <xf numFmtId="9" fontId="0" fillId="10" borderId="2" xfId="0" applyNumberFormat="1" applyFill="1" applyBorder="1" applyAlignment="1">
      <alignment horizontal="center" vertical="center"/>
    </xf>
    <xf numFmtId="9" fontId="0" fillId="10" borderId="28" xfId="0" applyNumberFormat="1" applyFill="1" applyBorder="1" applyAlignment="1">
      <alignment horizontal="center" vertical="center"/>
    </xf>
    <xf numFmtId="9" fontId="0" fillId="10" borderId="31" xfId="0" applyNumberFormat="1" applyFill="1" applyBorder="1" applyAlignment="1">
      <alignment horizontal="center" vertical="center"/>
    </xf>
    <xf numFmtId="9" fontId="0" fillId="10" borderId="6" xfId="0" applyNumberFormat="1" applyFill="1" applyBorder="1" applyAlignment="1">
      <alignment horizontal="center" vertical="center"/>
    </xf>
    <xf numFmtId="9" fontId="0" fillId="10" borderId="16" xfId="0" applyNumberFormat="1" applyFill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9" fontId="0" fillId="10" borderId="20" xfId="0" applyNumberFormat="1" applyFill="1" applyBorder="1" applyAlignment="1">
      <alignment horizontal="center" vertical="center"/>
    </xf>
    <xf numFmtId="9" fontId="0" fillId="10" borderId="22" xfId="0" applyNumberFormat="1" applyFill="1" applyBorder="1" applyAlignment="1">
      <alignment horizontal="center" vertical="center"/>
    </xf>
    <xf numFmtId="0" fontId="18" fillId="10" borderId="17" xfId="0" applyFont="1" applyFill="1" applyBorder="1" applyAlignment="1">
      <alignment horizontal="center"/>
    </xf>
    <xf numFmtId="0" fontId="18" fillId="10" borderId="33" xfId="0" applyFont="1" applyFill="1" applyBorder="1" applyAlignment="1">
      <alignment horizontal="center"/>
    </xf>
    <xf numFmtId="0" fontId="18" fillId="10" borderId="18" xfId="0" applyFont="1" applyFill="1" applyBorder="1" applyAlignment="1">
      <alignment horizontal="center"/>
    </xf>
    <xf numFmtId="0" fontId="18" fillId="6" borderId="17" xfId="0" applyFont="1" applyFill="1" applyBorder="1" applyAlignment="1">
      <alignment horizontal="center"/>
    </xf>
    <xf numFmtId="0" fontId="18" fillId="6" borderId="33" xfId="0" applyFont="1" applyFill="1" applyBorder="1" applyAlignment="1">
      <alignment horizontal="center"/>
    </xf>
    <xf numFmtId="170" fontId="8" fillId="6" borderId="44" xfId="1" applyNumberFormat="1" applyFont="1" applyFill="1" applyBorder="1" applyAlignment="1">
      <alignment horizontal="center"/>
    </xf>
    <xf numFmtId="170" fontId="8" fillId="6" borderId="10" xfId="1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0" borderId="0" xfId="0" applyNumberFormat="1" applyFont="1" applyAlignment="1">
      <alignment horizontal="center"/>
    </xf>
    <xf numFmtId="0" fontId="18" fillId="0" borderId="37" xfId="0" applyFont="1" applyBorder="1" applyAlignment="1">
      <alignment horizontal="center"/>
    </xf>
    <xf numFmtId="38" fontId="18" fillId="0" borderId="31" xfId="0" applyNumberFormat="1" applyFont="1" applyBorder="1" applyAlignment="1">
      <alignment horizontal="center"/>
    </xf>
    <xf numFmtId="168" fontId="18" fillId="0" borderId="31" xfId="0" applyNumberFormat="1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168" fontId="3" fillId="0" borderId="31" xfId="0" applyNumberFormat="1" applyFont="1" applyBorder="1" applyAlignment="1">
      <alignment horizontal="center"/>
    </xf>
    <xf numFmtId="177" fontId="0" fillId="0" borderId="44" xfId="0" applyNumberFormat="1" applyBorder="1" applyAlignment="1">
      <alignment horizontal="center"/>
    </xf>
    <xf numFmtId="38" fontId="0" fillId="0" borderId="10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0" fontId="4" fillId="10" borderId="4" xfId="0" applyFont="1" applyFill="1" applyBorder="1" applyAlignment="1">
      <alignment horizontal="center"/>
    </xf>
    <xf numFmtId="9" fontId="0" fillId="10" borderId="12" xfId="0" applyNumberFormat="1" applyFill="1" applyBorder="1" applyAlignment="1">
      <alignment horizontal="center" vertical="center"/>
    </xf>
    <xf numFmtId="170" fontId="0" fillId="10" borderId="31" xfId="0" applyNumberFormat="1" applyFill="1" applyBorder="1" applyAlignment="1">
      <alignment horizontal="center" vertical="center"/>
    </xf>
    <xf numFmtId="170" fontId="0" fillId="10" borderId="31" xfId="0" applyNumberFormat="1" applyFill="1" applyBorder="1" applyAlignment="1">
      <alignment horizontal="center"/>
    </xf>
    <xf numFmtId="170" fontId="0" fillId="10" borderId="16" xfId="0" applyNumberFormat="1" applyFill="1" applyBorder="1" applyAlignment="1">
      <alignment horizontal="center"/>
    </xf>
    <xf numFmtId="170" fontId="0" fillId="10" borderId="16" xfId="0" applyNumberFormat="1" applyFill="1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168" fontId="3" fillId="0" borderId="16" xfId="0" applyNumberFormat="1" applyFont="1" applyBorder="1" applyAlignment="1">
      <alignment horizontal="center"/>
    </xf>
    <xf numFmtId="0" fontId="4" fillId="12" borderId="17" xfId="0" applyFont="1" applyFill="1" applyBorder="1" applyAlignment="1">
      <alignment horizontal="center"/>
    </xf>
    <xf numFmtId="10" fontId="4" fillId="12" borderId="18" xfId="1" applyNumberFormat="1" applyFont="1" applyFill="1" applyBorder="1" applyAlignment="1">
      <alignment horizontal="center"/>
    </xf>
    <xf numFmtId="0" fontId="18" fillId="6" borderId="18" xfId="0" applyFont="1" applyFill="1" applyBorder="1" applyAlignment="1">
      <alignment horizontal="center"/>
    </xf>
    <xf numFmtId="9" fontId="8" fillId="6" borderId="8" xfId="1" applyFont="1" applyFill="1" applyBorder="1" applyAlignment="1">
      <alignment horizontal="center"/>
    </xf>
    <xf numFmtId="10" fontId="0" fillId="0" borderId="0" xfId="1" applyNumberFormat="1" applyFont="1" applyAlignment="1"/>
    <xf numFmtId="0" fontId="3" fillId="12" borderId="17" xfId="0" applyFont="1" applyFill="1" applyBorder="1" applyAlignment="1">
      <alignment horizontal="center"/>
    </xf>
    <xf numFmtId="0" fontId="0" fillId="10" borderId="55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0" fillId="12" borderId="50" xfId="0" applyFill="1" applyBorder="1" applyAlignment="1">
      <alignment horizontal="center"/>
    </xf>
    <xf numFmtId="9" fontId="9" fillId="10" borderId="2" xfId="1" applyFont="1" applyFill="1" applyBorder="1" applyAlignment="1">
      <alignment horizontal="center"/>
    </xf>
    <xf numFmtId="171" fontId="9" fillId="10" borderId="28" xfId="0" applyNumberFormat="1" applyFont="1" applyFill="1" applyBorder="1" applyAlignment="1">
      <alignment horizontal="center"/>
    </xf>
    <xf numFmtId="9" fontId="9" fillId="12" borderId="28" xfId="1" applyFont="1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172" fontId="9" fillId="0" borderId="6" xfId="0" applyNumberFormat="1" applyFon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175" fontId="4" fillId="6" borderId="37" xfId="0" applyNumberFormat="1" applyFont="1" applyFill="1" applyBorder="1" applyAlignment="1">
      <alignment horizontal="center"/>
    </xf>
    <xf numFmtId="180" fontId="4" fillId="6" borderId="37" xfId="0" applyNumberFormat="1" applyFont="1" applyFill="1" applyBorder="1" applyAlignment="1">
      <alignment horizontal="center"/>
    </xf>
    <xf numFmtId="175" fontId="9" fillId="0" borderId="67" xfId="0" applyNumberFormat="1" applyFont="1" applyBorder="1" applyAlignment="1">
      <alignment horizontal="center"/>
    </xf>
    <xf numFmtId="180" fontId="9" fillId="0" borderId="67" xfId="0" applyNumberFormat="1" applyFont="1" applyBorder="1" applyAlignment="1">
      <alignment horizontal="center"/>
    </xf>
    <xf numFmtId="9" fontId="0" fillId="0" borderId="6" xfId="1" applyFont="1" applyBorder="1" applyAlignment="1">
      <alignment horizontal="center"/>
    </xf>
    <xf numFmtId="182" fontId="0" fillId="0" borderId="16" xfId="0" applyNumberFormat="1" applyBorder="1" applyAlignment="1">
      <alignment horizontal="center"/>
    </xf>
    <xf numFmtId="182" fontId="0" fillId="0" borderId="22" xfId="0" applyNumberFormat="1" applyBorder="1" applyAlignment="1">
      <alignment horizontal="center"/>
    </xf>
    <xf numFmtId="182" fontId="0" fillId="0" borderId="31" xfId="0" applyNumberFormat="1" applyBorder="1" applyAlignment="1">
      <alignment horizontal="center"/>
    </xf>
    <xf numFmtId="182" fontId="4" fillId="0" borderId="31" xfId="0" applyNumberFormat="1" applyFont="1" applyBorder="1" applyAlignment="1">
      <alignment horizontal="center"/>
    </xf>
    <xf numFmtId="183" fontId="0" fillId="0" borderId="12" xfId="1" applyNumberFormat="1" applyFont="1" applyBorder="1" applyAlignment="1">
      <alignment horizontal="center"/>
    </xf>
    <xf numFmtId="183" fontId="0" fillId="0" borderId="31" xfId="1" applyNumberFormat="1" applyFont="1" applyBorder="1" applyAlignment="1">
      <alignment horizontal="center"/>
    </xf>
    <xf numFmtId="183" fontId="4" fillId="0" borderId="31" xfId="1" applyNumberFormat="1" applyFont="1" applyBorder="1" applyAlignment="1">
      <alignment horizontal="center"/>
    </xf>
    <xf numFmtId="183" fontId="1" fillId="0" borderId="31" xfId="1" applyNumberFormat="1" applyFont="1" applyBorder="1" applyAlignment="1">
      <alignment horizontal="center"/>
    </xf>
    <xf numFmtId="183" fontId="0" fillId="0" borderId="16" xfId="1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170" fontId="8" fillId="0" borderId="6" xfId="1" applyNumberFormat="1" applyFont="1" applyBorder="1" applyAlignment="1">
      <alignment horizontal="center"/>
    </xf>
    <xf numFmtId="170" fontId="8" fillId="0" borderId="21" xfId="1" applyNumberFormat="1" applyFont="1" applyBorder="1" applyAlignment="1">
      <alignment horizontal="center"/>
    </xf>
    <xf numFmtId="170" fontId="8" fillId="0" borderId="2" xfId="1" applyNumberFormat="1" applyFont="1" applyBorder="1" applyAlignment="1">
      <alignment horizontal="center"/>
    </xf>
    <xf numFmtId="170" fontId="8" fillId="0" borderId="11" xfId="1" applyNumberFormat="1" applyFont="1" applyBorder="1" applyAlignment="1">
      <alignment horizontal="center"/>
    </xf>
    <xf numFmtId="170" fontId="8" fillId="0" borderId="10" xfId="1" applyNumberFormat="1" applyFont="1" applyBorder="1" applyAlignment="1">
      <alignment horizontal="center"/>
    </xf>
    <xf numFmtId="3" fontId="0" fillId="0" borderId="52" xfId="0" applyNumberFormat="1" applyBorder="1" applyAlignment="1">
      <alignment horizontal="center"/>
    </xf>
    <xf numFmtId="0" fontId="19" fillId="0" borderId="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184" fontId="21" fillId="0" borderId="29" xfId="0" applyNumberFormat="1" applyFont="1" applyBorder="1" applyAlignment="1">
      <alignment horizontal="center" vertical="center" wrapText="1"/>
    </xf>
    <xf numFmtId="184" fontId="21" fillId="0" borderId="31" xfId="0" applyNumberFormat="1" applyFont="1" applyBorder="1" applyAlignment="1">
      <alignment horizontal="center" vertical="center" wrapText="1"/>
    </xf>
    <xf numFmtId="184" fontId="21" fillId="0" borderId="7" xfId="0" applyNumberFormat="1" applyFont="1" applyBorder="1" applyAlignment="1">
      <alignment horizontal="center" vertical="center" wrapText="1"/>
    </xf>
    <xf numFmtId="184" fontId="21" fillId="0" borderId="16" xfId="0" applyNumberFormat="1" applyFont="1" applyBorder="1" applyAlignment="1">
      <alignment horizontal="center" vertical="center" wrapText="1"/>
    </xf>
    <xf numFmtId="184" fontId="21" fillId="0" borderId="0" xfId="0" applyNumberFormat="1" applyFont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184" fontId="21" fillId="0" borderId="11" xfId="0" applyNumberFormat="1" applyFont="1" applyBorder="1" applyAlignment="1">
      <alignment horizontal="center" vertical="center" wrapText="1"/>
    </xf>
    <xf numFmtId="184" fontId="22" fillId="0" borderId="11" xfId="0" applyNumberFormat="1" applyFont="1" applyBorder="1" applyAlignment="1">
      <alignment horizontal="center" vertical="center" wrapText="1"/>
    </xf>
    <xf numFmtId="184" fontId="22" fillId="0" borderId="12" xfId="0" applyNumberFormat="1" applyFont="1" applyBorder="1" applyAlignment="1">
      <alignment horizontal="center" vertical="center" wrapText="1"/>
    </xf>
    <xf numFmtId="184" fontId="22" fillId="10" borderId="28" xfId="0" applyNumberFormat="1" applyFont="1" applyFill="1" applyBorder="1" applyAlignment="1">
      <alignment horizontal="center" vertical="center" wrapText="1"/>
    </xf>
    <xf numFmtId="184" fontId="22" fillId="10" borderId="29" xfId="0" applyNumberFormat="1" applyFont="1" applyFill="1" applyBorder="1" applyAlignment="1">
      <alignment horizontal="center" vertical="center" wrapText="1"/>
    </xf>
    <xf numFmtId="184" fontId="22" fillId="0" borderId="29" xfId="0" applyNumberFormat="1" applyFont="1" applyBorder="1" applyAlignment="1">
      <alignment horizontal="center" vertical="center" wrapText="1"/>
    </xf>
    <xf numFmtId="184" fontId="22" fillId="0" borderId="31" xfId="0" applyNumberFormat="1" applyFont="1" applyBorder="1" applyAlignment="1">
      <alignment horizontal="center" vertical="center" wrapText="1"/>
    </xf>
    <xf numFmtId="184" fontId="22" fillId="0" borderId="28" xfId="0" applyNumberFormat="1" applyFont="1" applyBorder="1" applyAlignment="1">
      <alignment horizontal="center" vertical="center" wrapText="1"/>
    </xf>
    <xf numFmtId="184" fontId="21" fillId="0" borderId="28" xfId="0" applyNumberFormat="1" applyFont="1" applyBorder="1" applyAlignment="1">
      <alignment horizontal="center" vertical="center" wrapText="1"/>
    </xf>
    <xf numFmtId="184" fontId="21" fillId="0" borderId="6" xfId="0" applyNumberFormat="1" applyFont="1" applyBorder="1" applyAlignment="1">
      <alignment horizontal="center" vertical="center" wrapText="1"/>
    </xf>
    <xf numFmtId="0" fontId="19" fillId="0" borderId="66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3" fillId="0" borderId="17" xfId="0" applyFont="1" applyBorder="1" applyAlignment="1">
      <alignment horizontal="center" wrapText="1"/>
    </xf>
    <xf numFmtId="0" fontId="3" fillId="0" borderId="33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35" xfId="0" applyFont="1" applyBorder="1" applyAlignment="1">
      <alignment horizontal="center" wrapText="1"/>
    </xf>
    <xf numFmtId="0" fontId="9" fillId="0" borderId="1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6" borderId="54" xfId="0" applyFont="1" applyFill="1" applyBorder="1" applyAlignment="1">
      <alignment horizontal="center"/>
    </xf>
    <xf numFmtId="0" fontId="3" fillId="6" borderId="77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40" fontId="4" fillId="0" borderId="1" xfId="0" applyNumberFormat="1" applyFont="1" applyBorder="1" applyAlignment="1">
      <alignment horizontal="center"/>
    </xf>
    <xf numFmtId="40" fontId="4" fillId="0" borderId="54" xfId="0" applyNumberFormat="1" applyFont="1" applyBorder="1" applyAlignment="1">
      <alignment horizontal="center"/>
    </xf>
    <xf numFmtId="40" fontId="4" fillId="0" borderId="58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73" xfId="0" applyFont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28" xfId="0" applyFont="1" applyFill="1" applyBorder="1" applyAlignment="1">
      <alignment horizontal="center"/>
    </xf>
    <xf numFmtId="0" fontId="3" fillId="6" borderId="29" xfId="0" applyFont="1" applyFill="1" applyBorder="1" applyAlignment="1">
      <alignment horizontal="center"/>
    </xf>
    <xf numFmtId="0" fontId="3" fillId="6" borderId="31" xfId="0" applyFont="1" applyFill="1" applyBorder="1" applyAlignment="1">
      <alignment horizontal="center"/>
    </xf>
    <xf numFmtId="0" fontId="3" fillId="6" borderId="35" xfId="0" applyFont="1" applyFill="1" applyBorder="1" applyAlignment="1">
      <alignment horizontal="center"/>
    </xf>
    <xf numFmtId="0" fontId="3" fillId="6" borderId="33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7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40" fontId="4" fillId="0" borderId="17" xfId="0" applyNumberFormat="1" applyFont="1" applyBorder="1" applyAlignment="1">
      <alignment horizontal="center"/>
    </xf>
    <xf numFmtId="40" fontId="4" fillId="0" borderId="33" xfId="0" applyNumberFormat="1" applyFont="1" applyBorder="1" applyAlignment="1">
      <alignment horizontal="center"/>
    </xf>
    <xf numFmtId="40" fontId="4" fillId="0" borderId="18" xfId="0" applyNumberFormat="1" applyFont="1" applyBorder="1" applyAlignment="1">
      <alignment horizontal="center"/>
    </xf>
    <xf numFmtId="0" fontId="3" fillId="6" borderId="30" xfId="0" applyFont="1" applyFill="1" applyBorder="1" applyAlignment="1">
      <alignment horizontal="center"/>
    </xf>
    <xf numFmtId="0" fontId="3" fillId="3" borderId="69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3" borderId="42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60" xfId="0" applyFont="1" applyFill="1" applyBorder="1" applyAlignment="1">
      <alignment horizontal="center"/>
    </xf>
    <xf numFmtId="0" fontId="3" fillId="3" borderId="71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9" fillId="9" borderId="36" xfId="0" applyFont="1" applyFill="1" applyBorder="1" applyAlignment="1">
      <alignment horizontal="center" vertical="center"/>
    </xf>
    <xf numFmtId="0" fontId="9" fillId="9" borderId="68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wrapText="1"/>
    </xf>
    <xf numFmtId="0" fontId="3" fillId="9" borderId="58" xfId="0" applyFont="1" applyFill="1" applyBorder="1" applyAlignment="1">
      <alignment horizontal="center" wrapText="1"/>
    </xf>
    <xf numFmtId="0" fontId="3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7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165" fontId="9" fillId="9" borderId="36" xfId="0" applyNumberFormat="1" applyFont="1" applyFill="1" applyBorder="1" applyAlignment="1">
      <alignment horizontal="center" vertical="center"/>
    </xf>
    <xf numFmtId="165" fontId="9" fillId="9" borderId="68" xfId="0" applyNumberFormat="1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10" borderId="68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wrapText="1"/>
    </xf>
    <xf numFmtId="0" fontId="3" fillId="10" borderId="58" xfId="0" applyFont="1" applyFill="1" applyBorder="1" applyAlignment="1">
      <alignment horizontal="center" wrapText="1"/>
    </xf>
    <xf numFmtId="40" fontId="4" fillId="0" borderId="36" xfId="0" applyNumberFormat="1" applyFont="1" applyBorder="1" applyAlignment="1">
      <alignment horizontal="center"/>
    </xf>
    <xf numFmtId="40" fontId="4" fillId="0" borderId="73" xfId="0" applyNumberFormat="1" applyFont="1" applyBorder="1" applyAlignment="1">
      <alignment horizontal="center"/>
    </xf>
    <xf numFmtId="40" fontId="4" fillId="0" borderId="68" xfId="0" applyNumberFormat="1" applyFont="1" applyBorder="1" applyAlignment="1">
      <alignment horizontal="center"/>
    </xf>
    <xf numFmtId="0" fontId="3" fillId="3" borderId="55" xfId="0" applyFont="1" applyFill="1" applyBorder="1" applyAlignment="1">
      <alignment horizontal="center"/>
    </xf>
    <xf numFmtId="0" fontId="3" fillId="3" borderId="56" xfId="0" applyFont="1" applyFill="1" applyBorder="1" applyAlignment="1">
      <alignment horizontal="center"/>
    </xf>
    <xf numFmtId="175" fontId="0" fillId="0" borderId="3" xfId="0" applyNumberFormat="1" applyBorder="1" applyAlignment="1">
      <alignment horizontal="center"/>
    </xf>
    <xf numFmtId="175" fontId="0" fillId="0" borderId="56" xfId="0" applyNumberFormat="1" applyBorder="1" applyAlignment="1">
      <alignment horizontal="center"/>
    </xf>
    <xf numFmtId="175" fontId="0" fillId="0" borderId="32" xfId="0" applyNumberFormat="1" applyBorder="1" applyAlignment="1">
      <alignment horizontal="center"/>
    </xf>
    <xf numFmtId="175" fontId="0" fillId="0" borderId="67" xfId="0" applyNumberFormat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4" fillId="6" borderId="58" xfId="0" applyFont="1" applyFill="1" applyBorder="1" applyAlignment="1">
      <alignment horizontal="center"/>
    </xf>
    <xf numFmtId="0" fontId="4" fillId="6" borderId="65" xfId="0" applyFont="1" applyFill="1" applyBorder="1" applyAlignment="1">
      <alignment horizontal="center"/>
    </xf>
    <xf numFmtId="0" fontId="3" fillId="6" borderId="55" xfId="0" applyFont="1" applyFill="1" applyBorder="1" applyAlignment="1">
      <alignment horizontal="center"/>
    </xf>
    <xf numFmtId="0" fontId="3" fillId="6" borderId="56" xfId="0" applyFont="1" applyFill="1" applyBorder="1" applyAlignment="1">
      <alignment horizontal="center"/>
    </xf>
    <xf numFmtId="0" fontId="3" fillId="0" borderId="62" xfId="0" applyFont="1" applyBorder="1" applyAlignment="1">
      <alignment horizontal="center"/>
    </xf>
    <xf numFmtId="3" fontId="0" fillId="3" borderId="28" xfId="0" applyNumberFormat="1" applyFill="1" applyBorder="1" applyAlignment="1">
      <alignment horizontal="center" vertical="center"/>
    </xf>
    <xf numFmtId="3" fontId="0" fillId="3" borderId="29" xfId="0" applyNumberForma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58" xfId="0" applyFont="1" applyFill="1" applyBorder="1" applyAlignment="1">
      <alignment horizontal="center"/>
    </xf>
    <xf numFmtId="3" fontId="0" fillId="0" borderId="49" xfId="0" applyNumberFormat="1" applyBorder="1" applyAlignment="1">
      <alignment horizontal="center"/>
    </xf>
    <xf numFmtId="3" fontId="0" fillId="0" borderId="38" xfId="0" applyNumberFormat="1" applyBorder="1" applyAlignment="1">
      <alignment horizontal="center"/>
    </xf>
    <xf numFmtId="3" fontId="0" fillId="3" borderId="49" xfId="0" applyNumberFormat="1" applyFill="1" applyBorder="1" applyAlignment="1">
      <alignment horizontal="center"/>
    </xf>
    <xf numFmtId="3" fontId="0" fillId="3" borderId="38" xfId="0" applyNumberForma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0" fillId="0" borderId="0" xfId="0" applyBorder="1"/>
    <xf numFmtId="184" fontId="22" fillId="10" borderId="2" xfId="0" applyNumberFormat="1" applyFont="1" applyFill="1" applyBorder="1" applyAlignment="1">
      <alignment horizontal="center" vertical="center" wrapText="1"/>
    </xf>
    <xf numFmtId="184" fontId="22" fillId="10" borderId="11" xfId="0" applyNumberFormat="1" applyFont="1" applyFill="1" applyBorder="1" applyAlignment="1">
      <alignment horizontal="center" vertical="center" wrapText="1"/>
    </xf>
    <xf numFmtId="184" fontId="22" fillId="10" borderId="31" xfId="0" applyNumberFormat="1" applyFont="1" applyFill="1" applyBorder="1" applyAlignment="1">
      <alignment horizontal="center" vertical="center" wrapText="1"/>
    </xf>
    <xf numFmtId="184" fontId="22" fillId="10" borderId="7" xfId="0" applyNumberFormat="1" applyFont="1" applyFill="1" applyBorder="1" applyAlignment="1">
      <alignment horizontal="center" vertical="center" wrapText="1"/>
    </xf>
    <xf numFmtId="184" fontId="19" fillId="0" borderId="29" xfId="0" applyNumberFormat="1" applyFont="1" applyBorder="1" applyAlignment="1">
      <alignment horizontal="center" vertical="center" wrapText="1"/>
    </xf>
    <xf numFmtId="184" fontId="19" fillId="10" borderId="29" xfId="0" applyNumberFormat="1" applyFont="1" applyFill="1" applyBorder="1" applyAlignment="1">
      <alignment horizontal="center" vertical="center" wrapText="1"/>
    </xf>
    <xf numFmtId="184" fontId="19" fillId="0" borderId="31" xfId="0" applyNumberFormat="1" applyFont="1" applyBorder="1" applyAlignment="1">
      <alignment horizontal="center" vertical="center" wrapText="1"/>
    </xf>
    <xf numFmtId="184" fontId="22" fillId="0" borderId="29" xfId="0" applyNumberFormat="1" applyFont="1" applyFill="1" applyBorder="1" applyAlignment="1">
      <alignment horizontal="center" vertical="center" wrapText="1"/>
    </xf>
    <xf numFmtId="184" fontId="19" fillId="10" borderId="31" xfId="0" applyNumberFormat="1" applyFont="1" applyFill="1" applyBorder="1" applyAlignment="1">
      <alignment horizontal="center" vertical="center" wrapText="1"/>
    </xf>
    <xf numFmtId="184" fontId="19" fillId="0" borderId="29" xfId="0" applyNumberFormat="1" applyFont="1" applyFill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47" xfId="0" applyFont="1" applyBorder="1" applyAlignment="1">
      <alignment horizontal="center" vertical="center" wrapText="1"/>
    </xf>
    <xf numFmtId="184" fontId="21" fillId="0" borderId="2" xfId="0" applyNumberFormat="1" applyFont="1" applyBorder="1" applyAlignment="1">
      <alignment horizontal="center" vertical="center" wrapText="1"/>
    </xf>
    <xf numFmtId="184" fontId="19" fillId="0" borderId="11" xfId="0" applyNumberFormat="1" applyFont="1" applyBorder="1" applyAlignment="1">
      <alignment horizontal="center" vertical="center" wrapText="1"/>
    </xf>
    <xf numFmtId="184" fontId="19" fillId="0" borderId="12" xfId="0" applyNumberFormat="1" applyFont="1" applyBorder="1" applyAlignment="1">
      <alignment horizontal="center" vertical="center" wrapText="1"/>
    </xf>
    <xf numFmtId="184" fontId="19" fillId="10" borderId="28" xfId="0" applyNumberFormat="1" applyFont="1" applyFill="1" applyBorder="1" applyAlignment="1">
      <alignment horizontal="center" vertical="center" wrapText="1"/>
    </xf>
    <xf numFmtId="184" fontId="19" fillId="0" borderId="16" xfId="0" applyNumberFormat="1" applyFont="1" applyBorder="1" applyAlignment="1">
      <alignment horizontal="center" vertical="center" wrapText="1"/>
    </xf>
    <xf numFmtId="184" fontId="19" fillId="0" borderId="28" xfId="0" applyNumberFormat="1" applyFont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43" xfId="0" applyNumberFormat="1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9" fontId="0" fillId="0" borderId="39" xfId="0" applyNumberFormat="1" applyBorder="1" applyAlignment="1">
      <alignment horizontal="center" vertical="center"/>
    </xf>
    <xf numFmtId="9" fontId="8" fillId="0" borderId="37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8" fontId="8" fillId="4" borderId="31" xfId="0" applyNumberFormat="1" applyFont="1" applyFill="1" applyBorder="1" applyAlignment="1">
      <alignment horizontal="center"/>
    </xf>
    <xf numFmtId="168" fontId="8" fillId="4" borderId="22" xfId="0" applyNumberFormat="1" applyFont="1" applyFill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18" fillId="11" borderId="29" xfId="0" applyFont="1" applyFill="1" applyBorder="1" applyAlignment="1">
      <alignment horizontal="center"/>
    </xf>
    <xf numFmtId="0" fontId="18" fillId="2" borderId="0" xfId="0" applyFont="1" applyFill="1"/>
    <xf numFmtId="0" fontId="8" fillId="2" borderId="0" xfId="0" applyFont="1" applyFill="1"/>
    <xf numFmtId="0" fontId="18" fillId="0" borderId="12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8" fillId="4" borderId="28" xfId="0" applyFont="1" applyFill="1" applyBorder="1" applyAlignment="1">
      <alignment horizontal="center"/>
    </xf>
    <xf numFmtId="0" fontId="8" fillId="5" borderId="31" xfId="0" applyFont="1" applyFill="1" applyBorder="1" applyAlignment="1">
      <alignment horizontal="center"/>
    </xf>
    <xf numFmtId="0" fontId="8" fillId="0" borderId="31" xfId="0" applyFont="1" applyBorder="1"/>
    <xf numFmtId="0" fontId="8" fillId="4" borderId="6" xfId="0" applyFont="1" applyFill="1" applyBorder="1" applyAlignment="1">
      <alignment horizontal="center"/>
    </xf>
    <xf numFmtId="0" fontId="8" fillId="0" borderId="16" xfId="0" applyFont="1" applyBorder="1"/>
    <xf numFmtId="0" fontId="8" fillId="5" borderId="16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/>
    </xf>
    <xf numFmtId="0" fontId="8" fillId="0" borderId="6" xfId="0" applyFont="1" applyBorder="1"/>
    <xf numFmtId="0" fontId="18" fillId="0" borderId="13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/>
    </xf>
    <xf numFmtId="0" fontId="8" fillId="0" borderId="31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/>
    </xf>
    <xf numFmtId="0" fontId="8" fillId="0" borderId="16" xfId="0" applyFont="1" applyBorder="1" applyAlignment="1">
      <alignment horizontal="center" vertical="center"/>
    </xf>
    <xf numFmtId="0" fontId="8" fillId="0" borderId="67" xfId="0" applyFont="1" applyBorder="1" applyAlignment="1">
      <alignment horizontal="center" vertical="center"/>
    </xf>
    <xf numFmtId="0" fontId="18" fillId="3" borderId="12" xfId="0" applyFont="1" applyFill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3" borderId="16" xfId="0" applyFont="1" applyFill="1" applyBorder="1" applyAlignment="1">
      <alignment horizontal="center"/>
    </xf>
    <xf numFmtId="170" fontId="8" fillId="0" borderId="44" xfId="1" applyNumberFormat="1" applyFont="1" applyBorder="1" applyAlignment="1">
      <alignment horizontal="center"/>
    </xf>
    <xf numFmtId="9" fontId="8" fillId="0" borderId="8" xfId="1" applyFont="1" applyBorder="1" applyAlignment="1">
      <alignment horizontal="center"/>
    </xf>
    <xf numFmtId="0" fontId="8" fillId="3" borderId="0" xfId="0" applyFont="1" applyFill="1" applyAlignment="1">
      <alignment horizontal="center"/>
    </xf>
    <xf numFmtId="9" fontId="8" fillId="0" borderId="0" xfId="0" applyNumberFormat="1" applyFont="1" applyAlignment="1">
      <alignment horizontal="center"/>
    </xf>
    <xf numFmtId="9" fontId="8" fillId="0" borderId="0" xfId="1" applyFont="1" applyBorder="1" applyAlignment="1">
      <alignment horizontal="center"/>
    </xf>
    <xf numFmtId="0" fontId="8" fillId="4" borderId="0" xfId="0" applyFont="1" applyFill="1"/>
    <xf numFmtId="0" fontId="8" fillId="11" borderId="0" xfId="0" applyFont="1" applyFill="1"/>
    <xf numFmtId="0" fontId="8" fillId="8" borderId="0" xfId="0" applyFont="1" applyFill="1"/>
    <xf numFmtId="0" fontId="8" fillId="0" borderId="0" xfId="0" applyFont="1" applyAlignment="1">
      <alignment horizontal="center" vertical="center"/>
    </xf>
    <xf numFmtId="0" fontId="8" fillId="0" borderId="19" xfId="0" applyFont="1" applyBorder="1"/>
    <xf numFmtId="0" fontId="18" fillId="4" borderId="57" xfId="0" applyFont="1" applyFill="1" applyBorder="1" applyAlignment="1">
      <alignment horizontal="center"/>
    </xf>
    <xf numFmtId="0" fontId="18" fillId="4" borderId="41" xfId="0" applyFont="1" applyFill="1" applyBorder="1" applyAlignment="1">
      <alignment horizontal="center"/>
    </xf>
    <xf numFmtId="0" fontId="18" fillId="8" borderId="12" xfId="0" applyFont="1" applyFill="1" applyBorder="1" applyAlignment="1">
      <alignment horizontal="center"/>
    </xf>
    <xf numFmtId="0" fontId="8" fillId="4" borderId="38" xfId="0" applyFont="1" applyFill="1" applyBorder="1" applyAlignment="1">
      <alignment horizontal="center"/>
    </xf>
    <xf numFmtId="0" fontId="8" fillId="4" borderId="29" xfId="0" applyFont="1" applyFill="1" applyBorder="1" applyAlignment="1">
      <alignment horizontal="center"/>
    </xf>
    <xf numFmtId="0" fontId="8" fillId="8" borderId="31" xfId="0" applyFont="1" applyFill="1" applyBorder="1" applyAlignment="1">
      <alignment horizontal="center"/>
    </xf>
    <xf numFmtId="0" fontId="18" fillId="0" borderId="39" xfId="0" applyFont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168" fontId="8" fillId="4" borderId="7" xfId="0" applyNumberFormat="1" applyFont="1" applyFill="1" applyBorder="1" applyAlignment="1">
      <alignment horizontal="center"/>
    </xf>
    <xf numFmtId="168" fontId="8" fillId="8" borderId="16" xfId="0" applyNumberFormat="1" applyFont="1" applyFill="1" applyBorder="1" applyAlignment="1">
      <alignment horizontal="center"/>
    </xf>
    <xf numFmtId="0" fontId="18" fillId="0" borderId="43" xfId="0" applyFont="1" applyBorder="1" applyAlignment="1">
      <alignment horizontal="center"/>
    </xf>
    <xf numFmtId="168" fontId="18" fillId="4" borderId="23" xfId="0" applyNumberFormat="1" applyFont="1" applyFill="1" applyBorder="1" applyAlignment="1">
      <alignment horizontal="center"/>
    </xf>
    <xf numFmtId="168" fontId="18" fillId="4" borderId="21" xfId="0" applyNumberFormat="1" applyFont="1" applyFill="1" applyBorder="1" applyAlignment="1">
      <alignment horizontal="center"/>
    </xf>
    <xf numFmtId="168" fontId="8" fillId="4" borderId="21" xfId="0" applyNumberFormat="1" applyFont="1" applyFill="1" applyBorder="1" applyAlignment="1">
      <alignment horizontal="center"/>
    </xf>
    <xf numFmtId="168" fontId="8" fillId="8" borderId="22" xfId="0" applyNumberFormat="1" applyFont="1" applyFill="1" applyBorder="1" applyAlignment="1">
      <alignment horizontal="center"/>
    </xf>
    <xf numFmtId="168" fontId="18" fillId="4" borderId="38" xfId="0" applyNumberFormat="1" applyFont="1" applyFill="1" applyBorder="1" applyAlignment="1">
      <alignment horizontal="center"/>
    </xf>
    <xf numFmtId="168" fontId="18" fillId="4" borderId="29" xfId="0" applyNumberFormat="1" applyFont="1" applyFill="1" applyBorder="1" applyAlignment="1">
      <alignment horizontal="center"/>
    </xf>
    <xf numFmtId="168" fontId="8" fillId="4" borderId="29" xfId="0" applyNumberFormat="1" applyFont="1" applyFill="1" applyBorder="1" applyAlignment="1">
      <alignment horizontal="center"/>
    </xf>
    <xf numFmtId="168" fontId="8" fillId="8" borderId="31" xfId="0" applyNumberFormat="1" applyFont="1" applyFill="1" applyBorder="1" applyAlignment="1">
      <alignment horizontal="center"/>
    </xf>
    <xf numFmtId="168" fontId="18" fillId="4" borderId="26" xfId="0" applyNumberFormat="1" applyFont="1" applyFill="1" applyBorder="1" applyAlignment="1">
      <alignment horizontal="center"/>
    </xf>
    <xf numFmtId="168" fontId="18" fillId="4" borderId="7" xfId="0" applyNumberFormat="1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8" fillId="4" borderId="11" xfId="0" applyFont="1" applyFill="1" applyBorder="1" applyAlignment="1">
      <alignment horizontal="center"/>
    </xf>
    <xf numFmtId="0" fontId="8" fillId="8" borderId="28" xfId="0" applyFont="1" applyFill="1" applyBorder="1" applyAlignment="1">
      <alignment horizontal="center"/>
    </xf>
    <xf numFmtId="0" fontId="8" fillId="8" borderId="66" xfId="0" applyFont="1" applyFill="1" applyBorder="1" applyAlignment="1">
      <alignment horizontal="center"/>
    </xf>
    <xf numFmtId="0" fontId="8" fillId="4" borderId="42" xfId="0" applyFont="1" applyFill="1" applyBorder="1" applyAlignment="1">
      <alignment horizontal="center"/>
    </xf>
    <xf numFmtId="0" fontId="8" fillId="8" borderId="52" xfId="0" applyFont="1" applyFill="1" applyBorder="1" applyAlignment="1">
      <alignment horizontal="center"/>
    </xf>
    <xf numFmtId="168" fontId="8" fillId="8" borderId="2" xfId="0" applyNumberFormat="1" applyFont="1" applyFill="1" applyBorder="1" applyAlignment="1">
      <alignment horizontal="center"/>
    </xf>
    <xf numFmtId="168" fontId="8" fillId="4" borderId="11" xfId="0" applyNumberFormat="1" applyFont="1" applyFill="1" applyBorder="1" applyAlignment="1">
      <alignment horizontal="center"/>
    </xf>
    <xf numFmtId="168" fontId="8" fillId="8" borderId="12" xfId="0" applyNumberFormat="1" applyFont="1" applyFill="1" applyBorder="1" applyAlignment="1">
      <alignment horizontal="center"/>
    </xf>
    <xf numFmtId="168" fontId="8" fillId="8" borderId="28" xfId="0" applyNumberFormat="1" applyFont="1" applyFill="1" applyBorder="1" applyAlignment="1">
      <alignment horizontal="center"/>
    </xf>
    <xf numFmtId="168" fontId="8" fillId="8" borderId="6" xfId="0" applyNumberFormat="1" applyFont="1" applyFill="1" applyBorder="1" applyAlignment="1">
      <alignment horizontal="center"/>
    </xf>
    <xf numFmtId="0" fontId="8" fillId="0" borderId="55" xfId="0" applyFont="1" applyBorder="1"/>
    <xf numFmtId="0" fontId="18" fillId="8" borderId="11" xfId="0" applyFont="1" applyFill="1" applyBorder="1" applyAlignment="1">
      <alignment horizontal="center"/>
    </xf>
    <xf numFmtId="0" fontId="18" fillId="11" borderId="11" xfId="0" applyFont="1" applyFill="1" applyBorder="1" applyAlignment="1">
      <alignment horizontal="center"/>
    </xf>
    <xf numFmtId="0" fontId="18" fillId="11" borderId="12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center"/>
    </xf>
    <xf numFmtId="0" fontId="18" fillId="0" borderId="51" xfId="0" applyFont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11" borderId="7" xfId="0" applyFont="1" applyFill="1" applyBorder="1" applyAlignment="1">
      <alignment horizontal="center"/>
    </xf>
    <xf numFmtId="0" fontId="8" fillId="11" borderId="16" xfId="0" applyFont="1" applyFill="1" applyBorder="1" applyAlignment="1">
      <alignment horizontal="center"/>
    </xf>
    <xf numFmtId="0" fontId="18" fillId="0" borderId="48" xfId="0" applyFont="1" applyBorder="1" applyAlignment="1">
      <alignment horizontal="center"/>
    </xf>
    <xf numFmtId="168" fontId="8" fillId="8" borderId="20" xfId="0" applyNumberFormat="1" applyFont="1" applyFill="1" applyBorder="1" applyAlignment="1">
      <alignment horizontal="center"/>
    </xf>
    <xf numFmtId="168" fontId="8" fillId="8" borderId="21" xfId="0" applyNumberFormat="1" applyFont="1" applyFill="1" applyBorder="1" applyAlignment="1">
      <alignment horizontal="center"/>
    </xf>
    <xf numFmtId="168" fontId="8" fillId="11" borderId="21" xfId="0" applyNumberFormat="1" applyFont="1" applyFill="1" applyBorder="1" applyAlignment="1">
      <alignment horizontal="center"/>
    </xf>
    <xf numFmtId="168" fontId="8" fillId="11" borderId="22" xfId="0" applyNumberFormat="1" applyFont="1" applyFill="1" applyBorder="1" applyAlignment="1">
      <alignment horizontal="center"/>
    </xf>
    <xf numFmtId="0" fontId="18" fillId="0" borderId="49" xfId="0" applyFont="1" applyBorder="1" applyAlignment="1">
      <alignment horizontal="center"/>
    </xf>
    <xf numFmtId="168" fontId="8" fillId="8" borderId="29" xfId="0" applyNumberFormat="1" applyFont="1" applyFill="1" applyBorder="1" applyAlignment="1">
      <alignment horizontal="center"/>
    </xf>
    <xf numFmtId="168" fontId="8" fillId="11" borderId="29" xfId="0" applyNumberFormat="1" applyFont="1" applyFill="1" applyBorder="1" applyAlignment="1">
      <alignment horizontal="center"/>
    </xf>
    <xf numFmtId="168" fontId="8" fillId="11" borderId="31" xfId="0" applyNumberFormat="1" applyFont="1" applyFill="1" applyBorder="1" applyAlignment="1">
      <alignment horizontal="center"/>
    </xf>
    <xf numFmtId="168" fontId="8" fillId="8" borderId="7" xfId="0" applyNumberFormat="1" applyFont="1" applyFill="1" applyBorder="1" applyAlignment="1">
      <alignment horizontal="center"/>
    </xf>
    <xf numFmtId="168" fontId="8" fillId="11" borderId="7" xfId="0" applyNumberFormat="1" applyFont="1" applyFill="1" applyBorder="1" applyAlignment="1">
      <alignment horizontal="center"/>
    </xf>
    <xf numFmtId="168" fontId="8" fillId="11" borderId="16" xfId="0" applyNumberFormat="1" applyFont="1" applyFill="1" applyBorder="1" applyAlignment="1">
      <alignment horizontal="center"/>
    </xf>
    <xf numFmtId="0" fontId="18" fillId="8" borderId="41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/>
    </xf>
    <xf numFmtId="0" fontId="8" fillId="8" borderId="38" xfId="0" applyFont="1" applyFill="1" applyBorder="1" applyAlignment="1">
      <alignment horizontal="center"/>
    </xf>
    <xf numFmtId="0" fontId="8" fillId="8" borderId="47" xfId="0" applyFont="1" applyFill="1" applyBorder="1" applyAlignment="1">
      <alignment horizontal="center"/>
    </xf>
    <xf numFmtId="168" fontId="8" fillId="4" borderId="42" xfId="0" applyNumberFormat="1" applyFont="1" applyFill="1" applyBorder="1" applyAlignment="1">
      <alignment horizontal="center"/>
    </xf>
    <xf numFmtId="168" fontId="18" fillId="4" borderId="11" xfId="0" applyNumberFormat="1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8" fillId="11" borderId="42" xfId="0" applyFont="1" applyFill="1" applyBorder="1" applyAlignment="1">
      <alignment horizontal="center"/>
    </xf>
    <xf numFmtId="0" fontId="8" fillId="11" borderId="52" xfId="0" applyFont="1" applyFill="1" applyBorder="1" applyAlignment="1">
      <alignment horizontal="center"/>
    </xf>
    <xf numFmtId="168" fontId="8" fillId="11" borderId="11" xfId="0" applyNumberFormat="1" applyFont="1" applyFill="1" applyBorder="1" applyAlignment="1">
      <alignment horizontal="center"/>
    </xf>
    <xf numFmtId="168" fontId="8" fillId="11" borderId="12" xfId="0" applyNumberFormat="1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4" borderId="11" xfId="0" applyFont="1" applyFill="1" applyBorder="1" applyAlignment="1">
      <alignment horizontal="center"/>
    </xf>
    <xf numFmtId="0" fontId="18" fillId="4" borderId="12" xfId="0" applyFont="1" applyFill="1" applyBorder="1" applyAlignment="1">
      <alignment horizontal="center"/>
    </xf>
    <xf numFmtId="0" fontId="18" fillId="4" borderId="29" xfId="0" applyFont="1" applyFill="1" applyBorder="1" applyAlignment="1">
      <alignment horizontal="center"/>
    </xf>
    <xf numFmtId="0" fontId="18" fillId="4" borderId="31" xfId="0" applyFont="1" applyFill="1" applyBorder="1" applyAlignment="1">
      <alignment horizontal="center"/>
    </xf>
    <xf numFmtId="168" fontId="8" fillId="4" borderId="16" xfId="0" applyNumberFormat="1" applyFont="1" applyFill="1" applyBorder="1" applyAlignment="1">
      <alignment horizontal="center"/>
    </xf>
    <xf numFmtId="168" fontId="18" fillId="4" borderId="20" xfId="0" applyNumberFormat="1" applyFont="1" applyFill="1" applyBorder="1" applyAlignment="1">
      <alignment horizontal="center"/>
    </xf>
    <xf numFmtId="168" fontId="18" fillId="4" borderId="28" xfId="0" applyNumberFormat="1" applyFont="1" applyFill="1" applyBorder="1" applyAlignment="1">
      <alignment horizontal="center"/>
    </xf>
    <xf numFmtId="168" fontId="18" fillId="4" borderId="6" xfId="0" applyNumberFormat="1" applyFont="1" applyFill="1" applyBorder="1" applyAlignment="1">
      <alignment horizontal="center"/>
    </xf>
    <xf numFmtId="168" fontId="8" fillId="11" borderId="52" xfId="0" applyNumberFormat="1" applyFont="1" applyFill="1" applyBorder="1" applyAlignment="1">
      <alignment horizontal="center"/>
    </xf>
    <xf numFmtId="168" fontId="8" fillId="11" borderId="2" xfId="0" applyNumberFormat="1" applyFont="1" applyFill="1" applyBorder="1" applyAlignment="1">
      <alignment horizontal="center"/>
    </xf>
    <xf numFmtId="168" fontId="8" fillId="11" borderId="6" xfId="0" applyNumberFormat="1" applyFont="1" applyFill="1" applyBorder="1" applyAlignment="1">
      <alignment horizontal="center"/>
    </xf>
    <xf numFmtId="0" fontId="18" fillId="11" borderId="12" xfId="0" applyFont="1" applyFill="1" applyBorder="1" applyAlignment="1">
      <alignment horizontal="center"/>
    </xf>
    <xf numFmtId="0" fontId="18" fillId="11" borderId="2" xfId="0" applyFont="1" applyFill="1" applyBorder="1" applyAlignment="1">
      <alignment horizontal="center"/>
    </xf>
    <xf numFmtId="0" fontId="18" fillId="11" borderId="28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8" fillId="11" borderId="66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8" fillId="0" borderId="65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/>
    </xf>
    <xf numFmtId="9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" xfId="0" applyFont="1" applyBorder="1"/>
    <xf numFmtId="0" fontId="8" fillId="3" borderId="2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0" borderId="5" xfId="0" applyFont="1" applyBorder="1"/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9" fontId="8" fillId="0" borderId="12" xfId="0" applyNumberFormat="1" applyFont="1" applyBorder="1" applyAlignment="1">
      <alignment horizontal="center"/>
    </xf>
    <xf numFmtId="0" fontId="18" fillId="0" borderId="40" xfId="0" applyFont="1" applyBorder="1" applyAlignment="1">
      <alignment horizontal="center"/>
    </xf>
    <xf numFmtId="170" fontId="8" fillId="0" borderId="7" xfId="1" applyNumberFormat="1" applyFont="1" applyBorder="1" applyAlignment="1">
      <alignment horizontal="center"/>
    </xf>
    <xf numFmtId="9" fontId="8" fillId="0" borderId="16" xfId="0" applyNumberFormat="1" applyFont="1" applyBorder="1" applyAlignment="1">
      <alignment horizontal="center"/>
    </xf>
    <xf numFmtId="0" fontId="18" fillId="4" borderId="55" xfId="0" applyFont="1" applyFill="1" applyBorder="1" applyAlignment="1">
      <alignment horizontal="center"/>
    </xf>
    <xf numFmtId="0" fontId="18" fillId="8" borderId="41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  <xf numFmtId="0" fontId="18" fillId="8" borderId="55" xfId="0" applyFont="1" applyFill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11" borderId="28" xfId="0" applyFont="1" applyFill="1" applyBorder="1" applyAlignment="1">
      <alignment horizontal="center"/>
    </xf>
    <xf numFmtId="38" fontId="8" fillId="11" borderId="20" xfId="0" applyNumberFormat="1" applyFont="1" applyFill="1" applyBorder="1" applyAlignment="1">
      <alignment horizontal="center"/>
    </xf>
    <xf numFmtId="38" fontId="8" fillId="11" borderId="28" xfId="0" applyNumberFormat="1" applyFont="1" applyFill="1" applyBorder="1" applyAlignment="1">
      <alignment horizontal="center"/>
    </xf>
    <xf numFmtId="0" fontId="18" fillId="11" borderId="21" xfId="0" applyFont="1" applyFill="1" applyBorder="1" applyAlignment="1">
      <alignment horizontal="center"/>
    </xf>
    <xf numFmtId="0" fontId="18" fillId="11" borderId="60" xfId="0" applyFont="1" applyFill="1" applyBorder="1" applyAlignment="1">
      <alignment horizontal="center"/>
    </xf>
    <xf numFmtId="0" fontId="8" fillId="0" borderId="37" xfId="0" applyFont="1" applyFill="1" applyBorder="1" applyAlignment="1">
      <alignment horizontal="center"/>
    </xf>
    <xf numFmtId="0" fontId="8" fillId="0" borderId="38" xfId="0" applyFont="1" applyFill="1" applyBorder="1" applyAlignment="1">
      <alignment horizont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38" fontId="3" fillId="0" borderId="31" xfId="0" applyNumberFormat="1" applyFont="1" applyFill="1" applyBorder="1" applyAlignment="1">
      <alignment horizontal="center"/>
    </xf>
    <xf numFmtId="0" fontId="9" fillId="0" borderId="37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168" fontId="3" fillId="0" borderId="31" xfId="0" applyNumberFormat="1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9" fontId="0" fillId="0" borderId="31" xfId="0" applyNumberFormat="1" applyFill="1" applyBorder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38" fontId="8" fillId="11" borderId="6" xfId="0" applyNumberFormat="1" applyFont="1" applyFill="1" applyBorder="1" applyAlignment="1">
      <alignment horizontal="center"/>
    </xf>
    <xf numFmtId="0" fontId="18" fillId="8" borderId="60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0" fontId="18" fillId="8" borderId="11" xfId="0" applyFont="1" applyFill="1" applyBorder="1" applyAlignment="1">
      <alignment horizontal="center"/>
    </xf>
    <xf numFmtId="0" fontId="8" fillId="8" borderId="42" xfId="0" applyFont="1" applyFill="1" applyBorder="1" applyAlignment="1">
      <alignment horizontal="center"/>
    </xf>
    <xf numFmtId="168" fontId="8" fillId="8" borderId="11" xfId="0" applyNumberFormat="1" applyFont="1" applyFill="1" applyBorder="1" applyAlignment="1">
      <alignment horizontal="center"/>
    </xf>
    <xf numFmtId="3" fontId="4" fillId="0" borderId="7" xfId="0" applyNumberFormat="1" applyFont="1" applyBorder="1" applyAlignment="1">
      <alignment horizontal="center"/>
    </xf>
    <xf numFmtId="3" fontId="4" fillId="0" borderId="26" xfId="0" applyNumberFormat="1" applyFont="1" applyBorder="1" applyAlignment="1">
      <alignment horizontal="center"/>
    </xf>
    <xf numFmtId="3" fontId="0" fillId="0" borderId="43" xfId="0" applyNumberFormat="1" applyBorder="1" applyAlignment="1">
      <alignment horizontal="center"/>
    </xf>
    <xf numFmtId="3" fontId="0" fillId="0" borderId="37" xfId="0" applyNumberFormat="1" applyBorder="1" applyAlignment="1">
      <alignment horizontal="center"/>
    </xf>
    <xf numFmtId="3" fontId="4" fillId="0" borderId="37" xfId="0" applyNumberFormat="1" applyFont="1" applyBorder="1" applyAlignment="1">
      <alignment horizontal="center"/>
    </xf>
    <xf numFmtId="3" fontId="0" fillId="0" borderId="39" xfId="0" applyNumberFormat="1" applyBorder="1" applyAlignment="1">
      <alignment horizontal="center"/>
    </xf>
    <xf numFmtId="3" fontId="0" fillId="0" borderId="48" xfId="0" applyNumberFormat="1" applyBorder="1" applyAlignment="1">
      <alignment horizontal="center"/>
    </xf>
    <xf numFmtId="3" fontId="4" fillId="0" borderId="11" xfId="0" applyNumberFormat="1" applyFont="1" applyBorder="1" applyAlignment="1">
      <alignment horizontal="center"/>
    </xf>
    <xf numFmtId="3" fontId="4" fillId="0" borderId="6" xfId="0" applyNumberFormat="1" applyFont="1" applyBorder="1" applyAlignment="1">
      <alignment horizontal="center"/>
    </xf>
    <xf numFmtId="3" fontId="0" fillId="0" borderId="47" xfId="0" applyNumberFormat="1" applyFont="1" applyBorder="1" applyAlignment="1">
      <alignment horizontal="center"/>
    </xf>
    <xf numFmtId="3" fontId="0" fillId="0" borderId="42" xfId="0" applyNumberFormat="1" applyFont="1" applyBorder="1" applyAlignment="1">
      <alignment horizontal="center"/>
    </xf>
    <xf numFmtId="3" fontId="0" fillId="0" borderId="28" xfId="0" applyNumberFormat="1" applyFont="1" applyBorder="1" applyAlignment="1">
      <alignment horizontal="center"/>
    </xf>
    <xf numFmtId="3" fontId="0" fillId="0" borderId="29" xfId="0" applyNumberFormat="1" applyFont="1" applyBorder="1" applyAlignment="1">
      <alignment horizontal="center"/>
    </xf>
    <xf numFmtId="3" fontId="0" fillId="0" borderId="31" xfId="0" applyNumberFormat="1" applyFont="1" applyBorder="1" applyAlignment="1">
      <alignment horizontal="center"/>
    </xf>
    <xf numFmtId="3" fontId="0" fillId="0" borderId="11" xfId="0" applyNumberFormat="1" applyFont="1" applyBorder="1" applyAlignment="1">
      <alignment horizontal="center"/>
    </xf>
    <xf numFmtId="3" fontId="0" fillId="0" borderId="12" xfId="0" applyNumberFormat="1" applyFont="1" applyBorder="1" applyAlignment="1">
      <alignment horizontal="center"/>
    </xf>
    <xf numFmtId="3" fontId="0" fillId="0" borderId="6" xfId="0" applyNumberFormat="1" applyFont="1" applyBorder="1" applyAlignment="1">
      <alignment horizontal="center"/>
    </xf>
    <xf numFmtId="3" fontId="0" fillId="0" borderId="7" xfId="0" applyNumberFormat="1" applyFont="1" applyBorder="1" applyAlignment="1">
      <alignment horizontal="center"/>
    </xf>
    <xf numFmtId="3" fontId="0" fillId="0" borderId="16" xfId="0" applyNumberFormat="1" applyFont="1" applyBorder="1" applyAlignment="1">
      <alignment horizontal="center"/>
    </xf>
    <xf numFmtId="3" fontId="0" fillId="0" borderId="2" xfId="0" applyNumberFormat="1" applyFont="1" applyBorder="1" applyAlignment="1">
      <alignment horizontal="center"/>
    </xf>
    <xf numFmtId="9" fontId="0" fillId="0" borderId="48" xfId="1" applyFont="1" applyBorder="1" applyAlignment="1">
      <alignment horizontal="center"/>
    </xf>
    <xf numFmtId="3" fontId="4" fillId="0" borderId="20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0" xfId="0" applyNumberFormat="1" applyFont="1" applyBorder="1" applyAlignment="1">
      <alignment horizontal="center"/>
    </xf>
    <xf numFmtId="3" fontId="4" fillId="0" borderId="0" xfId="0" applyNumberFormat="1" applyFont="1" applyBorder="1" applyAlignment="1">
      <alignment horizontal="center"/>
    </xf>
    <xf numFmtId="170" fontId="8" fillId="0" borderId="29" xfId="1" applyNumberFormat="1" applyFont="1" applyBorder="1" applyAlignment="1">
      <alignment horizontal="center"/>
    </xf>
    <xf numFmtId="3" fontId="0" fillId="0" borderId="47" xfId="0" applyNumberFormat="1" applyBorder="1" applyAlignment="1">
      <alignment horizontal="center"/>
    </xf>
    <xf numFmtId="170" fontId="8" fillId="0" borderId="31" xfId="1" applyNumberFormat="1" applyFont="1" applyBorder="1" applyAlignment="1">
      <alignment horizontal="center"/>
    </xf>
    <xf numFmtId="9" fontId="1" fillId="0" borderId="28" xfId="1" applyFont="1" applyBorder="1" applyAlignment="1">
      <alignment horizontal="center"/>
    </xf>
    <xf numFmtId="170" fontId="8" fillId="0" borderId="16" xfId="1" applyNumberFormat="1" applyFont="1" applyBorder="1" applyAlignment="1">
      <alignment horizontal="center"/>
    </xf>
    <xf numFmtId="170" fontId="8" fillId="0" borderId="22" xfId="1" applyNumberFormat="1" applyFont="1" applyBorder="1" applyAlignment="1">
      <alignment horizontal="center"/>
    </xf>
    <xf numFmtId="3" fontId="0" fillId="0" borderId="41" xfId="0" applyNumberFormat="1" applyFont="1" applyBorder="1" applyAlignment="1">
      <alignment horizontal="center"/>
    </xf>
    <xf numFmtId="3" fontId="0" fillId="0" borderId="22" xfId="0" applyNumberFormat="1" applyFont="1" applyBorder="1" applyAlignment="1">
      <alignment horizontal="center"/>
    </xf>
    <xf numFmtId="3" fontId="0" fillId="0" borderId="26" xfId="0" applyNumberFormat="1" applyFont="1" applyBorder="1" applyAlignment="1">
      <alignment horizontal="center"/>
    </xf>
    <xf numFmtId="3" fontId="0" fillId="0" borderId="38" xfId="0" applyNumberFormat="1" applyFont="1" applyBorder="1" applyAlignment="1">
      <alignment horizontal="center"/>
    </xf>
    <xf numFmtId="183" fontId="4" fillId="0" borderId="12" xfId="1" applyNumberFormat="1" applyFont="1" applyBorder="1" applyAlignment="1">
      <alignment horizontal="center"/>
    </xf>
    <xf numFmtId="183" fontId="4" fillId="0" borderId="16" xfId="1" applyNumberFormat="1" applyFont="1" applyBorder="1" applyAlignment="1">
      <alignment horizontal="center"/>
    </xf>
    <xf numFmtId="182" fontId="0" fillId="0" borderId="31" xfId="0" applyNumberFormat="1" applyFont="1" applyBorder="1" applyAlignment="1">
      <alignment horizontal="center"/>
    </xf>
    <xf numFmtId="182" fontId="0" fillId="0" borderId="16" xfId="0" applyNumberFormat="1" applyFont="1" applyBorder="1" applyAlignment="1">
      <alignment horizontal="center"/>
    </xf>
    <xf numFmtId="9" fontId="4" fillId="0" borderId="48" xfId="1" applyFont="1" applyBorder="1" applyAlignment="1">
      <alignment horizontal="center"/>
    </xf>
    <xf numFmtId="3" fontId="4" fillId="0" borderId="21" xfId="0" applyNumberFormat="1" applyFont="1" applyBorder="1" applyAlignment="1">
      <alignment horizontal="center"/>
    </xf>
    <xf numFmtId="182" fontId="4" fillId="0" borderId="22" xfId="0" applyNumberFormat="1" applyFont="1" applyBorder="1" applyAlignment="1">
      <alignment horizontal="center"/>
    </xf>
    <xf numFmtId="3" fontId="0" fillId="0" borderId="66" xfId="0" applyNumberFormat="1" applyFont="1" applyBorder="1" applyAlignment="1">
      <alignment horizontal="center"/>
    </xf>
  </cellXfs>
  <cellStyles count="2">
    <cellStyle name="Prozent" xfId="1" builtinId="5"/>
    <cellStyle name="Standard" xfId="0" builtinId="0"/>
  </cellStyles>
  <dxfs count="129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3EFE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CCCC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,##0_ 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border>
        <bottom style="medium">
          <color indexed="64"/>
        </bottom>
      </border>
    </dxf>
    <dxf>
      <fill>
        <patternFill>
          <bgColor rgb="FF00B0F0"/>
        </patternFill>
      </fill>
    </dxf>
  </dxfs>
  <tableStyles count="1" defaultTableStyle="TableStyleMedium2" defaultPivotStyle="PivotStyleLight16">
    <tableStyle name="Tabellenformat 1" pivot="0" count="1" xr9:uid="{DA0C2063-F494-478A-B576-B17133482948}">
      <tableStyleElement type="wholeTable" dxfId="128"/>
    </tableStyle>
  </tableStyles>
  <colors>
    <mruColors>
      <color rgb="FFFF9966"/>
      <color rgb="FF03EFEF"/>
      <color rgb="FFCC00FF"/>
      <color rgb="FFFF99CC"/>
      <color rgb="FF009999"/>
      <color rgb="FFBC87C3"/>
      <color rgb="FFFF7C80"/>
      <color rgb="FF00FF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TVM-KSA und Gesamtphosphorsäure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Gesamtphosphorsäure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92D05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OAT'!$A$177:$A$184</c15:sqref>
                  </c15:fullRef>
                </c:ext>
              </c:extLst>
              <c:f>('Sensitivität Analyse OAT'!$A$177:$A$179,'Sensitivität Analyse OAT'!$A$181:$A$184)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OAT'!$B$177:$B$184</c15:sqref>
                  </c15:fullRef>
                </c:ext>
              </c:extLst>
              <c:f>('Sensitivität Analyse OAT'!$B$177:$B$179,'Sensitivität Analyse OAT'!$B$181:$B$184)</c:f>
              <c:numCache>
                <c:formatCode>#,##0</c:formatCode>
                <c:ptCount val="7"/>
                <c:pt idx="0">
                  <c:v>16018</c:v>
                </c:pt>
                <c:pt idx="1">
                  <c:v>15436</c:v>
                </c:pt>
                <c:pt idx="2">
                  <c:v>14854</c:v>
                </c:pt>
                <c:pt idx="3">
                  <c:v>14272</c:v>
                </c:pt>
                <c:pt idx="4">
                  <c:v>13690</c:v>
                </c:pt>
                <c:pt idx="5">
                  <c:v>13108</c:v>
                </c:pt>
                <c:pt idx="6">
                  <c:v>12526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5-47CB-AD7C-8DF62821A88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TVM-KSA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6500"/>
          <c:min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Gesamtphosphorsäure [t/a]</a:t>
                </a:r>
              </a:p>
            </c:rich>
          </c:tx>
          <c:layout>
            <c:manualLayout>
              <c:xMode val="edge"/>
              <c:yMode val="edge"/>
              <c:x val="1.9439504348673156E-2"/>
              <c:y val="0.214586358550058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TVM-KSA und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Düngemittel-Produkt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BC87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OAT'!$A$177:$A$184</c15:sqref>
                  </c15:fullRef>
                </c:ext>
              </c:extLst>
              <c:f>('Sensitivität Analyse OAT'!$A$177:$A$179,'Sensitivität Analyse OAT'!$A$181:$A$184)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OAT'!$C$177:$C$184</c15:sqref>
                  </c15:fullRef>
                </c:ext>
              </c:extLst>
              <c:f>('Sensitivität Analyse OAT'!$C$177:$C$179,'Sensitivität Analyse OAT'!$C$181:$C$184)</c:f>
              <c:numCache>
                <c:formatCode>#,##0</c:formatCode>
                <c:ptCount val="7"/>
                <c:pt idx="0">
                  <c:v>46758</c:v>
                </c:pt>
                <c:pt idx="1">
                  <c:v>46145</c:v>
                </c:pt>
                <c:pt idx="2">
                  <c:v>45532</c:v>
                </c:pt>
                <c:pt idx="3">
                  <c:v>44920</c:v>
                </c:pt>
                <c:pt idx="4">
                  <c:v>44307</c:v>
                </c:pt>
                <c:pt idx="5">
                  <c:v>43694</c:v>
                </c:pt>
                <c:pt idx="6">
                  <c:v>43082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E-4935-80C7-8EB9F6D1B1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TVM-KSA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48000"/>
          <c:min val="4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Düngelmittel-Produkt [t/a]</a:t>
                </a:r>
              </a:p>
            </c:rich>
          </c:tx>
          <c:layout>
            <c:manualLayout>
              <c:xMode val="edge"/>
              <c:yMode val="edge"/>
              <c:x val="1.9439452622704134E-2"/>
              <c:y val="0.155389678382225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TVM-KSA und P-Säure/Düngemittel-Produkt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P-Säure/Düngemittel-Produkt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OAT'!$A$177:$A$184</c15:sqref>
                  </c15:fullRef>
                </c:ext>
              </c:extLst>
              <c:f>('Sensitivität Analyse OAT'!$A$177:$A$179,'Sensitivität Analyse OAT'!$A$181:$A$184)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OAT'!$D$177:$D$184</c15:sqref>
                  </c15:fullRef>
                </c:ext>
              </c:extLst>
              <c:f>('Sensitivität Analyse OAT'!$D$177:$D$179,'Sensitivität Analyse OAT'!$D$181:$D$184)</c:f>
              <c:numCache>
                <c:formatCode>0.000</c:formatCode>
                <c:ptCount val="7"/>
                <c:pt idx="0">
                  <c:v>0.34257239402882927</c:v>
                </c:pt>
                <c:pt idx="1">
                  <c:v>0.33451078123306965</c:v>
                </c:pt>
                <c:pt idx="2">
                  <c:v>0.32623210050074675</c:v>
                </c:pt>
                <c:pt idx="3">
                  <c:v>0.31772039180765804</c:v>
                </c:pt>
                <c:pt idx="4">
                  <c:v>0.30898052226510486</c:v>
                </c:pt>
                <c:pt idx="5">
                  <c:v>0.29999542271250057</c:v>
                </c:pt>
                <c:pt idx="6">
                  <c:v>0.29074787614316883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1-4FC9-AAB9-276CBCFEB9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TVM-KSA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0.35000000000000003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P-Säure/Düngemittel-Produkt [t/t]</a:t>
                </a:r>
              </a:p>
            </c:rich>
          </c:tx>
          <c:layout>
            <c:manualLayout>
              <c:xMode val="edge"/>
              <c:yMode val="edge"/>
              <c:x val="4.8419164563953104E-3"/>
              <c:y val="0.15538973595820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SEF-KSA und Gesamtphosphorsäure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Gesamtphosphorsäure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92D05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OAT'!$F$177:$F$184</c15:sqref>
                  </c15:fullRef>
                </c:ext>
              </c:extLst>
              <c:f>('Sensitivität Analyse OAT'!$F$177:$F$178,'Sensitivität Analyse OAT'!$F$180:$F$184)</c:f>
              <c:numCache>
                <c:formatCode>#,##0</c:formatCode>
                <c:ptCount val="7"/>
                <c:pt idx="0">
                  <c:v>75000</c:v>
                </c:pt>
                <c:pt idx="1">
                  <c:v>80000</c:v>
                </c:pt>
                <c:pt idx="2">
                  <c:v>85000</c:v>
                </c:pt>
                <c:pt idx="3">
                  <c:v>90000</c:v>
                </c:pt>
                <c:pt idx="4">
                  <c:v>95000</c:v>
                </c:pt>
                <c:pt idx="5">
                  <c:v>100000</c:v>
                </c:pt>
                <c:pt idx="6">
                  <c:v>105000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OAT'!$G$177:$G$184</c15:sqref>
                  </c15:fullRef>
                </c:ext>
              </c:extLst>
              <c:f>('Sensitivität Analyse OAT'!$G$177:$G$178,'Sensitivität Analyse OAT'!$G$180:$G$184)</c:f>
              <c:numCache>
                <c:formatCode>#,##0</c:formatCode>
                <c:ptCount val="7"/>
                <c:pt idx="0">
                  <c:v>15218</c:v>
                </c:pt>
                <c:pt idx="1">
                  <c:v>14985</c:v>
                </c:pt>
                <c:pt idx="2">
                  <c:v>14752</c:v>
                </c:pt>
                <c:pt idx="3">
                  <c:v>14519</c:v>
                </c:pt>
                <c:pt idx="4">
                  <c:v>14286</c:v>
                </c:pt>
                <c:pt idx="5">
                  <c:v>14054</c:v>
                </c:pt>
                <c:pt idx="6">
                  <c:v>13821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D8-44C5-ABB4-0394D6EF6D2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5500"/>
          <c:min val="13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Gesamtphosphorsäure [t/a]</a:t>
                </a:r>
              </a:p>
            </c:rich>
          </c:tx>
          <c:layout>
            <c:manualLayout>
              <c:xMode val="edge"/>
              <c:yMode val="edge"/>
              <c:x val="1.9439504348673156E-2"/>
              <c:y val="0.214586358550058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SEF-KSA und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Düngemittel-Produkt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BC87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OAT'!$F$177:$F$184</c15:sqref>
                  </c15:fullRef>
                </c:ext>
              </c:extLst>
              <c:f>('Sensitivität Analyse OAT'!$F$177:$F$178,'Sensitivität Analyse OAT'!$F$180:$F$184)</c:f>
              <c:numCache>
                <c:formatCode>#,##0</c:formatCode>
                <c:ptCount val="7"/>
                <c:pt idx="0">
                  <c:v>75000</c:v>
                </c:pt>
                <c:pt idx="1">
                  <c:v>80000</c:v>
                </c:pt>
                <c:pt idx="2">
                  <c:v>85000</c:v>
                </c:pt>
                <c:pt idx="3">
                  <c:v>90000</c:v>
                </c:pt>
                <c:pt idx="4">
                  <c:v>95000</c:v>
                </c:pt>
                <c:pt idx="5">
                  <c:v>100000</c:v>
                </c:pt>
                <c:pt idx="6">
                  <c:v>105000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OAT'!$H$177:$H$184</c15:sqref>
                  </c15:fullRef>
                </c:ext>
              </c:extLst>
              <c:f>('Sensitivität Analyse OAT'!$H$177:$H$178,'Sensitivität Analyse OAT'!$H$180:$H$184)</c:f>
              <c:numCache>
                <c:formatCode>#,##0</c:formatCode>
                <c:ptCount val="7"/>
                <c:pt idx="0">
                  <c:v>45916</c:v>
                </c:pt>
                <c:pt idx="1">
                  <c:v>45671</c:v>
                </c:pt>
                <c:pt idx="2">
                  <c:v>45425</c:v>
                </c:pt>
                <c:pt idx="3">
                  <c:v>45180</c:v>
                </c:pt>
                <c:pt idx="4">
                  <c:v>44935</c:v>
                </c:pt>
                <c:pt idx="5">
                  <c:v>44690</c:v>
                </c:pt>
                <c:pt idx="6">
                  <c:v>44445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F7-4D7E-A264-B0CC94DB7D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46000"/>
          <c:min val="4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Düngelmittel-Produkt [t/a]</a:t>
                </a:r>
              </a:p>
            </c:rich>
          </c:tx>
          <c:layout>
            <c:manualLayout>
              <c:xMode val="edge"/>
              <c:yMode val="edge"/>
              <c:x val="1.9439452622704134E-2"/>
              <c:y val="0.155389678382225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SEF-KSA und P-Säure/Düngemittel-Produkt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P-Säure/Düngemittel-Produkt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OAT'!$F$177:$F$184</c15:sqref>
                  </c15:fullRef>
                </c:ext>
              </c:extLst>
              <c:f>('Sensitivität Analyse OAT'!$F$177:$F$178,'Sensitivität Analyse OAT'!$F$180:$F$184)</c:f>
              <c:numCache>
                <c:formatCode>#,##0</c:formatCode>
                <c:ptCount val="7"/>
                <c:pt idx="0">
                  <c:v>75000</c:v>
                </c:pt>
                <c:pt idx="1">
                  <c:v>80000</c:v>
                </c:pt>
                <c:pt idx="2">
                  <c:v>85000</c:v>
                </c:pt>
                <c:pt idx="3">
                  <c:v>90000</c:v>
                </c:pt>
                <c:pt idx="4">
                  <c:v>95000</c:v>
                </c:pt>
                <c:pt idx="5">
                  <c:v>100000</c:v>
                </c:pt>
                <c:pt idx="6">
                  <c:v>105000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OAT'!$I$177:$I$184</c15:sqref>
                  </c15:fullRef>
                </c:ext>
              </c:extLst>
              <c:f>('Sensitivität Analyse OAT'!$I$177:$I$178,'Sensitivität Analyse OAT'!$I$180:$I$184)</c:f>
              <c:numCache>
                <c:formatCode>0.000</c:formatCode>
                <c:ptCount val="7"/>
                <c:pt idx="0">
                  <c:v>0.33143130934750414</c:v>
                </c:pt>
                <c:pt idx="1">
                  <c:v>0.32810755183814677</c:v>
                </c:pt>
                <c:pt idx="2">
                  <c:v>0.32475509080902587</c:v>
                </c:pt>
                <c:pt idx="3">
                  <c:v>0.32135900841080123</c:v>
                </c:pt>
                <c:pt idx="4">
                  <c:v>0.31792589295649271</c:v>
                </c:pt>
                <c:pt idx="5">
                  <c:v>0.31447751174759453</c:v>
                </c:pt>
                <c:pt idx="6">
                  <c:v>0.31096861289233885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A5-45E9-BC53-A7354978F4D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0.33500000000000008"/>
          <c:min val="0.3100000000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P-Säure/Düngemittel-Produkt [t/t]</a:t>
                </a:r>
              </a:p>
            </c:rich>
          </c:tx>
          <c:layout>
            <c:manualLayout>
              <c:xMode val="edge"/>
              <c:yMode val="edge"/>
              <c:x val="4.8419164563953104E-3"/>
              <c:y val="0.15538973595820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ISH-KSA und Gesamtphosphorsäure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Gesamtphosphorsäure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92D05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OAT'!$K$177:$K$184</c15:sqref>
                  </c15:fullRef>
                </c:ext>
              </c:extLst>
              <c:f>('Sensitivität Analyse OAT'!$K$177:$K$181,'Sensitivität Analyse OAT'!$K$183:$K$184)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OAT'!$L$177:$L$184</c15:sqref>
                  </c15:fullRef>
                </c:ext>
              </c:extLst>
              <c:f>('Sensitivität Analyse OAT'!$L$177:$L$181,'Sensitivität Analyse OAT'!$L$183:$L$184)</c:f>
              <c:numCache>
                <c:formatCode>#,##0</c:formatCode>
                <c:ptCount val="7"/>
                <c:pt idx="0">
                  <c:v>16082</c:v>
                </c:pt>
                <c:pt idx="1">
                  <c:v>15779</c:v>
                </c:pt>
                <c:pt idx="2">
                  <c:v>15476</c:v>
                </c:pt>
                <c:pt idx="3">
                  <c:v>15173</c:v>
                </c:pt>
                <c:pt idx="4">
                  <c:v>14870</c:v>
                </c:pt>
                <c:pt idx="5">
                  <c:v>14567</c:v>
                </c:pt>
                <c:pt idx="6">
                  <c:v>14265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0-442B-A15E-D37DDFA9BD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ISH-KSA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7000"/>
          <c:min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Gesamtphosphorsäure [t/a]</a:t>
                </a:r>
              </a:p>
            </c:rich>
          </c:tx>
          <c:layout>
            <c:manualLayout>
              <c:xMode val="edge"/>
              <c:yMode val="edge"/>
              <c:x val="1.9439504348673156E-2"/>
              <c:y val="0.214586358550058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ISH-KSA und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Düngemittel-Produkt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BC87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OAT'!$K$177:$K$184</c15:sqref>
                  </c15:fullRef>
                </c:ext>
              </c:extLst>
              <c:f>('Sensitivität Analyse OAT'!$K$177:$K$181,'Sensitivität Analyse OAT'!$K$183:$K$184)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OAT'!$M$177:$M$184</c15:sqref>
                  </c15:fullRef>
                </c:ext>
              </c:extLst>
              <c:f>('Sensitivität Analyse OAT'!$M$177:$M$181,'Sensitivität Analyse OAT'!$M$183:$M$184)</c:f>
              <c:numCache>
                <c:formatCode>#,##0</c:formatCode>
                <c:ptCount val="7"/>
                <c:pt idx="0">
                  <c:v>46825</c:v>
                </c:pt>
                <c:pt idx="1">
                  <c:v>46506</c:v>
                </c:pt>
                <c:pt idx="2">
                  <c:v>46187</c:v>
                </c:pt>
                <c:pt idx="3">
                  <c:v>45869</c:v>
                </c:pt>
                <c:pt idx="4">
                  <c:v>45550</c:v>
                </c:pt>
                <c:pt idx="5">
                  <c:v>45231</c:v>
                </c:pt>
                <c:pt idx="6">
                  <c:v>44912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C-425A-96AD-EE7B7EC9028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ISH-KSA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47000"/>
          <c:min val="4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Düngelmittel-Produkt [t/a]</a:t>
                </a:r>
              </a:p>
            </c:rich>
          </c:tx>
          <c:layout>
            <c:manualLayout>
              <c:xMode val="edge"/>
              <c:yMode val="edge"/>
              <c:x val="1.9439452622704134E-2"/>
              <c:y val="0.155389678382225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P-Konzentration in ISH-KSA und P-Säure/Düngemittel-Produkt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P-Säure/Düngemittel-Produkt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OAT'!$K$177:$K$184</c15:sqref>
                  </c15:fullRef>
                </c:ext>
              </c:extLst>
              <c:f>('Sensitivität Analyse OAT'!$K$177:$K$181,'Sensitivität Analyse OAT'!$K$183:$K$184)</c:f>
              <c:numCache>
                <c:formatCode>#,##0</c:formatCode>
                <c:ptCount val="7"/>
                <c:pt idx="0">
                  <c:v>60000</c:v>
                </c:pt>
                <c:pt idx="1">
                  <c:v>65000</c:v>
                </c:pt>
                <c:pt idx="2">
                  <c:v>70000</c:v>
                </c:pt>
                <c:pt idx="3">
                  <c:v>75000</c:v>
                </c:pt>
                <c:pt idx="4">
                  <c:v>80000</c:v>
                </c:pt>
                <c:pt idx="5">
                  <c:v>85000</c:v>
                </c:pt>
                <c:pt idx="6">
                  <c:v>90000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OAT'!$N$177:$N$184</c15:sqref>
                  </c15:fullRef>
                </c:ext>
              </c:extLst>
              <c:f>('Sensitivität Analyse OAT'!$N$177:$N$181,'Sensitivität Analyse OAT'!$N$183:$N$184)</c:f>
              <c:numCache>
                <c:formatCode>0.000</c:formatCode>
                <c:ptCount val="7"/>
                <c:pt idx="0">
                  <c:v>0.3434490122797651</c:v>
                </c:pt>
                <c:pt idx="1">
                  <c:v>0.33928955403603839</c:v>
                </c:pt>
                <c:pt idx="2">
                  <c:v>0.33507263948730165</c:v>
                </c:pt>
                <c:pt idx="3">
                  <c:v>0.33078985807408051</c:v>
                </c:pt>
                <c:pt idx="4">
                  <c:v>0.32645444566410536</c:v>
                </c:pt>
                <c:pt idx="5">
                  <c:v>0.32205788065707147</c:v>
                </c:pt>
                <c:pt idx="6">
                  <c:v>0.31762112575703599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72-44E8-A0C9-C31527AC11F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P-Konzentration</a:t>
                </a:r>
                <a:r>
                  <a:rPr lang="de-DE" baseline="0"/>
                  <a:t> in ISH-KSA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3846188549686534"/>
              <c:y val="0.8340993676682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0.35000000000000003"/>
          <c:min val="0.315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P-Säure/Düngemittel-Produkt [t/t]</a:t>
                </a:r>
              </a:p>
            </c:rich>
          </c:tx>
          <c:layout>
            <c:manualLayout>
              <c:xMode val="edge"/>
              <c:yMode val="edge"/>
              <c:x val="4.8419164563953104E-3"/>
              <c:y val="0.15538973595820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Kupferkonzentration in der SEF-KSA und im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142079650627277"/>
          <c:y val="0.1490441950054186"/>
          <c:w val="0.88056750891430613"/>
          <c:h val="0.5806010267606414"/>
        </c:manualLayout>
      </c:layout>
      <c:lineChart>
        <c:grouping val="standard"/>
        <c:varyColors val="0"/>
        <c:ser>
          <c:idx val="1"/>
          <c:order val="0"/>
          <c:tx>
            <c:v>Cu-Konzentration im Düngemittel-Produkt</c:v>
          </c:tx>
          <c:spPr>
            <a:ln w="28575" cap="rnd">
              <a:solidFill>
                <a:srgbClr val="009999">
                  <a:alpha val="77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999"/>
              </a:solidFill>
              <a:ln w="9525">
                <a:solidFill>
                  <a:srgbClr val="BC87C3">
                    <a:alpha val="77000"/>
                  </a:srgb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9999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0194503598628569E-2"/>
                  <c:y val="0.161102506311628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OAT'!$A$257:$A$264</c15:sqref>
                  </c15:fullRef>
                </c:ext>
              </c:extLst>
              <c:f>('Sensitivität Analyse OAT'!$A$257:$A$259,'Sensitivität Analyse OAT'!$A$261:$A$264)</c:f>
              <c:numCache>
                <c:formatCode>#,##0</c:formatCode>
                <c:ptCount val="7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1200</c:v>
                </c:pt>
                <c:pt idx="5">
                  <c:v>1300</c:v>
                </c:pt>
                <c:pt idx="6">
                  <c:v>1400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OAT'!$B$257:$B$264</c15:sqref>
                  </c15:fullRef>
                </c:ext>
              </c:extLst>
              <c:f>('Sensitivität Analyse OAT'!$B$257:$B$259,'Sensitivität Analyse OAT'!$B$261:$B$264)</c:f>
              <c:numCache>
                <c:formatCode>#,##0</c:formatCode>
                <c:ptCount val="7"/>
                <c:pt idx="0">
                  <c:v>399</c:v>
                </c:pt>
                <c:pt idx="1">
                  <c:v>415</c:v>
                </c:pt>
                <c:pt idx="2">
                  <c:v>431</c:v>
                </c:pt>
                <c:pt idx="3">
                  <c:v>447</c:v>
                </c:pt>
                <c:pt idx="4">
                  <c:v>464</c:v>
                </c:pt>
                <c:pt idx="5">
                  <c:v>480</c:v>
                </c:pt>
                <c:pt idx="6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5-4238-8E35-199ED7D12B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Cu-Konzentration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40890294241287062"/>
              <c:y val="0.8340992185976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500"/>
          <c:min val="3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Cu-Konzentration im Düngemittel-Produkt [mg/kg]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11961395394343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Zinkkonzentration in der SEF-KSA und im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Zn-Konzentration im Düngemittel-Produkt</c:v>
          </c:tx>
          <c:spPr>
            <a:ln w="28575" cap="rnd">
              <a:solidFill>
                <a:srgbClr val="BC87C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C87C3"/>
              </a:solidFill>
              <a:ln w="9525">
                <a:solidFill>
                  <a:srgbClr val="BC87C3">
                    <a:alpha val="77000"/>
                  </a:srgb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BC87C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0194503598628569E-2"/>
                  <c:y val="0.161102506311628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OAT'!$D$257:$D$264</c15:sqref>
                  </c15:fullRef>
                </c:ext>
              </c:extLst>
              <c:f>('Sensitivität Analyse OAT'!$D$257:$D$258,'Sensitivität Analyse OAT'!$D$260:$D$264)</c:f>
              <c:numCache>
                <c:formatCode>#,##0</c:formatCode>
                <c:ptCount val="7"/>
                <c:pt idx="0">
                  <c:v>1000</c:v>
                </c:pt>
                <c:pt idx="1">
                  <c:v>1500</c:v>
                </c:pt>
                <c:pt idx="2">
                  <c:v>2000</c:v>
                </c:pt>
                <c:pt idx="3">
                  <c:v>2500</c:v>
                </c:pt>
                <c:pt idx="4">
                  <c:v>3000</c:v>
                </c:pt>
                <c:pt idx="5">
                  <c:v>3500</c:v>
                </c:pt>
                <c:pt idx="6">
                  <c:v>4000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OAT'!$E$257:$E$264</c15:sqref>
                  </c15:fullRef>
                </c:ext>
              </c:extLst>
              <c:f>('Sensitivität Analyse OAT'!$E$257:$E$258,'Sensitivität Analyse OAT'!$E$260:$E$264)</c:f>
              <c:numCache>
                <c:formatCode>#,##0</c:formatCode>
                <c:ptCount val="7"/>
                <c:pt idx="0">
                  <c:v>1091</c:v>
                </c:pt>
                <c:pt idx="1">
                  <c:v>1172</c:v>
                </c:pt>
                <c:pt idx="2">
                  <c:v>1253</c:v>
                </c:pt>
                <c:pt idx="3">
                  <c:v>1334</c:v>
                </c:pt>
                <c:pt idx="4">
                  <c:v>1415</c:v>
                </c:pt>
                <c:pt idx="5">
                  <c:v>1496</c:v>
                </c:pt>
                <c:pt idx="6">
                  <c:v>1577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83-4131-B76A-D196719475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Zn-Konzentration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6958701377334496"/>
              <c:y val="0.830142040869233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7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Zn-Konzentration im Düngemittel-Produkt [mg/kg]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11961395394343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 der Sprüh-Suspension und Verdampftes Wasser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Verdampftes Wasser</c:v>
          </c:tx>
          <c:spPr>
            <a:ln w="28575" cap="rnd">
              <a:solidFill>
                <a:srgbClr val="FF99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CC"/>
              </a:solidFill>
              <a:ln w="9525">
                <a:solidFill>
                  <a:srgbClr val="FF99CC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99CC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OAT'!$A$78:$A$83</c:f>
              <c:numCache>
                <c:formatCode>0%</c:formatCode>
                <c:ptCount val="6"/>
                <c:pt idx="0">
                  <c:v>0.45</c:v>
                </c:pt>
                <c:pt idx="1">
                  <c:v>0.46</c:v>
                </c:pt>
                <c:pt idx="2">
                  <c:v>0.47</c:v>
                </c:pt>
                <c:pt idx="3">
                  <c:v>0.48</c:v>
                </c:pt>
                <c:pt idx="4">
                  <c:v>0.49</c:v>
                </c:pt>
                <c:pt idx="5">
                  <c:v>0.5</c:v>
                </c:pt>
              </c:numCache>
            </c:numRef>
          </c:cat>
          <c:val>
            <c:numRef>
              <c:f>'Sensitivität Analyse OAT'!$C$78:$C$83</c:f>
              <c:numCache>
                <c:formatCode>#,##0</c:formatCode>
                <c:ptCount val="6"/>
                <c:pt idx="0">
                  <c:v>67979</c:v>
                </c:pt>
                <c:pt idx="1">
                  <c:v>65171</c:v>
                </c:pt>
                <c:pt idx="2">
                  <c:v>62483</c:v>
                </c:pt>
                <c:pt idx="3">
                  <c:v>59906</c:v>
                </c:pt>
                <c:pt idx="4">
                  <c:v>57435</c:v>
                </c:pt>
                <c:pt idx="5">
                  <c:v>55063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DE-4044-8F74-4F07FF4FC7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TR der Sprüh-Suspension[-]</a:t>
                </a:r>
              </a:p>
            </c:rich>
          </c:tx>
          <c:layout>
            <c:manualLayout>
              <c:xMode val="edge"/>
              <c:yMode val="edge"/>
              <c:x val="0.38924497809310782"/>
              <c:y val="0.834099248801084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in val="5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Verdampftes Wasser [t/a]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230425348886733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Kupferkonzentration in der SEF-KSA und im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Cu-Konzentration im Düngemittel-Produkt</c:v>
          </c:tx>
          <c:spPr>
            <a:ln w="28575" cap="rnd">
              <a:solidFill>
                <a:srgbClr val="0099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999"/>
              </a:solidFill>
              <a:ln w="9525">
                <a:solidFill>
                  <a:srgbClr val="009999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9999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0194503598628569E-2"/>
                  <c:y val="0.161102506311628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OAT'!$A$407:$A$414</c15:sqref>
                  </c15:fullRef>
                </c:ext>
              </c:extLst>
              <c:f>('Sensitivität Analyse OAT'!$A$407:$A$409,'Sensitivität Analyse OAT'!$A$411:$A$414)</c:f>
              <c:numCache>
                <c:formatCode>#,##0</c:formatCode>
                <c:ptCount val="7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1200</c:v>
                </c:pt>
                <c:pt idx="5">
                  <c:v>1300</c:v>
                </c:pt>
                <c:pt idx="6">
                  <c:v>1400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OAT'!$B$407:$B$414</c15:sqref>
                  </c15:fullRef>
                </c:ext>
              </c:extLst>
              <c:f>('Sensitivität Analyse OAT'!$B$407:$B$409,'Sensitivität Analyse OAT'!$B$411:$B$414)</c:f>
              <c:numCache>
                <c:formatCode>#,##0</c:formatCode>
                <c:ptCount val="7"/>
                <c:pt idx="0">
                  <c:v>379</c:v>
                </c:pt>
                <c:pt idx="1">
                  <c:v>390</c:v>
                </c:pt>
                <c:pt idx="2">
                  <c:v>402</c:v>
                </c:pt>
                <c:pt idx="3">
                  <c:v>413</c:v>
                </c:pt>
                <c:pt idx="4">
                  <c:v>424</c:v>
                </c:pt>
                <c:pt idx="5">
                  <c:v>436</c:v>
                </c:pt>
                <c:pt idx="6">
                  <c:v>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4-4AF1-8F16-5E2303E5604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Cu-Konzentration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40890294241287062"/>
              <c:y val="0.8340992185976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450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Cu-Konzentration im Düngemittel-Produkt [mg/kg]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11961395394343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Zinkkonzentration in der SEF-KSA und im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Zn-Konzentration im Düngemittel-Produkt</c:v>
          </c:tx>
          <c:spPr>
            <a:ln w="28575" cap="rnd">
              <a:solidFill>
                <a:srgbClr val="BC87C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C87C3"/>
              </a:solidFill>
              <a:ln w="9525">
                <a:solidFill>
                  <a:srgbClr val="BC87C3">
                    <a:alpha val="77000"/>
                  </a:srgb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BC87C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0194503598628569E-2"/>
                  <c:y val="0.161102506311628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OAT'!$E$407:$E$414</c15:sqref>
                  </c15:fullRef>
                </c:ext>
              </c:extLst>
              <c:f>('Sensitivität Analyse OAT'!$E$407:$E$408,'Sensitivität Analyse OAT'!$E$410:$E$414)</c:f>
              <c:numCache>
                <c:formatCode>#,##0</c:formatCode>
                <c:ptCount val="7"/>
                <c:pt idx="0">
                  <c:v>1000</c:v>
                </c:pt>
                <c:pt idx="1">
                  <c:v>1500</c:v>
                </c:pt>
                <c:pt idx="2">
                  <c:v>2000</c:v>
                </c:pt>
                <c:pt idx="3">
                  <c:v>2500</c:v>
                </c:pt>
                <c:pt idx="4">
                  <c:v>3000</c:v>
                </c:pt>
                <c:pt idx="5">
                  <c:v>3500</c:v>
                </c:pt>
                <c:pt idx="6">
                  <c:v>4000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OAT'!$F$407:$F$414</c15:sqref>
                  </c15:fullRef>
                </c:ext>
              </c:extLst>
              <c:f>('Sensitivität Analyse OAT'!$F$407:$F$408,'Sensitivität Analyse OAT'!$F$410:$F$414)</c:f>
              <c:numCache>
                <c:formatCode>#,##0</c:formatCode>
                <c:ptCount val="7"/>
                <c:pt idx="0">
                  <c:v>1112</c:v>
                </c:pt>
                <c:pt idx="1">
                  <c:v>1169</c:v>
                </c:pt>
                <c:pt idx="2">
                  <c:v>1226</c:v>
                </c:pt>
                <c:pt idx="3">
                  <c:v>1283</c:v>
                </c:pt>
                <c:pt idx="4">
                  <c:v>1341</c:v>
                </c:pt>
                <c:pt idx="5">
                  <c:v>1398</c:v>
                </c:pt>
                <c:pt idx="6">
                  <c:v>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20-4826-AEDC-553FB252609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Zn-Konzentration</a:t>
                </a:r>
                <a:r>
                  <a:rPr lang="de-DE" baseline="0"/>
                  <a:t> in SEF-KSA </a:t>
                </a:r>
                <a:r>
                  <a:rPr lang="de-DE"/>
                  <a:t>[mg/kg]</a:t>
                </a:r>
              </a:p>
            </c:rich>
          </c:tx>
          <c:layout>
            <c:manualLayout>
              <c:xMode val="edge"/>
              <c:yMode val="edge"/>
              <c:x val="0.36958701377334496"/>
              <c:y val="0.830142040869233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5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Zn-Konzentration im Düngemittel-Produkt [mg/kg]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11961395394343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 des Filterkuchen und Abfallmenge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Abfallmenge</c:v>
          </c:tx>
          <c:spPr>
            <a:ln w="28575" cap="rnd">
              <a:solidFill>
                <a:srgbClr val="FF7C8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7C80"/>
              </a:solidFill>
              <a:ln w="9525">
                <a:solidFill>
                  <a:srgbClr val="FF7C8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7C8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9.3790132707205574E-3"/>
                  <c:y val="-0.31043026071107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OAT'!$A$288:$A$299</c15:sqref>
                  </c15:fullRef>
                </c:ext>
              </c:extLst>
              <c:f>('Sensitivität Analyse OAT'!$A$288:$A$290,'Sensitivität Analyse OAT'!$A$292:$A$299)</c:f>
              <c:numCache>
                <c:formatCode>0%</c:formatCode>
                <c:ptCount val="11"/>
                <c:pt idx="0">
                  <c:v>0.3</c:v>
                </c:pt>
                <c:pt idx="1">
                  <c:v>0.35</c:v>
                </c:pt>
                <c:pt idx="2">
                  <c:v>0.39999999999999997</c:v>
                </c:pt>
                <c:pt idx="3">
                  <c:v>0.44999999999999996</c:v>
                </c:pt>
                <c:pt idx="4">
                  <c:v>0.49999999999999994</c:v>
                </c:pt>
                <c:pt idx="5">
                  <c:v>0.54999999999999993</c:v>
                </c:pt>
                <c:pt idx="6">
                  <c:v>0.6</c:v>
                </c:pt>
                <c:pt idx="7">
                  <c:v>0.65</c:v>
                </c:pt>
                <c:pt idx="8">
                  <c:v>0.7</c:v>
                </c:pt>
                <c:pt idx="9">
                  <c:v>0.75</c:v>
                </c:pt>
                <c:pt idx="10">
                  <c:v>0.8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OAT'!$D$288:$D$299</c15:sqref>
                  </c15:fullRef>
                </c:ext>
              </c:extLst>
              <c:f>('Sensitivität Analyse OAT'!$D$288:$D$290,'Sensitivität Analyse OAT'!$D$292:$D$299)</c:f>
              <c:numCache>
                <c:formatCode>#,##0</c:formatCode>
                <c:ptCount val="11"/>
                <c:pt idx="0">
                  <c:v>37759</c:v>
                </c:pt>
                <c:pt idx="1">
                  <c:v>32365</c:v>
                </c:pt>
                <c:pt idx="2">
                  <c:v>28319</c:v>
                </c:pt>
                <c:pt idx="3">
                  <c:v>25173</c:v>
                </c:pt>
                <c:pt idx="4">
                  <c:v>22655</c:v>
                </c:pt>
                <c:pt idx="5">
                  <c:v>20596</c:v>
                </c:pt>
                <c:pt idx="6">
                  <c:v>18880</c:v>
                </c:pt>
                <c:pt idx="7">
                  <c:v>17427</c:v>
                </c:pt>
                <c:pt idx="8">
                  <c:v>16182</c:v>
                </c:pt>
                <c:pt idx="9">
                  <c:v>15104</c:v>
                </c:pt>
                <c:pt idx="10">
                  <c:v>14160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53-413A-8908-6539A5431E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TR</a:t>
                </a:r>
                <a:r>
                  <a:rPr lang="de-DE" baseline="0"/>
                  <a:t> des Filterkuchens </a:t>
                </a:r>
                <a:r>
                  <a:rPr lang="de-DE"/>
                  <a:t>[-]</a:t>
                </a:r>
              </a:p>
            </c:rich>
          </c:tx>
          <c:layout>
            <c:manualLayout>
              <c:xMode val="edge"/>
              <c:yMode val="edge"/>
              <c:x val="0.40890294241287062"/>
              <c:y val="0.8340992185976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in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Abfallmenge</a:t>
                </a:r>
                <a:r>
                  <a:rPr lang="de-DE" baseline="0"/>
                  <a:t> </a:t>
                </a:r>
                <a:r>
                  <a:rPr lang="de-DE"/>
                  <a:t>[t/a]</a:t>
                </a:r>
              </a:p>
            </c:rich>
          </c:tx>
          <c:layout>
            <c:manualLayout>
              <c:xMode val="edge"/>
              <c:yMode val="edge"/>
              <c:x val="1.1248645260054035E-2"/>
              <c:y val="0.295398667817863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 des Filterkuchen und Wasser zur TR-Einstellung von Sprüh-Suspension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Wasser zur TR-Einstellung von Sprüh-Suspension</c:v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00FF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9.3790132707205574E-3"/>
                  <c:y val="-0.31043026071107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extLst>
                <c:ext xmlns:c15="http://schemas.microsoft.com/office/drawing/2012/chart" uri="{02D57815-91ED-43cb-92C2-25804820EDAC}">
                  <c15:fullRef>
                    <c15:sqref>'Sensitivität Analyse OAT'!$A$288:$A$299</c15:sqref>
                  </c15:fullRef>
                </c:ext>
              </c:extLst>
              <c:f>('Sensitivität Analyse OAT'!$A$288:$A$290,'Sensitivität Analyse OAT'!$A$292:$A$299)</c:f>
              <c:numCache>
                <c:formatCode>0%</c:formatCode>
                <c:ptCount val="11"/>
                <c:pt idx="0">
                  <c:v>0.3</c:v>
                </c:pt>
                <c:pt idx="1">
                  <c:v>0.35</c:v>
                </c:pt>
                <c:pt idx="2">
                  <c:v>0.39999999999999997</c:v>
                </c:pt>
                <c:pt idx="3">
                  <c:v>0.44999999999999996</c:v>
                </c:pt>
                <c:pt idx="4">
                  <c:v>0.49999999999999994</c:v>
                </c:pt>
                <c:pt idx="5">
                  <c:v>0.54999999999999993</c:v>
                </c:pt>
                <c:pt idx="6">
                  <c:v>0.6</c:v>
                </c:pt>
                <c:pt idx="7">
                  <c:v>0.65</c:v>
                </c:pt>
                <c:pt idx="8">
                  <c:v>0.7</c:v>
                </c:pt>
                <c:pt idx="9">
                  <c:v>0.75</c:v>
                </c:pt>
                <c:pt idx="10">
                  <c:v>0.8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'Sensitivität Analyse OAT'!$E$288:$E$299</c15:sqref>
                  </c15:fullRef>
                </c:ext>
              </c:extLst>
              <c:f>('Sensitivität Analyse OAT'!$E$288:$E$290,'Sensitivität Analyse OAT'!$E$292:$E$299)</c:f>
              <c:numCache>
                <c:formatCode>#,##0</c:formatCode>
                <c:ptCount val="11"/>
                <c:pt idx="0">
                  <c:v>24263</c:v>
                </c:pt>
                <c:pt idx="1">
                  <c:v>18869</c:v>
                </c:pt>
                <c:pt idx="2">
                  <c:v>14823</c:v>
                </c:pt>
                <c:pt idx="3">
                  <c:v>11676</c:v>
                </c:pt>
                <c:pt idx="4">
                  <c:v>9159</c:v>
                </c:pt>
                <c:pt idx="5">
                  <c:v>7100</c:v>
                </c:pt>
                <c:pt idx="6">
                  <c:v>5383</c:v>
                </c:pt>
                <c:pt idx="7">
                  <c:v>3931</c:v>
                </c:pt>
                <c:pt idx="8">
                  <c:v>2686</c:v>
                </c:pt>
                <c:pt idx="9">
                  <c:v>1607</c:v>
                </c:pt>
                <c:pt idx="10">
                  <c:v>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1-4F3C-8DC5-28E1B27D5E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TR</a:t>
                </a:r>
                <a:r>
                  <a:rPr lang="de-DE" baseline="0"/>
                  <a:t> des Filterkuchens </a:t>
                </a:r>
                <a:r>
                  <a:rPr lang="de-DE"/>
                  <a:t>[-]</a:t>
                </a:r>
              </a:p>
            </c:rich>
          </c:tx>
          <c:layout>
            <c:manualLayout>
              <c:xMode val="edge"/>
              <c:yMode val="edge"/>
              <c:x val="0.40890294241287062"/>
              <c:y val="0.8340992185976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28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baseline="0">
                    <a:effectLst/>
                  </a:rPr>
                  <a:t>Wasser zur TR-Einstellung von Sprüh-Suspension </a:t>
                </a:r>
                <a:r>
                  <a:rPr lang="de-DE"/>
                  <a:t>[t/a]</a:t>
                </a:r>
              </a:p>
            </c:rich>
          </c:tx>
          <c:layout>
            <c:manualLayout>
              <c:xMode val="edge"/>
              <c:yMode val="edge"/>
              <c:x val="1.1248722077225352E-2"/>
              <c:y val="3.614616306791052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  <c:majorUnit val="4000"/>
        <c:min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 der Sprüh-Suspension und Wasser für TR-Einstellung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Wasser für TR-Einstellung</c:v>
          </c:tx>
          <c:spPr>
            <a:ln w="28575" cap="rnd">
              <a:solidFill>
                <a:srgbClr val="FF99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66"/>
              </a:solidFill>
              <a:ln w="9525">
                <a:solidFill>
                  <a:srgbClr val="FF996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9966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0663973918084254E-3"/>
                  <c:y val="-0.329547989231240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OAT'!$A$78:$A$83</c:f>
              <c:numCache>
                <c:formatCode>0%</c:formatCode>
                <c:ptCount val="6"/>
                <c:pt idx="0">
                  <c:v>0.45</c:v>
                </c:pt>
                <c:pt idx="1">
                  <c:v>0.46</c:v>
                </c:pt>
                <c:pt idx="2">
                  <c:v>0.47</c:v>
                </c:pt>
                <c:pt idx="3">
                  <c:v>0.48</c:v>
                </c:pt>
                <c:pt idx="4">
                  <c:v>0.49</c:v>
                </c:pt>
                <c:pt idx="5">
                  <c:v>0.5</c:v>
                </c:pt>
              </c:numCache>
            </c:numRef>
          </c:cat>
          <c:val>
            <c:numRef>
              <c:f>'Sensitivität Analyse OAT'!$B$78:$B$83</c:f>
              <c:numCache>
                <c:formatCode>#,##0</c:formatCode>
                <c:ptCount val="6"/>
                <c:pt idx="0">
                  <c:v>63831</c:v>
                </c:pt>
                <c:pt idx="1">
                  <c:v>61023</c:v>
                </c:pt>
                <c:pt idx="2">
                  <c:v>58335</c:v>
                </c:pt>
                <c:pt idx="3">
                  <c:v>55758</c:v>
                </c:pt>
                <c:pt idx="4">
                  <c:v>53287</c:v>
                </c:pt>
                <c:pt idx="5">
                  <c:v>50915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F-48F8-97C6-49FB4350AC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TR der Sprüh-Suspension[-]</a:t>
                </a:r>
              </a:p>
            </c:rich>
          </c:tx>
          <c:layout>
            <c:manualLayout>
              <c:xMode val="edge"/>
              <c:yMode val="edge"/>
              <c:x val="0.38924497809310782"/>
              <c:y val="0.834099248801084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Wasser für TR-Einstellung [t/a]</a:t>
                </a:r>
              </a:p>
            </c:rich>
          </c:tx>
          <c:layout>
            <c:manualLayout>
              <c:xMode val="edge"/>
              <c:yMode val="edge"/>
              <c:x val="1.1248638034575056E-2"/>
              <c:y val="0.230425348886733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TVM-KSA und Gesamtphosphorsäure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Gesamtphosphorsäure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70C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6567489973452919E-2"/>
                  <c:y val="0.278384799255237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OAT'!$A$122:$A$130</c:f>
              <c:numCache>
                <c:formatCode>#,##0</c:formatCode>
                <c:ptCount val="9"/>
                <c:pt idx="0">
                  <c:v>13500</c:v>
                </c:pt>
                <c:pt idx="1">
                  <c:v>14500</c:v>
                </c:pt>
                <c:pt idx="2">
                  <c:v>15500</c:v>
                </c:pt>
                <c:pt idx="3">
                  <c:v>16500</c:v>
                </c:pt>
                <c:pt idx="4">
                  <c:v>17500</c:v>
                </c:pt>
                <c:pt idx="5">
                  <c:v>18500</c:v>
                </c:pt>
                <c:pt idx="6">
                  <c:v>19500</c:v>
                </c:pt>
                <c:pt idx="7">
                  <c:v>20500</c:v>
                </c:pt>
                <c:pt idx="8">
                  <c:v>21500</c:v>
                </c:pt>
              </c:numCache>
            </c:numRef>
          </c:cat>
          <c:val>
            <c:numRef>
              <c:f>'Sensitivität Analyse OAT'!$B$122:$B$130</c:f>
              <c:numCache>
                <c:formatCode>#,##0</c:formatCode>
                <c:ptCount val="9"/>
                <c:pt idx="0">
                  <c:v>12236</c:v>
                </c:pt>
                <c:pt idx="1">
                  <c:v>12870</c:v>
                </c:pt>
                <c:pt idx="2">
                  <c:v>13504</c:v>
                </c:pt>
                <c:pt idx="3">
                  <c:v>14138</c:v>
                </c:pt>
                <c:pt idx="4">
                  <c:v>14772</c:v>
                </c:pt>
                <c:pt idx="5">
                  <c:v>15406</c:v>
                </c:pt>
                <c:pt idx="6">
                  <c:v>16040</c:v>
                </c:pt>
                <c:pt idx="7">
                  <c:v>16674</c:v>
                </c:pt>
                <c:pt idx="8">
                  <c:v>17308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7-4C09-BBCA-3E8D5A51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TVM-KSA [t/a]</a:t>
                </a:r>
              </a:p>
            </c:rich>
          </c:tx>
          <c:layout>
            <c:manualLayout>
              <c:xMode val="edge"/>
              <c:yMode val="edge"/>
              <c:x val="0.43699567481201118"/>
              <c:y val="0.786741946216965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18000"/>
          <c:min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Gesamtphosphorsäure [t/a]</a:t>
                </a:r>
              </a:p>
            </c:rich>
          </c:tx>
          <c:layout>
            <c:manualLayout>
              <c:xMode val="edge"/>
              <c:yMode val="edge"/>
              <c:x val="1.735109299816192E-2"/>
              <c:y val="0.20200034376894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TVM-KSA und Wasser für TR-Einstellung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Wasser für TR-Einstellung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70C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6567489973452919E-2"/>
                  <c:y val="0.278384799255237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OAT'!$A$122:$A$130</c:f>
              <c:numCache>
                <c:formatCode>#,##0</c:formatCode>
                <c:ptCount val="9"/>
                <c:pt idx="0">
                  <c:v>13500</c:v>
                </c:pt>
                <c:pt idx="1">
                  <c:v>14500</c:v>
                </c:pt>
                <c:pt idx="2">
                  <c:v>15500</c:v>
                </c:pt>
                <c:pt idx="3">
                  <c:v>16500</c:v>
                </c:pt>
                <c:pt idx="4">
                  <c:v>17500</c:v>
                </c:pt>
                <c:pt idx="5">
                  <c:v>18500</c:v>
                </c:pt>
                <c:pt idx="6">
                  <c:v>19500</c:v>
                </c:pt>
                <c:pt idx="7">
                  <c:v>20500</c:v>
                </c:pt>
                <c:pt idx="8">
                  <c:v>21500</c:v>
                </c:pt>
              </c:numCache>
            </c:numRef>
          </c:cat>
          <c:val>
            <c:numRef>
              <c:f>'Sensitivität Analyse OAT'!$C$122:$C$130</c:f>
              <c:numCache>
                <c:formatCode>#,##0</c:formatCode>
                <c:ptCount val="9"/>
                <c:pt idx="0">
                  <c:v>5874</c:v>
                </c:pt>
                <c:pt idx="1">
                  <c:v>7660</c:v>
                </c:pt>
                <c:pt idx="2">
                  <c:v>9446</c:v>
                </c:pt>
                <c:pt idx="3">
                  <c:v>11232</c:v>
                </c:pt>
                <c:pt idx="4">
                  <c:v>13017</c:v>
                </c:pt>
                <c:pt idx="5">
                  <c:v>14804</c:v>
                </c:pt>
                <c:pt idx="6">
                  <c:v>16590</c:v>
                </c:pt>
                <c:pt idx="7">
                  <c:v>18376</c:v>
                </c:pt>
                <c:pt idx="8">
                  <c:v>20160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B-42A7-9B3E-713C0C33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TVM-KSA [t/a]</a:t>
                </a:r>
              </a:p>
            </c:rich>
          </c:tx>
          <c:layout>
            <c:manualLayout>
              <c:xMode val="edge"/>
              <c:yMode val="edge"/>
              <c:x val="0.43699567481201118"/>
              <c:y val="0.786741946216965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22000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Wasser für TR-Einstellung  [t/a]</a:t>
                </a:r>
              </a:p>
            </c:rich>
          </c:tx>
          <c:layout>
            <c:manualLayout>
              <c:xMode val="edge"/>
              <c:yMode val="edge"/>
              <c:x val="1.735109299816192E-2"/>
              <c:y val="0.20200034376894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TVM-KSA und Düngemittel-Produkt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Düngemittel-Produkt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6567489973452919E-2"/>
                  <c:y val="0.278384799255237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OAT'!$A$122:$A$130</c:f>
              <c:numCache>
                <c:formatCode>#,##0</c:formatCode>
                <c:ptCount val="9"/>
                <c:pt idx="0">
                  <c:v>13500</c:v>
                </c:pt>
                <c:pt idx="1">
                  <c:v>14500</c:v>
                </c:pt>
                <c:pt idx="2">
                  <c:v>15500</c:v>
                </c:pt>
                <c:pt idx="3">
                  <c:v>16500</c:v>
                </c:pt>
                <c:pt idx="4">
                  <c:v>17500</c:v>
                </c:pt>
                <c:pt idx="5">
                  <c:v>18500</c:v>
                </c:pt>
                <c:pt idx="6">
                  <c:v>19500</c:v>
                </c:pt>
                <c:pt idx="7">
                  <c:v>20500</c:v>
                </c:pt>
                <c:pt idx="8">
                  <c:v>21500</c:v>
                </c:pt>
              </c:numCache>
            </c:numRef>
          </c:cat>
          <c:val>
            <c:numRef>
              <c:f>'Sensitivität Analyse OAT'!$E$122:$E$130</c:f>
              <c:numCache>
                <c:formatCode>#,##0</c:formatCode>
                <c:ptCount val="9"/>
                <c:pt idx="0">
                  <c:v>38567</c:v>
                </c:pt>
                <c:pt idx="1">
                  <c:v>40287</c:v>
                </c:pt>
                <c:pt idx="2">
                  <c:v>42007</c:v>
                </c:pt>
                <c:pt idx="3">
                  <c:v>43727</c:v>
                </c:pt>
                <c:pt idx="4">
                  <c:v>45447</c:v>
                </c:pt>
                <c:pt idx="5">
                  <c:v>47167</c:v>
                </c:pt>
                <c:pt idx="6">
                  <c:v>48887</c:v>
                </c:pt>
                <c:pt idx="7">
                  <c:v>50607</c:v>
                </c:pt>
                <c:pt idx="8">
                  <c:v>52327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87-4259-899C-2B328EE1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TVM-KSA [t/a]</a:t>
                </a:r>
              </a:p>
            </c:rich>
          </c:tx>
          <c:layout>
            <c:manualLayout>
              <c:xMode val="edge"/>
              <c:yMode val="edge"/>
              <c:x val="0.43699567481201118"/>
              <c:y val="0.786741946216965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54000"/>
          <c:min val="3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Düngelmittel-Produkt [t/a]</a:t>
                </a:r>
              </a:p>
            </c:rich>
          </c:tx>
          <c:layout>
            <c:manualLayout>
              <c:xMode val="edge"/>
              <c:yMode val="edge"/>
              <c:x val="1.735109299816192E-2"/>
              <c:y val="0.20200034376894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TVM-KSA und Verdampftes Wasser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Verdampftes Wasser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70C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6567489973452919E-2"/>
                  <c:y val="0.278384799255237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cat>
            <c:numRef>
              <c:f>'Sensitivität Analyse OAT'!$A$122:$A$130</c:f>
              <c:numCache>
                <c:formatCode>#,##0</c:formatCode>
                <c:ptCount val="9"/>
                <c:pt idx="0">
                  <c:v>13500</c:v>
                </c:pt>
                <c:pt idx="1">
                  <c:v>14500</c:v>
                </c:pt>
                <c:pt idx="2">
                  <c:v>15500</c:v>
                </c:pt>
                <c:pt idx="3">
                  <c:v>16500</c:v>
                </c:pt>
                <c:pt idx="4">
                  <c:v>17500</c:v>
                </c:pt>
                <c:pt idx="5">
                  <c:v>18500</c:v>
                </c:pt>
                <c:pt idx="6">
                  <c:v>19500</c:v>
                </c:pt>
                <c:pt idx="7">
                  <c:v>20500</c:v>
                </c:pt>
                <c:pt idx="8">
                  <c:v>21500</c:v>
                </c:pt>
              </c:numCache>
            </c:numRef>
          </c:cat>
          <c:val>
            <c:numRef>
              <c:f>'Sensitivität Analyse OAT'!$D$122:$D$130</c:f>
              <c:numCache>
                <c:formatCode>#,##0</c:formatCode>
                <c:ptCount val="9"/>
                <c:pt idx="0">
                  <c:v>42852</c:v>
                </c:pt>
                <c:pt idx="1">
                  <c:v>44763</c:v>
                </c:pt>
                <c:pt idx="2">
                  <c:v>46674</c:v>
                </c:pt>
                <c:pt idx="3">
                  <c:v>48585</c:v>
                </c:pt>
                <c:pt idx="4">
                  <c:v>50496</c:v>
                </c:pt>
                <c:pt idx="5">
                  <c:v>52407</c:v>
                </c:pt>
                <c:pt idx="6">
                  <c:v>54318</c:v>
                </c:pt>
                <c:pt idx="7">
                  <c:v>56229</c:v>
                </c:pt>
                <c:pt idx="8">
                  <c:v>58141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F-4910-97D4-2CD1E2DE3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42656"/>
        <c:axId val="164541408"/>
        <c:extLst/>
      </c:lineChart>
      <c:catAx>
        <c:axId val="16454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TVM-KSA [t/a]</a:t>
                </a:r>
              </a:p>
            </c:rich>
          </c:tx>
          <c:layout>
            <c:manualLayout>
              <c:xMode val="edge"/>
              <c:yMode val="edge"/>
              <c:x val="0.43699567481201118"/>
              <c:y val="0.786741946216965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1408"/>
        <c:crosses val="autoZero"/>
        <c:auto val="1"/>
        <c:lblAlgn val="ctr"/>
        <c:lblOffset val="100"/>
        <c:noMultiLvlLbl val="0"/>
      </c:catAx>
      <c:valAx>
        <c:axId val="164541408"/>
        <c:scaling>
          <c:orientation val="minMax"/>
          <c:max val="60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Verdampftes Wasser [t/a]</a:t>
                </a:r>
              </a:p>
            </c:rich>
          </c:tx>
          <c:layout>
            <c:manualLayout>
              <c:xMode val="edge"/>
              <c:yMode val="edge"/>
              <c:x val="1.735109299816192E-2"/>
              <c:y val="0.20200034376894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5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173767</xdr:rowOff>
    </xdr:from>
    <xdr:to>
      <xdr:col>3</xdr:col>
      <xdr:colOff>1268310</xdr:colOff>
      <xdr:row>38</xdr:row>
      <xdr:rowOff>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659A2A31-1403-1204-B7A3-18E2FFC49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767"/>
          <a:ext cx="10986384" cy="66739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178932</xdr:rowOff>
    </xdr:from>
    <xdr:to>
      <xdr:col>5</xdr:col>
      <xdr:colOff>823230</xdr:colOff>
      <xdr:row>67</xdr:row>
      <xdr:rowOff>171880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98DD4E53-B374-16D6-6A76-56E66313A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629"/>
          <a:ext cx="13443856" cy="66060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13606</xdr:rowOff>
    </xdr:from>
    <xdr:to>
      <xdr:col>6</xdr:col>
      <xdr:colOff>1050203</xdr:colOff>
      <xdr:row>42</xdr:row>
      <xdr:rowOff>13607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BE8106-4A40-7CEE-CF5F-575E12D69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7303"/>
          <a:ext cx="15609846" cy="75315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184</xdr:row>
      <xdr:rowOff>170088</xdr:rowOff>
    </xdr:from>
    <xdr:to>
      <xdr:col>2</xdr:col>
      <xdr:colOff>2387515</xdr:colOff>
      <xdr:row>204</xdr:row>
      <xdr:rowOff>6266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1EC0F78-1639-4021-BA5F-F4C906158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2</xdr:col>
      <xdr:colOff>2408725</xdr:colOff>
      <xdr:row>222</xdr:row>
      <xdr:rowOff>175460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EC802DB-8F02-4151-9AD2-F265E0784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224</xdr:row>
      <xdr:rowOff>1</xdr:rowOff>
    </xdr:from>
    <xdr:to>
      <xdr:col>2</xdr:col>
      <xdr:colOff>2408724</xdr:colOff>
      <xdr:row>241</xdr:row>
      <xdr:rowOff>128221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120F7F2A-6005-42AE-8B09-FA02F987A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185</xdr:row>
      <xdr:rowOff>-1</xdr:rowOff>
    </xdr:from>
    <xdr:to>
      <xdr:col>8</xdr:col>
      <xdr:colOff>760168</xdr:colOff>
      <xdr:row>203</xdr:row>
      <xdr:rowOff>174013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8E2339AF-9500-40D4-B2E4-92A142695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205</xdr:row>
      <xdr:rowOff>0</xdr:rowOff>
    </xdr:from>
    <xdr:to>
      <xdr:col>8</xdr:col>
      <xdr:colOff>805962</xdr:colOff>
      <xdr:row>223</xdr:row>
      <xdr:rowOff>18316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383207-4818-47AB-871A-CBBC48122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95249</xdr:colOff>
      <xdr:row>224</xdr:row>
      <xdr:rowOff>0</xdr:rowOff>
    </xdr:from>
    <xdr:to>
      <xdr:col>8</xdr:col>
      <xdr:colOff>796803</xdr:colOff>
      <xdr:row>241</xdr:row>
      <xdr:rowOff>176893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A5AB8AB-B6A4-4473-8C7B-5241B4EA1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1992192</xdr:colOff>
      <xdr:row>184</xdr:row>
      <xdr:rowOff>161925</xdr:rowOff>
    </xdr:from>
    <xdr:to>
      <xdr:col>13</xdr:col>
      <xdr:colOff>677739</xdr:colOff>
      <xdr:row>203</xdr:row>
      <xdr:rowOff>174013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A11D897-AB87-4B29-A1B2-013AD7570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5497</xdr:colOff>
      <xdr:row>205</xdr:row>
      <xdr:rowOff>0</xdr:rowOff>
    </xdr:from>
    <xdr:to>
      <xdr:col>13</xdr:col>
      <xdr:colOff>631946</xdr:colOff>
      <xdr:row>222</xdr:row>
      <xdr:rowOff>100745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C1C15F40-9A42-411C-B1D0-18717D464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4398</xdr:colOff>
      <xdr:row>223</xdr:row>
      <xdr:rowOff>180241</xdr:rowOff>
    </xdr:from>
    <xdr:to>
      <xdr:col>13</xdr:col>
      <xdr:colOff>668580</xdr:colOff>
      <xdr:row>241</xdr:row>
      <xdr:rowOff>183172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42C2C12C-FEAB-4CD8-80D1-0A177E81A9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</xdr:colOff>
      <xdr:row>264</xdr:row>
      <xdr:rowOff>175139</xdr:rowOff>
    </xdr:from>
    <xdr:to>
      <xdr:col>2</xdr:col>
      <xdr:colOff>2412582</xdr:colOff>
      <xdr:row>283</xdr:row>
      <xdr:rowOff>6267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EAD3E7AA-EA77-4523-BD2A-E76C9A841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264</xdr:row>
      <xdr:rowOff>190499</xdr:rowOff>
    </xdr:from>
    <xdr:to>
      <xdr:col>5</xdr:col>
      <xdr:colOff>700767</xdr:colOff>
      <xdr:row>283</xdr:row>
      <xdr:rowOff>13606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4EE01DF-2B10-4598-B185-9A2A7D40A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84</xdr:row>
      <xdr:rowOff>0</xdr:rowOff>
    </xdr:from>
    <xdr:to>
      <xdr:col>2</xdr:col>
      <xdr:colOff>2456448</xdr:colOff>
      <xdr:row>101</xdr:row>
      <xdr:rowOff>169194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257237B3-CFEE-4283-9344-228C44F1A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415</xdr:row>
      <xdr:rowOff>12212</xdr:rowOff>
    </xdr:from>
    <xdr:to>
      <xdr:col>2</xdr:col>
      <xdr:colOff>2368716</xdr:colOff>
      <xdr:row>432</xdr:row>
      <xdr:rowOff>175460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8AA056EA-2082-43BB-8AB0-AFF44A686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414</xdr:row>
      <xdr:rowOff>183172</xdr:rowOff>
    </xdr:from>
    <xdr:to>
      <xdr:col>6</xdr:col>
      <xdr:colOff>2225553</xdr:colOff>
      <xdr:row>433</xdr:row>
      <xdr:rowOff>45793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ECDF64A9-EFE4-4F9E-965A-88D1C4254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2</xdr:col>
      <xdr:colOff>2365375</xdr:colOff>
      <xdr:row>317</xdr:row>
      <xdr:rowOff>161018</xdr:rowOff>
    </xdr:to>
    <xdr:graphicFrame macro="">
      <xdr:nvGraphicFramePr>
        <xdr:cNvPr id="50" name="Diagramm 49">
          <a:extLst>
            <a:ext uri="{FF2B5EF4-FFF2-40B4-BE49-F238E27FC236}">
              <a16:creationId xmlns:a16="http://schemas.microsoft.com/office/drawing/2014/main" id="{062944D9-2965-4123-9044-EAA7FF6A8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300</xdr:row>
      <xdr:rowOff>0</xdr:rowOff>
    </xdr:from>
    <xdr:to>
      <xdr:col>5</xdr:col>
      <xdr:colOff>1253687</xdr:colOff>
      <xdr:row>318</xdr:row>
      <xdr:rowOff>167011</xdr:rowOff>
    </xdr:to>
    <xdr:graphicFrame macro="">
      <xdr:nvGraphicFramePr>
        <xdr:cNvPr id="51" name="Diagramm 50">
          <a:extLst>
            <a:ext uri="{FF2B5EF4-FFF2-40B4-BE49-F238E27FC236}">
              <a16:creationId xmlns:a16="http://schemas.microsoft.com/office/drawing/2014/main" id="{372DC8D9-2EE7-4E55-B336-90A2F3D00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0</xdr:colOff>
      <xdr:row>84</xdr:row>
      <xdr:rowOff>0</xdr:rowOff>
    </xdr:from>
    <xdr:to>
      <xdr:col>5</xdr:col>
      <xdr:colOff>1374678</xdr:colOff>
      <xdr:row>101</xdr:row>
      <xdr:rowOff>169194</xdr:rowOff>
    </xdr:to>
    <xdr:graphicFrame macro="">
      <xdr:nvGraphicFramePr>
        <xdr:cNvPr id="52" name="Diagramm 51">
          <a:extLst>
            <a:ext uri="{FF2B5EF4-FFF2-40B4-BE49-F238E27FC236}">
              <a16:creationId xmlns:a16="http://schemas.microsoft.com/office/drawing/2014/main" id="{75B7C8B2-D595-464D-A08D-A6A41B9DE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131</xdr:row>
      <xdr:rowOff>0</xdr:rowOff>
    </xdr:from>
    <xdr:to>
      <xdr:col>2</xdr:col>
      <xdr:colOff>1089879</xdr:colOff>
      <xdr:row>148</xdr:row>
      <xdr:rowOff>0</xdr:rowOff>
    </xdr:to>
    <xdr:graphicFrame macro="">
      <xdr:nvGraphicFramePr>
        <xdr:cNvPr id="55" name="Diagramm 54">
          <a:extLst>
            <a:ext uri="{FF2B5EF4-FFF2-40B4-BE49-F238E27FC236}">
              <a16:creationId xmlns:a16="http://schemas.microsoft.com/office/drawing/2014/main" id="{D224630C-FD0B-448C-9190-2070934B5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0</xdr:colOff>
      <xdr:row>131</xdr:row>
      <xdr:rowOff>0</xdr:rowOff>
    </xdr:from>
    <xdr:to>
      <xdr:col>5</xdr:col>
      <xdr:colOff>8110</xdr:colOff>
      <xdr:row>148</xdr:row>
      <xdr:rowOff>0</xdr:rowOff>
    </xdr:to>
    <xdr:graphicFrame macro="">
      <xdr:nvGraphicFramePr>
        <xdr:cNvPr id="56" name="Diagramm 55">
          <a:extLst>
            <a:ext uri="{FF2B5EF4-FFF2-40B4-BE49-F238E27FC236}">
              <a16:creationId xmlns:a16="http://schemas.microsoft.com/office/drawing/2014/main" id="{E820A5B6-9AC5-4CB4-A1E4-9FBA8BAC6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131</xdr:row>
      <xdr:rowOff>0</xdr:rowOff>
    </xdr:from>
    <xdr:to>
      <xdr:col>11</xdr:col>
      <xdr:colOff>1362021</xdr:colOff>
      <xdr:row>148</xdr:row>
      <xdr:rowOff>0</xdr:rowOff>
    </xdr:to>
    <xdr:graphicFrame macro="">
      <xdr:nvGraphicFramePr>
        <xdr:cNvPr id="57" name="Diagramm 56">
          <a:extLst>
            <a:ext uri="{FF2B5EF4-FFF2-40B4-BE49-F238E27FC236}">
              <a16:creationId xmlns:a16="http://schemas.microsoft.com/office/drawing/2014/main" id="{359909F6-3707-4F15-9472-B77AC75E4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0</xdr:colOff>
      <xdr:row>132</xdr:row>
      <xdr:rowOff>0</xdr:rowOff>
    </xdr:from>
    <xdr:to>
      <xdr:col>8</xdr:col>
      <xdr:colOff>1443665</xdr:colOff>
      <xdr:row>149</xdr:row>
      <xdr:rowOff>0</xdr:rowOff>
    </xdr:to>
    <xdr:graphicFrame macro="">
      <xdr:nvGraphicFramePr>
        <xdr:cNvPr id="58" name="Diagramm 57">
          <a:extLst>
            <a:ext uri="{FF2B5EF4-FFF2-40B4-BE49-F238E27FC236}">
              <a16:creationId xmlns:a16="http://schemas.microsoft.com/office/drawing/2014/main" id="{E741CFCB-655A-43E0-8B54-A610DC4E8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nsitivit&#228;t%20Analyse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Mac\Home\Desktop\Masterarbeit\Dokument\Datenauswertung\Modell%20und%20Szenarien\Modell%20und%20Szenarien%2020230417.xlsm" TargetMode="External"/><Relationship Id="rId1" Type="http://schemas.openxmlformats.org/officeDocument/2006/relationships/externalLinkPath" Target="Modell%20und%20Szenarien%20202304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itivität Analys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hdaten"/>
      <sheetName val="Sensitivitätsanalyse Solbo"/>
      <sheetName val="Sensitivität Analyse"/>
      <sheetName val="Modell PHOS4green"/>
      <sheetName val="Modell Phosphorextraktion"/>
      <sheetName val="P-Ex(Szenario 1 EB.1)"/>
      <sheetName val="P-Ex(Szenario 2 EB.2 mit F)"/>
      <sheetName val="P-Ex(Szenario 13 EB.2 Cd10%)"/>
      <sheetName val="P-Ex(Szenario 14 EB.2 Cd85%)"/>
      <sheetName val="P-Ex(Szenario 3 EB.2 ohne F)"/>
      <sheetName val="P-Ex(Sze.1 EB.3 SEFk mit F)"/>
      <sheetName val="P-Ex(Sze.1 EB.3 SEFk mit F HS)"/>
      <sheetName val="P-Ex(Sze.2 EB.3 SEFk ohne F)"/>
      <sheetName val="P-Ex(Sze.2 EB.3 SEFk ohne F HS)"/>
      <sheetName val="P-Ex(Sze.3 EB.3 SEFnk mit F)"/>
      <sheetName val="P-Ex(Szenario 6 EB.3 k CuZn)"/>
      <sheetName val="P-Ex(Szenario 7 EB.3 nk CuZn)"/>
      <sheetName val="P-Ex(Sze.3 EB.3 SEFnk mit F HS)"/>
      <sheetName val="Modell Schwermetallextraktion"/>
      <sheetName val="SM-Ex(Szenario 8 EB.4)"/>
      <sheetName val="SM-Ex(Sze.4 EB.5 SEFk)"/>
      <sheetName val="SM-Ex(Sze.4 EB.5 SEFk HS)"/>
      <sheetName val="SM-Ex(Sze.5 EB.5 SEFnk)"/>
      <sheetName val="SM-Ex(Sze.5 EB.5 SEFnk HS)"/>
      <sheetName val="SM-Ex(Szenario 11 EB.5 k CuZn)"/>
      <sheetName val="SM-Ex(Szenario12 EB.5 nk CuZn)"/>
    </sheetNames>
    <sheetDataSet>
      <sheetData sheetId="0" refreshError="1"/>
      <sheetData sheetId="1" refreshError="1"/>
      <sheetData sheetId="2">
        <row r="7">
          <cell r="A7">
            <v>0.45</v>
          </cell>
          <cell r="B7">
            <v>67979</v>
          </cell>
        </row>
        <row r="8">
          <cell r="A8">
            <v>0.46</v>
          </cell>
          <cell r="B8">
            <v>65171</v>
          </cell>
        </row>
        <row r="9">
          <cell r="A9">
            <v>0.47</v>
          </cell>
          <cell r="B9">
            <v>62483</v>
          </cell>
        </row>
        <row r="10">
          <cell r="A10">
            <v>0.48</v>
          </cell>
          <cell r="B10">
            <v>59906</v>
          </cell>
        </row>
        <row r="11">
          <cell r="A11">
            <v>0.49</v>
          </cell>
          <cell r="B11">
            <v>57435</v>
          </cell>
        </row>
        <row r="12">
          <cell r="A12">
            <v>0.5</v>
          </cell>
          <cell r="B12">
            <v>55063</v>
          </cell>
        </row>
        <row r="39">
          <cell r="A39">
            <v>60000</v>
          </cell>
          <cell r="B39">
            <v>16018</v>
          </cell>
          <cell r="C39">
            <v>44161</v>
          </cell>
          <cell r="D39">
            <v>46758</v>
          </cell>
          <cell r="E39">
            <v>0.34257239402882927</v>
          </cell>
          <cell r="G39">
            <v>75000</v>
          </cell>
          <cell r="H39">
            <v>15218</v>
          </cell>
          <cell r="I39">
            <v>43361</v>
          </cell>
          <cell r="J39">
            <v>45916</v>
          </cell>
          <cell r="K39">
            <v>0.33143130934750414</v>
          </cell>
          <cell r="M39">
            <v>60000</v>
          </cell>
          <cell r="N39">
            <v>16082</v>
          </cell>
          <cell r="O39">
            <v>44389</v>
          </cell>
          <cell r="P39">
            <v>46825</v>
          </cell>
          <cell r="Q39">
            <v>0.3434490122797651</v>
          </cell>
        </row>
        <row r="40">
          <cell r="A40">
            <v>65000</v>
          </cell>
          <cell r="B40">
            <v>15436</v>
          </cell>
          <cell r="C40">
            <v>43579</v>
          </cell>
          <cell r="D40">
            <v>46145</v>
          </cell>
          <cell r="E40">
            <v>0.33451078123306965</v>
          </cell>
          <cell r="G40">
            <v>80000</v>
          </cell>
          <cell r="H40">
            <v>14985</v>
          </cell>
          <cell r="I40">
            <v>43128</v>
          </cell>
          <cell r="J40">
            <v>45671</v>
          </cell>
          <cell r="K40">
            <v>0.32810755183814677</v>
          </cell>
          <cell r="M40">
            <v>65000</v>
          </cell>
          <cell r="N40">
            <v>15779</v>
          </cell>
          <cell r="O40">
            <v>44048</v>
          </cell>
          <cell r="P40">
            <v>46506</v>
          </cell>
          <cell r="Q40">
            <v>0.33928955403603839</v>
          </cell>
        </row>
        <row r="41">
          <cell r="A41">
            <v>70000</v>
          </cell>
          <cell r="B41">
            <v>14854</v>
          </cell>
          <cell r="C41">
            <v>42997</v>
          </cell>
          <cell r="D41">
            <v>45532</v>
          </cell>
          <cell r="E41">
            <v>0.32623210050074675</v>
          </cell>
          <cell r="G41">
            <v>84567</v>
          </cell>
          <cell r="H41">
            <v>14772</v>
          </cell>
          <cell r="I41">
            <v>42915</v>
          </cell>
          <cell r="J41">
            <v>45447</v>
          </cell>
          <cell r="K41">
            <v>0.32503795630074594</v>
          </cell>
          <cell r="M41">
            <v>70000</v>
          </cell>
          <cell r="N41">
            <v>15476</v>
          </cell>
          <cell r="O41">
            <v>43707</v>
          </cell>
          <cell r="P41">
            <v>46187</v>
          </cell>
          <cell r="Q41">
            <v>0.33507263948730165</v>
          </cell>
        </row>
        <row r="42">
          <cell r="A42">
            <v>70700</v>
          </cell>
          <cell r="B42">
            <v>14772</v>
          </cell>
          <cell r="C42">
            <v>42915</v>
          </cell>
          <cell r="D42">
            <v>45447</v>
          </cell>
          <cell r="E42">
            <v>0.32503795630074594</v>
          </cell>
          <cell r="G42">
            <v>85000</v>
          </cell>
          <cell r="H42">
            <v>14752</v>
          </cell>
          <cell r="I42">
            <v>42895</v>
          </cell>
          <cell r="J42">
            <v>45425</v>
          </cell>
          <cell r="K42">
            <v>0.32475509080902587</v>
          </cell>
          <cell r="M42">
            <v>75000</v>
          </cell>
          <cell r="N42">
            <v>15173</v>
          </cell>
          <cell r="O42">
            <v>43366</v>
          </cell>
          <cell r="P42">
            <v>45869</v>
          </cell>
          <cell r="Q42">
            <v>0.33078985807408051</v>
          </cell>
        </row>
        <row r="43">
          <cell r="A43">
            <v>75000</v>
          </cell>
          <cell r="B43">
            <v>14272</v>
          </cell>
          <cell r="C43">
            <v>42415</v>
          </cell>
          <cell r="D43">
            <v>44920</v>
          </cell>
          <cell r="E43">
            <v>0.31772039180765804</v>
          </cell>
          <cell r="G43">
            <v>90000</v>
          </cell>
          <cell r="H43">
            <v>14519</v>
          </cell>
          <cell r="I43">
            <v>42662</v>
          </cell>
          <cell r="J43">
            <v>45180</v>
          </cell>
          <cell r="K43">
            <v>0.32135900841080123</v>
          </cell>
          <cell r="M43">
            <v>80000</v>
          </cell>
          <cell r="N43">
            <v>14870</v>
          </cell>
          <cell r="O43">
            <v>43026</v>
          </cell>
          <cell r="P43">
            <v>45550</v>
          </cell>
          <cell r="Q43">
            <v>0.32645444566410536</v>
          </cell>
        </row>
        <row r="44">
          <cell r="A44">
            <v>80000</v>
          </cell>
          <cell r="B44">
            <v>13690</v>
          </cell>
          <cell r="C44">
            <v>41833</v>
          </cell>
          <cell r="D44">
            <v>44307</v>
          </cell>
          <cell r="E44">
            <v>0.30898052226510486</v>
          </cell>
          <cell r="G44">
            <v>95000</v>
          </cell>
          <cell r="H44">
            <v>14286</v>
          </cell>
          <cell r="I44">
            <v>42429</v>
          </cell>
          <cell r="J44">
            <v>44935</v>
          </cell>
          <cell r="K44">
            <v>0.31792589295649271</v>
          </cell>
          <cell r="M44">
            <v>81618</v>
          </cell>
          <cell r="N44">
            <v>14772</v>
          </cell>
          <cell r="O44">
            <v>42915</v>
          </cell>
          <cell r="P44">
            <v>45447</v>
          </cell>
          <cell r="Q44">
            <v>0.32503795630074594</v>
          </cell>
        </row>
        <row r="45">
          <cell r="A45">
            <v>85000</v>
          </cell>
          <cell r="B45">
            <v>13108</v>
          </cell>
          <cell r="C45">
            <v>41251</v>
          </cell>
          <cell r="D45">
            <v>43694</v>
          </cell>
          <cell r="E45">
            <v>0.29999542271250057</v>
          </cell>
          <cell r="G45">
            <v>100000</v>
          </cell>
          <cell r="H45">
            <v>14054</v>
          </cell>
          <cell r="I45">
            <v>42197</v>
          </cell>
          <cell r="J45">
            <v>44690</v>
          </cell>
          <cell r="K45">
            <v>0.31447751174759453</v>
          </cell>
          <cell r="M45">
            <v>85000</v>
          </cell>
          <cell r="N45">
            <v>14567</v>
          </cell>
          <cell r="O45">
            <v>42685</v>
          </cell>
          <cell r="P45">
            <v>45231</v>
          </cell>
          <cell r="Q45">
            <v>0.32205788065707147</v>
          </cell>
        </row>
        <row r="46">
          <cell r="A46">
            <v>90000</v>
          </cell>
          <cell r="B46">
            <v>12526</v>
          </cell>
          <cell r="C46">
            <v>40669</v>
          </cell>
          <cell r="D46">
            <v>43082</v>
          </cell>
          <cell r="E46">
            <v>0.29074787614316883</v>
          </cell>
          <cell r="G46">
            <v>105000</v>
          </cell>
          <cell r="H46">
            <v>13821</v>
          </cell>
          <cell r="I46">
            <v>41964</v>
          </cell>
          <cell r="J46">
            <v>44445</v>
          </cell>
          <cell r="K46">
            <v>0.31096861289233885</v>
          </cell>
          <cell r="M46">
            <v>90000</v>
          </cell>
          <cell r="N46">
            <v>14265</v>
          </cell>
          <cell r="O46">
            <v>42344</v>
          </cell>
          <cell r="P46">
            <v>44912</v>
          </cell>
          <cell r="Q46">
            <v>0.31762112575703599</v>
          </cell>
        </row>
        <row r="129">
          <cell r="A129">
            <v>800</v>
          </cell>
          <cell r="B129">
            <v>399</v>
          </cell>
          <cell r="E129">
            <v>1000</v>
          </cell>
          <cell r="F129">
            <v>1091</v>
          </cell>
        </row>
        <row r="130">
          <cell r="A130">
            <v>900</v>
          </cell>
          <cell r="B130">
            <v>415</v>
          </cell>
          <cell r="E130">
            <v>1500</v>
          </cell>
          <cell r="F130">
            <v>1172</v>
          </cell>
        </row>
        <row r="131">
          <cell r="A131">
            <v>1000</v>
          </cell>
          <cell r="B131">
            <v>431</v>
          </cell>
          <cell r="E131">
            <v>1989</v>
          </cell>
          <cell r="F131">
            <v>1251</v>
          </cell>
        </row>
        <row r="132">
          <cell r="A132">
            <v>1099</v>
          </cell>
          <cell r="B132">
            <v>447</v>
          </cell>
          <cell r="E132">
            <v>2000</v>
          </cell>
          <cell r="F132">
            <v>1253</v>
          </cell>
        </row>
        <row r="133">
          <cell r="A133">
            <v>1100</v>
          </cell>
          <cell r="B133">
            <v>447</v>
          </cell>
          <cell r="E133">
            <v>2500</v>
          </cell>
          <cell r="F133">
            <v>1334</v>
          </cell>
        </row>
        <row r="134">
          <cell r="A134">
            <v>1200</v>
          </cell>
          <cell r="B134">
            <v>464</v>
          </cell>
          <cell r="E134">
            <v>3000</v>
          </cell>
          <cell r="F134">
            <v>1415</v>
          </cell>
        </row>
        <row r="135">
          <cell r="A135">
            <v>1300</v>
          </cell>
          <cell r="B135">
            <v>480</v>
          </cell>
          <cell r="E135">
            <v>3500</v>
          </cell>
          <cell r="F135">
            <v>1496</v>
          </cell>
        </row>
        <row r="136">
          <cell r="A136">
            <v>1400</v>
          </cell>
          <cell r="B136">
            <v>496</v>
          </cell>
          <cell r="E136">
            <v>4000</v>
          </cell>
          <cell r="F136">
            <v>1577</v>
          </cell>
        </row>
        <row r="175">
          <cell r="A175">
            <v>0.3</v>
          </cell>
          <cell r="B175">
            <v>0.49</v>
          </cell>
          <cell r="C175">
            <v>0.51</v>
          </cell>
          <cell r="D175">
            <v>37759</v>
          </cell>
          <cell r="E175">
            <v>24263</v>
          </cell>
        </row>
        <row r="176">
          <cell r="A176">
            <v>0.35</v>
          </cell>
          <cell r="B176">
            <v>0.56299999999999994</v>
          </cell>
          <cell r="C176">
            <v>0.43700000000000006</v>
          </cell>
          <cell r="D176">
            <v>32365</v>
          </cell>
          <cell r="E176">
            <v>18869</v>
          </cell>
        </row>
        <row r="177">
          <cell r="A177">
            <v>0.39999999999999997</v>
          </cell>
          <cell r="B177">
            <v>0.61799999999999999</v>
          </cell>
          <cell r="C177">
            <v>0.38200000000000001</v>
          </cell>
          <cell r="D177">
            <v>28319</v>
          </cell>
          <cell r="E177">
            <v>14823</v>
          </cell>
        </row>
        <row r="178">
          <cell r="A178">
            <v>0.41</v>
          </cell>
          <cell r="B178">
            <v>0.627</v>
          </cell>
          <cell r="C178">
            <v>0.373</v>
          </cell>
          <cell r="D178">
            <v>27629</v>
          </cell>
          <cell r="E178">
            <v>14132</v>
          </cell>
        </row>
        <row r="179">
          <cell r="A179">
            <v>0.44999999999999996</v>
          </cell>
          <cell r="B179">
            <v>0.66</v>
          </cell>
          <cell r="C179">
            <v>0.33999999999999997</v>
          </cell>
          <cell r="D179">
            <v>25173</v>
          </cell>
          <cell r="E179">
            <v>11676</v>
          </cell>
        </row>
        <row r="180">
          <cell r="A180">
            <v>0.49999999999999994</v>
          </cell>
          <cell r="B180">
            <v>0.69399999999999995</v>
          </cell>
          <cell r="C180">
            <v>0.30600000000000005</v>
          </cell>
          <cell r="D180">
            <v>22655</v>
          </cell>
          <cell r="E180">
            <v>8540</v>
          </cell>
        </row>
        <row r="181">
          <cell r="A181">
            <v>0.54999999999999993</v>
          </cell>
          <cell r="B181">
            <v>0.72699999999999998</v>
          </cell>
          <cell r="C181">
            <v>0.27300000000000002</v>
          </cell>
          <cell r="D181">
            <v>20596</v>
          </cell>
          <cell r="E181">
            <v>7100</v>
          </cell>
        </row>
        <row r="182">
          <cell r="A182">
            <v>0.6</v>
          </cell>
          <cell r="B182">
            <v>0.745</v>
          </cell>
          <cell r="C182">
            <v>0.255</v>
          </cell>
          <cell r="D182">
            <v>18880</v>
          </cell>
          <cell r="E182">
            <v>5383</v>
          </cell>
        </row>
        <row r="183">
          <cell r="A183">
            <v>0.65</v>
          </cell>
          <cell r="B183">
            <v>0.76500000000000001</v>
          </cell>
          <cell r="C183">
            <v>0.23499999999999999</v>
          </cell>
          <cell r="D183">
            <v>17427</v>
          </cell>
          <cell r="E183">
            <v>3931</v>
          </cell>
        </row>
        <row r="184">
          <cell r="A184">
            <v>0.7</v>
          </cell>
          <cell r="B184">
            <v>0.78100000000000003</v>
          </cell>
          <cell r="C184">
            <v>0.21899999999999997</v>
          </cell>
          <cell r="D184">
            <v>16182</v>
          </cell>
          <cell r="E184">
            <v>2686</v>
          </cell>
        </row>
        <row r="269">
          <cell r="A269">
            <v>13500</v>
          </cell>
          <cell r="B269">
            <v>38294</v>
          </cell>
          <cell r="D269">
            <v>3000</v>
          </cell>
          <cell r="E269">
            <v>38683</v>
          </cell>
          <cell r="H269">
            <v>8000</v>
          </cell>
          <cell r="I269">
            <v>43936</v>
          </cell>
        </row>
        <row r="270">
          <cell r="A270">
            <v>14500</v>
          </cell>
          <cell r="B270">
            <v>40014</v>
          </cell>
          <cell r="D270">
            <v>4000</v>
          </cell>
          <cell r="E270">
            <v>40305</v>
          </cell>
          <cell r="H270">
            <v>9000</v>
          </cell>
          <cell r="I270">
            <v>44245</v>
          </cell>
        </row>
        <row r="271">
          <cell r="A271">
            <v>15500</v>
          </cell>
          <cell r="B271">
            <v>41734</v>
          </cell>
          <cell r="D271">
            <v>5000</v>
          </cell>
          <cell r="E271">
            <v>41928</v>
          </cell>
          <cell r="H271">
            <v>10000</v>
          </cell>
          <cell r="I271">
            <v>44555</v>
          </cell>
        </row>
        <row r="272">
          <cell r="A272">
            <v>16500</v>
          </cell>
          <cell r="B272">
            <v>43454</v>
          </cell>
          <cell r="D272">
            <v>6000</v>
          </cell>
          <cell r="E272">
            <v>43551</v>
          </cell>
          <cell r="H272">
            <v>11000</v>
          </cell>
          <cell r="I272">
            <v>44864</v>
          </cell>
        </row>
        <row r="273">
          <cell r="A273">
            <v>17500</v>
          </cell>
          <cell r="B273">
            <v>45174</v>
          </cell>
          <cell r="D273">
            <v>7000</v>
          </cell>
          <cell r="E273">
            <v>45174</v>
          </cell>
          <cell r="H273">
            <v>12000</v>
          </cell>
          <cell r="I273">
            <v>45174</v>
          </cell>
        </row>
        <row r="274">
          <cell r="A274">
            <v>18500</v>
          </cell>
          <cell r="B274">
            <v>46894</v>
          </cell>
          <cell r="D274">
            <v>8000</v>
          </cell>
          <cell r="E274">
            <v>46797</v>
          </cell>
          <cell r="H274">
            <v>13000</v>
          </cell>
          <cell r="I274">
            <v>45484</v>
          </cell>
        </row>
        <row r="275">
          <cell r="A275">
            <v>19500</v>
          </cell>
          <cell r="B275">
            <v>48614</v>
          </cell>
          <cell r="D275">
            <v>9000</v>
          </cell>
          <cell r="E275">
            <v>48420</v>
          </cell>
          <cell r="H275">
            <v>14000</v>
          </cell>
          <cell r="I275">
            <v>45793</v>
          </cell>
        </row>
        <row r="276">
          <cell r="A276">
            <v>20500</v>
          </cell>
          <cell r="B276">
            <v>50334</v>
          </cell>
          <cell r="D276">
            <v>10000</v>
          </cell>
          <cell r="E276">
            <v>50043</v>
          </cell>
          <cell r="H276">
            <v>15000</v>
          </cell>
          <cell r="I276">
            <v>46103</v>
          </cell>
        </row>
        <row r="277">
          <cell r="A277">
            <v>21500</v>
          </cell>
          <cell r="B277">
            <v>52054</v>
          </cell>
          <cell r="D277">
            <v>11000</v>
          </cell>
          <cell r="E277">
            <v>51665</v>
          </cell>
          <cell r="H277">
            <v>16000</v>
          </cell>
          <cell r="I277">
            <v>46412</v>
          </cell>
        </row>
        <row r="300">
          <cell r="G300">
            <v>0</v>
          </cell>
          <cell r="H300">
            <v>13769</v>
          </cell>
          <cell r="I300">
            <v>42425</v>
          </cell>
          <cell r="J300">
            <v>44658</v>
          </cell>
          <cell r="K300">
            <v>0.30832101751086033</v>
          </cell>
        </row>
        <row r="301">
          <cell r="A301">
            <v>0.64999999999999991</v>
          </cell>
          <cell r="B301">
            <v>15639</v>
          </cell>
          <cell r="C301">
            <v>44350</v>
          </cell>
          <cell r="D301">
            <v>46359</v>
          </cell>
          <cell r="E301">
            <v>0.33734549925580792</v>
          </cell>
          <cell r="G301">
            <v>2.5000000000000001E-2</v>
          </cell>
          <cell r="H301">
            <v>14259</v>
          </cell>
          <cell r="I301">
            <v>42915</v>
          </cell>
          <cell r="J301">
            <v>45174</v>
          </cell>
          <cell r="K301">
            <v>0.31564616814982072</v>
          </cell>
        </row>
        <row r="302">
          <cell r="A302">
            <v>0.7</v>
          </cell>
          <cell r="B302">
            <v>15326</v>
          </cell>
          <cell r="C302">
            <v>44032</v>
          </cell>
          <cell r="D302">
            <v>46029</v>
          </cell>
          <cell r="E302">
            <v>0.3329640009559191</v>
          </cell>
          <cell r="G302">
            <v>0.05</v>
          </cell>
          <cell r="H302">
            <v>14749</v>
          </cell>
          <cell r="I302">
            <v>43405</v>
          </cell>
          <cell r="J302">
            <v>45690</v>
          </cell>
          <cell r="K302">
            <v>0.32280586561610858</v>
          </cell>
        </row>
        <row r="303">
          <cell r="A303">
            <v>0.75</v>
          </cell>
          <cell r="B303">
            <v>15012</v>
          </cell>
          <cell r="C303">
            <v>43715</v>
          </cell>
          <cell r="D303">
            <v>45699</v>
          </cell>
          <cell r="E303">
            <v>0.32849734129849667</v>
          </cell>
          <cell r="G303">
            <v>7.5000000000000011E-2</v>
          </cell>
          <cell r="H303">
            <v>15239</v>
          </cell>
          <cell r="I303">
            <v>43895</v>
          </cell>
          <cell r="J303">
            <v>46205</v>
          </cell>
          <cell r="K303">
            <v>0.32981279082350395</v>
          </cell>
        </row>
        <row r="304">
          <cell r="A304">
            <v>0.8</v>
          </cell>
          <cell r="B304">
            <v>14741</v>
          </cell>
          <cell r="C304">
            <v>43397</v>
          </cell>
          <cell r="D304">
            <v>45681</v>
          </cell>
          <cell r="E304">
            <v>0.32269433681399268</v>
          </cell>
          <cell r="G304">
            <v>0.1</v>
          </cell>
          <cell r="H304">
            <v>15729</v>
          </cell>
          <cell r="I304">
            <v>44385</v>
          </cell>
          <cell r="J304">
            <v>46721</v>
          </cell>
          <cell r="K304">
            <v>0.33665803386057663</v>
          </cell>
        </row>
        <row r="305">
          <cell r="A305">
            <v>0.85</v>
          </cell>
          <cell r="B305">
            <v>14423</v>
          </cell>
          <cell r="C305">
            <v>43079</v>
          </cell>
          <cell r="D305">
            <v>45347</v>
          </cell>
          <cell r="E305">
            <v>0.31805852647363664</v>
          </cell>
          <cell r="G305">
            <v>0.125</v>
          </cell>
          <cell r="H305">
            <v>16219</v>
          </cell>
          <cell r="I305">
            <v>44875</v>
          </cell>
          <cell r="J305">
            <v>47237</v>
          </cell>
          <cell r="K305">
            <v>0.34335372695133054</v>
          </cell>
        </row>
        <row r="306">
          <cell r="A306">
            <v>0.88</v>
          </cell>
          <cell r="B306">
            <v>14772</v>
          </cell>
          <cell r="C306">
            <v>42915</v>
          </cell>
          <cell r="D306">
            <v>45174</v>
          </cell>
          <cell r="E306">
            <v>0.32700225793598087</v>
          </cell>
          <cell r="G306">
            <v>0.15</v>
          </cell>
          <cell r="H306">
            <v>16708</v>
          </cell>
          <cell r="I306">
            <v>45365</v>
          </cell>
          <cell r="J306">
            <v>47752</v>
          </cell>
          <cell r="K306">
            <v>0.34989110403752721</v>
          </cell>
        </row>
        <row r="307">
          <cell r="A307">
            <v>0.9</v>
          </cell>
          <cell r="B307">
            <v>14106</v>
          </cell>
          <cell r="C307">
            <v>42762</v>
          </cell>
          <cell r="D307">
            <v>45012</v>
          </cell>
          <cell r="E307">
            <v>0.31338309784057583</v>
          </cell>
        </row>
        <row r="379">
          <cell r="A379">
            <v>60000</v>
          </cell>
          <cell r="B379">
            <v>25015</v>
          </cell>
          <cell r="C379">
            <v>63136</v>
          </cell>
          <cell r="D379">
            <v>66459</v>
          </cell>
          <cell r="E379">
            <v>0.37639747814441987</v>
          </cell>
          <cell r="G379">
            <v>75000</v>
          </cell>
          <cell r="H379">
            <v>24215</v>
          </cell>
          <cell r="I379">
            <v>62336</v>
          </cell>
          <cell r="J379">
            <v>65617</v>
          </cell>
          <cell r="K379">
            <v>0.36903546337077281</v>
          </cell>
          <cell r="M379">
            <v>60000</v>
          </cell>
          <cell r="N379">
            <v>25471</v>
          </cell>
          <cell r="O379">
            <v>63592</v>
          </cell>
          <cell r="P379">
            <v>66939</v>
          </cell>
          <cell r="Q379">
            <v>0.38051061414123305</v>
          </cell>
        </row>
        <row r="380">
          <cell r="A380">
            <v>65000</v>
          </cell>
          <cell r="B380">
            <v>24433</v>
          </cell>
          <cell r="C380">
            <v>62554</v>
          </cell>
          <cell r="D380">
            <v>65846</v>
          </cell>
          <cell r="E380">
            <v>0.37106278285696931</v>
          </cell>
          <cell r="G380">
            <v>80000</v>
          </cell>
          <cell r="H380">
            <v>23982</v>
          </cell>
          <cell r="I380">
            <v>62103</v>
          </cell>
          <cell r="J380">
            <v>65372</v>
          </cell>
          <cell r="K380">
            <v>0.36685431071406721</v>
          </cell>
          <cell r="M380">
            <v>65000</v>
          </cell>
          <cell r="N380">
            <v>25077</v>
          </cell>
          <cell r="O380">
            <v>63198</v>
          </cell>
          <cell r="P380">
            <v>66525</v>
          </cell>
          <cell r="Q380">
            <v>0.37695603156708002</v>
          </cell>
        </row>
        <row r="381">
          <cell r="A381">
            <v>70000</v>
          </cell>
          <cell r="B381">
            <v>23851</v>
          </cell>
          <cell r="C381">
            <v>61972</v>
          </cell>
          <cell r="D381">
            <v>65233</v>
          </cell>
          <cell r="E381">
            <v>0.36562782640687996</v>
          </cell>
          <cell r="G381">
            <v>84567</v>
          </cell>
          <cell r="H381">
            <v>23769</v>
          </cell>
          <cell r="I381">
            <v>61890</v>
          </cell>
          <cell r="J381">
            <v>65148</v>
          </cell>
          <cell r="K381">
            <v>0.36484619635291948</v>
          </cell>
          <cell r="M381">
            <v>70000</v>
          </cell>
          <cell r="N381">
            <v>24684</v>
          </cell>
          <cell r="O381">
            <v>62805</v>
          </cell>
          <cell r="P381">
            <v>66110</v>
          </cell>
          <cell r="Q381">
            <v>0.37337770382695507</v>
          </cell>
        </row>
        <row r="382">
          <cell r="A382">
            <v>70700</v>
          </cell>
          <cell r="B382">
            <v>23769</v>
          </cell>
          <cell r="C382">
            <v>61890</v>
          </cell>
          <cell r="D382">
            <v>65148</v>
          </cell>
          <cell r="E382">
            <v>0.36484619635291948</v>
          </cell>
          <cell r="G382">
            <v>85000</v>
          </cell>
          <cell r="H382">
            <v>23749</v>
          </cell>
          <cell r="I382">
            <v>61870</v>
          </cell>
          <cell r="J382">
            <v>65126</v>
          </cell>
          <cell r="K382">
            <v>0.3646623468353653</v>
          </cell>
          <cell r="M382">
            <v>75000</v>
          </cell>
          <cell r="N382">
            <v>24290</v>
          </cell>
          <cell r="O382">
            <v>62411</v>
          </cell>
          <cell r="P382">
            <v>65696</v>
          </cell>
          <cell r="Q382">
            <v>0.3697333170969313</v>
          </cell>
        </row>
        <row r="383">
          <cell r="A383">
            <v>75000</v>
          </cell>
          <cell r="B383">
            <v>23269</v>
          </cell>
          <cell r="C383">
            <v>61390</v>
          </cell>
          <cell r="D383">
            <v>64621</v>
          </cell>
          <cell r="E383">
            <v>0.36008418316027296</v>
          </cell>
          <cell r="G383">
            <v>90000</v>
          </cell>
          <cell r="H383">
            <v>23516</v>
          </cell>
          <cell r="I383">
            <v>61637</v>
          </cell>
          <cell r="J383">
            <v>64881</v>
          </cell>
          <cell r="K383">
            <v>0.36244817434996379</v>
          </cell>
          <cell r="M383">
            <v>80000</v>
          </cell>
          <cell r="N383">
            <v>23897</v>
          </cell>
          <cell r="O383">
            <v>62018</v>
          </cell>
          <cell r="P383">
            <v>65282</v>
          </cell>
          <cell r="Q383">
            <v>0.36605802518305197</v>
          </cell>
        </row>
        <row r="384">
          <cell r="A384">
            <v>80000</v>
          </cell>
          <cell r="B384">
            <v>22687</v>
          </cell>
          <cell r="C384">
            <v>60808</v>
          </cell>
          <cell r="D384">
            <v>64008</v>
          </cell>
          <cell r="E384">
            <v>0.35444006999125111</v>
          </cell>
          <cell r="G384">
            <v>95000</v>
          </cell>
          <cell r="H384">
            <v>23283</v>
          </cell>
          <cell r="I384">
            <v>61404</v>
          </cell>
          <cell r="J384">
            <v>64636</v>
          </cell>
          <cell r="K384">
            <v>0.36021721641190668</v>
          </cell>
          <cell r="M384">
            <v>81618</v>
          </cell>
          <cell r="N384">
            <v>23769</v>
          </cell>
          <cell r="O384">
            <v>61890</v>
          </cell>
          <cell r="P384">
            <v>65148</v>
          </cell>
          <cell r="Q384">
            <v>0.36484619635291948</v>
          </cell>
        </row>
        <row r="385">
          <cell r="A385">
            <v>85000</v>
          </cell>
          <cell r="B385">
            <v>22104</v>
          </cell>
          <cell r="C385">
            <v>60226</v>
          </cell>
          <cell r="D385">
            <v>63395</v>
          </cell>
          <cell r="E385">
            <v>0.34867103083839418</v>
          </cell>
          <cell r="G385">
            <v>100000</v>
          </cell>
          <cell r="H385">
            <v>23051</v>
          </cell>
          <cell r="I385">
            <v>61172</v>
          </cell>
          <cell r="J385">
            <v>64391</v>
          </cell>
          <cell r="K385">
            <v>0.35798481154198569</v>
          </cell>
          <cell r="M385">
            <v>85000</v>
          </cell>
          <cell r="N385">
            <v>23503</v>
          </cell>
          <cell r="O385">
            <v>61624</v>
          </cell>
          <cell r="P385">
            <v>64867</v>
          </cell>
          <cell r="Q385">
            <v>0.36232599010282579</v>
          </cell>
        </row>
        <row r="386">
          <cell r="A386">
            <v>90000</v>
          </cell>
          <cell r="B386">
            <v>21522</v>
          </cell>
          <cell r="C386">
            <v>59644</v>
          </cell>
          <cell r="D386">
            <v>62783</v>
          </cell>
          <cell r="E386">
            <v>0.34279980249430581</v>
          </cell>
          <cell r="G386">
            <v>105000</v>
          </cell>
          <cell r="H386">
            <v>22818</v>
          </cell>
          <cell r="I386">
            <v>60939</v>
          </cell>
          <cell r="J386">
            <v>64146</v>
          </cell>
          <cell r="K386">
            <v>0.35571976428771862</v>
          </cell>
          <cell r="M386">
            <v>90000</v>
          </cell>
          <cell r="N386">
            <v>23109</v>
          </cell>
          <cell r="O386">
            <v>61231</v>
          </cell>
          <cell r="P386">
            <v>64453</v>
          </cell>
          <cell r="Q386">
            <v>0.35854033171458272</v>
          </cell>
        </row>
        <row r="467">
          <cell r="A467">
            <v>800</v>
          </cell>
          <cell r="B467">
            <v>374</v>
          </cell>
          <cell r="E467">
            <v>1000</v>
          </cell>
          <cell r="F467">
            <v>1097</v>
          </cell>
        </row>
        <row r="468">
          <cell r="A468">
            <v>900</v>
          </cell>
          <cell r="B468">
            <v>385</v>
          </cell>
          <cell r="E468">
            <v>1500</v>
          </cell>
          <cell r="F468">
            <v>1154</v>
          </cell>
        </row>
        <row r="469">
          <cell r="A469">
            <v>1000</v>
          </cell>
          <cell r="B469">
            <v>397</v>
          </cell>
          <cell r="E469">
            <v>1989</v>
          </cell>
          <cell r="F469">
            <v>1209</v>
          </cell>
        </row>
        <row r="470">
          <cell r="A470">
            <v>1099</v>
          </cell>
          <cell r="B470">
            <v>408</v>
          </cell>
          <cell r="E470">
            <v>2000</v>
          </cell>
          <cell r="F470">
            <v>1210</v>
          </cell>
        </row>
        <row r="471">
          <cell r="A471">
            <v>1100</v>
          </cell>
          <cell r="B471">
            <v>408</v>
          </cell>
          <cell r="E471">
            <v>2500</v>
          </cell>
          <cell r="F471">
            <v>1267</v>
          </cell>
        </row>
        <row r="472">
          <cell r="A472">
            <v>1200</v>
          </cell>
          <cell r="B472">
            <v>419</v>
          </cell>
          <cell r="E472">
            <v>3000</v>
          </cell>
          <cell r="F472">
            <v>1323</v>
          </cell>
        </row>
        <row r="473">
          <cell r="A473">
            <v>1300</v>
          </cell>
          <cell r="B473">
            <v>431</v>
          </cell>
          <cell r="E473">
            <v>3500</v>
          </cell>
          <cell r="F473">
            <v>1380</v>
          </cell>
        </row>
        <row r="474">
          <cell r="A474">
            <v>1400</v>
          </cell>
          <cell r="B474">
            <v>442</v>
          </cell>
          <cell r="E474">
            <v>4000</v>
          </cell>
          <cell r="F474">
            <v>1436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411822-E23A-447D-AE71-C0B652FC09CA}" name="Tabelle5" displayName="Tabelle5" ref="A89:F93" totalsRowShown="0" headerRowDxfId="112" dataDxfId="111" headerRowBorderDxfId="127">
  <autoFilter ref="A89:F93" xr:uid="{4D411822-E23A-447D-AE71-C0B652FC09CA}"/>
  <tableColumns count="6">
    <tableColumn id="1" xr3:uid="{FE400580-E9B3-4447-8A3F-B4154E72E457}" name="Szenarien" dataDxfId="118"/>
    <tableColumn id="2" xr3:uid="{A16DBCEB-F7AE-4791-BD2C-78F521E8BBF6}" name="Klärschlammasche(ISH mV)" dataDxfId="117"/>
    <tableColumn id="3" xr3:uid="{9970F521-692D-4D5E-8B65-DC409661D9B3}" name="Klärschlammasche(SEF mV)" dataDxfId="116"/>
    <tableColumn id="4" xr3:uid="{71BC221C-A3ED-4A02-A4E4-EC000CC3E7DC}" name="Schwefelsäure(Lösung)" dataDxfId="115"/>
    <tableColumn id="5" xr3:uid="{9580376E-1149-4EAB-8D5F-C1D0203F2663}" name="Phosphorsäure(Lösung)(V)" dataDxfId="114"/>
    <tableColumn id="6" xr3:uid="{170513FB-61ED-42EC-9462-456A3FAE778E}" name="Suspension 1" dataDxfId="1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276DF9-21BD-4DAE-94C7-1795FD69D2E1}" name="Tabelle57" displayName="Tabelle57" ref="A97:D101" totalsRowShown="0" headerRowDxfId="106" dataDxfId="105">
  <autoFilter ref="A97:D101" xr:uid="{DB276DF9-21BD-4DAE-94C7-1795FD69D2E1}"/>
  <tableColumns count="4">
    <tableColumn id="1" xr3:uid="{0067D3D8-1840-4A26-959A-A2733AB568D4}" name="Szenarien" dataDxfId="110"/>
    <tableColumn id="2" xr3:uid="{5EDFAF34-D471-4687-934F-70D4C38CFD2B}" name="Suspension 1" dataDxfId="109"/>
    <tableColumn id="3" xr3:uid="{B5B49955-BEA5-4487-8EFD-BD9598CE60FB}" name="Fällmittel(SM)" dataDxfId="108"/>
    <tableColumn id="4" xr3:uid="{35BE37D5-C923-40C4-A4B6-48E93A163330}" name="Suspension 2" dataDxfId="107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E23383-C399-4AD8-8294-ABA0E4F51F0A}" name="Tabelle58" displayName="Tabelle58" ref="A105:F109" totalsRowShown="0" headerRowDxfId="99" dataDxfId="98">
  <autoFilter ref="A105:F109" xr:uid="{4DE23383-C399-4AD8-8294-ABA0E4F51F0A}"/>
  <tableColumns count="6">
    <tableColumn id="1" xr3:uid="{FCF34078-E679-4DBF-96DC-A8E7D462855E}" name="Szenarien" dataDxfId="104"/>
    <tableColumn id="2" xr3:uid="{BB10615B-6905-48DB-9347-6C4741DBDA60}" name="Suspension 2" dataDxfId="103"/>
    <tableColumn id="3" xr3:uid="{85737D46-12F0-4924-96F8-55F29AF32EEC}" name="Waschwasser" dataDxfId="102"/>
    <tableColumn id="4" xr3:uid="{48AC35BB-0B65-4CE4-BEA9-B922DE8A6E39}" name="Extrakt(P-reich)" dataDxfId="101"/>
    <tableColumn id="5" xr3:uid="{F1D5BA30-458F-4EFE-BD30-EC9AB7028E05}" name="Materialverlust" dataDxfId="100"/>
    <tableColumn id="6" xr3:uid="{3328D649-3CE0-4F4B-9A45-867B1C005D08}" name="Filterkuchen" dataDxfId="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DEFAF6-8D78-45F6-9338-C0688DFCA7D7}" name="Tabelle59" displayName="Tabelle59" ref="A113:G117" totalsRowShown="0" headerRowDxfId="90" dataDxfId="89">
  <autoFilter ref="A113:G117" xr:uid="{4ADEFAF6-8D78-45F6-9338-C0688DFCA7D7}"/>
  <tableColumns count="7">
    <tableColumn id="1" xr3:uid="{887CEE8C-DAD0-494F-A8A2-CF33C44BB593}" name="Szenarien" dataDxfId="97"/>
    <tableColumn id="2" xr3:uid="{EB6D1CA2-EF6A-4E68-B79B-62E789CEDEA2}" name="Extrakt(P-reich)" dataDxfId="96"/>
    <tableColumn id="3" xr3:uid="{B59F37B8-01FA-4C72-B482-674E5007BD94}" name="Klärschlammasche(TVM oV)" dataDxfId="95"/>
    <tableColumn id="4" xr3:uid="{C06B5DA5-CAE2-4FC1-88CF-DD8284F2BCD0}" name="Klärschlammasche(SEF oV)" dataDxfId="94"/>
    <tableColumn id="5" xr3:uid="{0E886C5C-9429-48F5-AA97-03823BC53C08}" name="Phosphorsäure(Lösung)(R)" dataDxfId="93"/>
    <tableColumn id="6" xr3:uid="{F5CC2C0F-4379-4AC7-90A2-7D1DA30D3A4A}" name="Wasser(R)" dataDxfId="92"/>
    <tableColumn id="7" xr3:uid="{59B33349-D4E2-476B-A243-CB8AFA8A29E2}" name="Sprüh-Suspension" dataDxfId="9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78C236-6E85-4160-A3CE-8A1DCEC6118D}" name="Tabelle5810" displayName="Tabelle5810" ref="A121:D125" totalsRowShown="0" headerRowDxfId="84" dataDxfId="83">
  <autoFilter ref="A121:D125" xr:uid="{4178C236-6E85-4160-A3CE-8A1DCEC6118D}"/>
  <tableColumns count="4">
    <tableColumn id="1" xr3:uid="{E6ADA1FF-B1B3-4FA3-8655-F3B4C95C1C35}" name="Szenarien" dataDxfId="88"/>
    <tableColumn id="2" xr3:uid="{1EBEAE99-473B-47E6-B5E8-CE8B2F6159FD}" name="Sprüh-Suspension" dataDxfId="87"/>
    <tableColumn id="3" xr3:uid="{51E50182-4091-4CC9-A43D-C0BF4AF322B8}" name="Düngemittel-Produkt" dataDxfId="86"/>
    <tableColumn id="4" xr3:uid="{8233127E-79E2-4B42-8C70-1218DFA65FED}" name="Wasser(Dampf)" dataDxfId="85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FE5D1E-9D1F-49C2-922C-7F6FD6C39181}" name="Tabelle2" displayName="Tabelle2" ref="A129:K133" totalsRowShown="0" headerRowDxfId="71" dataDxfId="70" tableBorderDxfId="126">
  <autoFilter ref="A129:K133" xr:uid="{BBFE5D1E-9D1F-49C2-922C-7F6FD6C39181}"/>
  <tableColumns count="11">
    <tableColumn id="1" xr3:uid="{5FC2BD4F-987A-4040-8058-78433D5BC881}" name="Szenarien" dataDxfId="82"/>
    <tableColumn id="2" xr3:uid="{EB661D9F-4684-465C-8A99-857EA51849DC}" name="Klärschlammasche(ISH mV)" dataDxfId="81"/>
    <tableColumn id="3" xr3:uid="{534CE6C4-A071-4AD2-81F6-98ADBDB7928F}" name="Klärschlammasche(SEF mV)" dataDxfId="80"/>
    <tableColumn id="4" xr3:uid="{069AEC99-62D5-45A1-B890-2148680E230A}" name="Schwefelsäure(Lösung)" dataDxfId="79"/>
    <tableColumn id="5" xr3:uid="{8BE78761-3532-49BA-894A-2A4A5D73635D}" name="Phosphorsäure(Lösung)(V)" dataDxfId="78"/>
    <tableColumn id="6" xr3:uid="{7CA14F0D-F6AB-4A4F-9ED7-D87AEABB3B40}" name="Fällmittel(SM)" dataDxfId="77"/>
    <tableColumn id="7" xr3:uid="{E4C13132-E168-492F-8308-BF8E4DD24978}" name="Waschwasser" dataDxfId="76"/>
    <tableColumn id="8" xr3:uid="{4D130F75-FAD6-4CC2-9E4E-84BF25D49F57}" name="Klärschlammasche(TVM oV)" dataDxfId="75"/>
    <tableColumn id="9" xr3:uid="{9D83E6AB-B7E2-43C6-8B7A-C229D5AB2716}" name="Klärschlammasche(SEF oV)" dataDxfId="74"/>
    <tableColumn id="10" xr3:uid="{676B0AD9-C111-4A80-BAC7-8423FB457B31}" name="Phosphorsäure(Lösung)(R)" dataDxfId="73"/>
    <tableColumn id="11" xr3:uid="{6DC70C6D-66EE-4305-94EB-A38420625DD1}" name="Wasser(R)" dataDxfId="7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071BB3-3C55-42B7-97D7-21E8A058F558}" name="Tabelle3" displayName="Tabelle3" ref="A137:E141" totalsRowShown="0" headerRowDxfId="65" dataDxfId="64" headerRowBorderDxfId="125" tableBorderDxfId="124" totalsRowBorderDxfId="123">
  <autoFilter ref="A137:E141" xr:uid="{62071BB3-3C55-42B7-97D7-21E8A058F558}"/>
  <tableColumns count="5">
    <tableColumn id="1" xr3:uid="{DF50D0B8-14F1-494F-8D29-6666EB81CB94}" name="Szenarien" dataDxfId="69"/>
    <tableColumn id="2" xr3:uid="{56B3B1C4-524D-4E13-9671-2B1F5AE9A80C}" name="Materialverlust" dataDxfId="68"/>
    <tableColumn id="3" xr3:uid="{4C260F40-42EA-4165-B493-B62684118C50}" name="Filterkuchen" dataDxfId="67"/>
    <tableColumn id="4" xr3:uid="{E7F372B5-1F15-4D21-A94C-85FFCA090C1D}" name="Düngemittel-Produkt" dataDxfId="66"/>
    <tableColumn id="5" xr3:uid="{4F1F9594-E9C0-4A06-B320-BFED9685A87D}" name="Wasser(Dampf)" dataDxfId="8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975767-E9AE-4C99-8FAC-277B12E66C36}" name="Tabelle55" displayName="Tabelle55" ref="A64:F67" totalsRowShown="0" headerRowDxfId="62" dataDxfId="61">
  <autoFilter ref="A64:F67" xr:uid="{5E975767-E9AE-4C99-8FAC-277B12E66C36}"/>
  <tableColumns count="6">
    <tableColumn id="1" xr3:uid="{86DDA0E9-C897-4043-841F-67EDDF1536E8}" name="Szenarien" dataDxfId="63"/>
    <tableColumn id="2" xr3:uid="{C291B984-9158-4A0C-AA42-844BDDA9D73D}" name="Klärschlammasche(ISH mV)" dataDxfId="4"/>
    <tableColumn id="3" xr3:uid="{FE4E43FC-99C3-4EB5-B1A0-E43AA6BDCF98}" name="Klärschlammasche(SEF mV)" dataDxfId="3"/>
    <tableColumn id="4" xr3:uid="{A46F6042-7C1F-4764-88A7-F482871D2254}" name="Schwefelsäure(Lösung)" dataDxfId="2"/>
    <tableColumn id="5" xr3:uid="{4E425489-7CD2-4E9F-A508-220162F7D63A}" name="Phosphorsäure(Lösung)(V)" dataDxfId="1"/>
    <tableColumn id="6" xr3:uid="{9F5FF80B-1B15-4672-86F8-BA240D8C4B90}" name="Suspension 1" data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0A2D13-9D68-44AE-97F7-7AF551A81458}" name="Tabelle5711" displayName="Tabelle5711" ref="A78:D81" totalsRowShown="0" headerRowDxfId="56" dataDxfId="55">
  <autoFilter ref="A78:D81" xr:uid="{2E0A2D13-9D68-44AE-97F7-7AF551A81458}"/>
  <tableColumns count="4">
    <tableColumn id="1" xr3:uid="{54C72A12-9022-4454-BD00-36AD905EB138}" name="Szenarien" dataDxfId="60"/>
    <tableColumn id="2" xr3:uid="{14AA612E-58C6-40DB-BF02-4079822F7424}" name="Extrakt(P-reich)" dataDxfId="59"/>
    <tableColumn id="3" xr3:uid="{39CF5E72-4254-476C-BE23-28E8BF9A4D36}" name="Fällmittel(SM)" dataDxfId="58"/>
    <tableColumn id="4" xr3:uid="{426D6BEC-85C7-474A-837C-05C2EF3C2116}" name="Suspension 2" dataDxfId="5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4CD7041-877C-4518-B8BD-64BDF48A8599}" name="Tabelle5812" displayName="Tabelle5812" ref="A85:D88" totalsRowShown="0" headerRowDxfId="50" dataDxfId="49">
  <autoFilter ref="A85:D88" xr:uid="{A4CD7041-877C-4518-B8BD-64BDF48A8599}"/>
  <tableColumns count="4">
    <tableColumn id="1" xr3:uid="{EFECCBAB-64AD-465D-8CD7-9CCFCF2041C0}" name="Szenarien" dataDxfId="54"/>
    <tableColumn id="2" xr3:uid="{79357F37-1289-4ED4-B2D4-534F057E45F4}" name="Suspension 2" dataDxfId="53"/>
    <tableColumn id="3" xr3:uid="{4A9A33E2-E094-4219-8B60-79BC92962BBC}" name="Filtrat(SM-arm)" dataDxfId="52"/>
    <tableColumn id="4" xr3:uid="{600D9D5F-0AA7-41F5-998C-7947266A56B7}" name="Filterkuchen 2" dataDxfId="51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652F25F-0CC1-4F77-8146-CCDD2F442A49}" name="Tabelle5913" displayName="Tabelle5913" ref="A92:H95" totalsRowShown="0" headerRowDxfId="41" dataDxfId="40">
  <autoFilter ref="A92:H95" xr:uid="{D652F25F-0CC1-4F77-8146-CCDD2F442A49}"/>
  <tableColumns count="8">
    <tableColumn id="1" xr3:uid="{84E4DAEE-456B-40A6-BCE5-6DFFE91D018E}" name="Szenarien" dataDxfId="48"/>
    <tableColumn id="2" xr3:uid="{9DCD09F6-C787-4C92-BAC6-80F78BBF23A3}" name="Filtrat(SM-arm)" dataDxfId="47"/>
    <tableColumn id="3" xr3:uid="{998C9C15-0659-4FA4-BF97-4E8F249A0192}" name="Filterkuchen 1" dataDxfId="46"/>
    <tableColumn id="4" xr3:uid="{B2BFE67B-B222-4F6A-BF4C-E63BF92A4603}" name="Klärschlammasche(TVM oV)" dataDxfId="45"/>
    <tableColumn id="5" xr3:uid="{41C219E2-956A-464C-85B5-C3E6E2475517}" name="Klärschlammasche(SEF oV)" dataDxfId="44"/>
    <tableColumn id="6" xr3:uid="{65FA5262-C006-48DC-8059-D6E85D1BA4E1}" name="Phosphorsäure(Lösung)(R)" dataDxfId="43"/>
    <tableColumn id="7" xr3:uid="{8625B374-73C0-440C-B029-E44E5FA12AD6}" name="Wasser(R)" dataDxfId="42"/>
    <tableColumn id="8" xr3:uid="{6D1579EF-8FF6-43A2-A7DD-BB7DC58C70E6}" name="Sprüh-Suspension" dataDxfId="6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0C7063-0C8D-4D6C-B078-F1D739829222}" name="Tabelle581014" displayName="Tabelle581014" ref="A99:D102" totalsRowShown="0" headerRowDxfId="35" dataDxfId="34">
  <autoFilter ref="A99:D102" xr:uid="{650C7063-0C8D-4D6C-B078-F1D739829222}"/>
  <tableColumns count="4">
    <tableColumn id="1" xr3:uid="{A316D3A1-9B07-467C-91CB-348C93A8412E}" name="Szenarien" dataDxfId="39"/>
    <tableColumn id="2" xr3:uid="{88068856-78D6-4E62-96EE-AD35ECF6244E}" name="Sprüh-Suspension" dataDxfId="38"/>
    <tableColumn id="3" xr3:uid="{E7ACFD9D-7FF3-4EBE-A806-EE7E51C43D08}" name="Düngemittel-Produkt" dataDxfId="37"/>
    <tableColumn id="4" xr3:uid="{554E6B3E-EC72-4510-B988-0C429329C916}" name="Wasser(Dampf)" dataDxfId="36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4992E6-9140-4E1E-9D36-2269B0DA41E0}" name="Tabelle215" displayName="Tabelle215" ref="A106:J109" totalsRowShown="0" headerRowDxfId="23" dataDxfId="22" tableBorderDxfId="122">
  <autoFilter ref="A106:J109" xr:uid="{654992E6-9140-4E1E-9D36-2269B0DA41E0}"/>
  <tableColumns count="10">
    <tableColumn id="1" xr3:uid="{E4A70C22-3FCC-4D1D-B965-A764843EF793}" name="Szenarien" dataDxfId="33"/>
    <tableColumn id="2" xr3:uid="{50A42FB7-4BBA-4D13-A225-56DAC6E4DC81}" name="Klärschlammasche(ISH mV)" dataDxfId="32"/>
    <tableColumn id="3" xr3:uid="{FAB84BF9-F936-4D50-8B7F-4F6F7B42B9D8}" name="Klärschlammasche(SEF mV)" dataDxfId="31"/>
    <tableColumn id="4" xr3:uid="{0093FE33-8583-4245-8D8C-8041C5A55006}" name="Schwefelsäure(Lösung)" dataDxfId="30"/>
    <tableColumn id="5" xr3:uid="{F4834A94-6C11-4212-BAA2-7D92ABFC0264}" name="Phosphorsäure(Lösung)(V)" dataDxfId="29"/>
    <tableColumn id="6" xr3:uid="{9F9FB279-7789-4D07-BCD2-F8B94D92BF32}" name="Fällmittel(SM)" dataDxfId="28"/>
    <tableColumn id="7" xr3:uid="{2DA21D4D-1B92-4EED-8BB3-BC795431BD2F}" name="Klärschlammasche(TVM oV)" dataDxfId="27"/>
    <tableColumn id="8" xr3:uid="{37701CEE-D8DE-4258-98ED-ABBB91759142}" name="Klärschlammasche(SEF oV)" dataDxfId="26"/>
    <tableColumn id="9" xr3:uid="{04DFDAF5-B146-414E-BDD9-060BF4362E00}" name="Phosphorsäure(Lösung)(R)" dataDxfId="25"/>
    <tableColumn id="10" xr3:uid="{5902F066-E5C1-4ADB-93A8-4958749C5E8D}" name="Wasser(R)" dataDxfId="24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0704F0B-DF86-4332-950E-45B46A3F2BB6}" name="Tabelle316" displayName="Tabelle316" ref="A113:E116" totalsRowShown="0" headerRowDxfId="17" dataDxfId="16" headerRowBorderDxfId="121" tableBorderDxfId="120" totalsRowBorderDxfId="119">
  <autoFilter ref="A113:E116" xr:uid="{80704F0B-DF86-4332-950E-45B46A3F2BB6}"/>
  <tableColumns count="5">
    <tableColumn id="1" xr3:uid="{3722E4D7-7FCD-4015-B26D-53C5D3011178}" name="Szenarien" dataDxfId="21"/>
    <tableColumn id="2" xr3:uid="{E5B94F8C-8F8F-4BD3-B99E-EFE67891505F}" name="Materialverlust" dataDxfId="20"/>
    <tableColumn id="3" xr3:uid="{B1C4736C-326A-4190-90AD-AF012EE18D56}" name="Filterkuchen 2" dataDxfId="19"/>
    <tableColumn id="4" xr3:uid="{9CF54626-1BCB-4808-8C3C-C2158BF60BDB}" name="Düngemittel-Produkt" dataDxfId="18"/>
    <tableColumn id="5" xr3:uid="{13544079-3816-4C26-B3FA-3D1A1F80AB67}" name="Wasser(Dampf)" dataDxfId="5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490D81D-40E1-4C4C-A7D6-A8E0E3F0E708}" name="Tabelle581217" displayName="Tabelle581217" ref="A71:E74" totalsRowShown="0" headerRowDxfId="10" dataDxfId="9">
  <autoFilter ref="A71:E74" xr:uid="{3490D81D-40E1-4C4C-A7D6-A8E0E3F0E708}"/>
  <tableColumns count="5">
    <tableColumn id="1" xr3:uid="{DD4EB5DB-D3B5-4A4F-AF3B-BB987346479E}" name="Szenarien" dataDxfId="15"/>
    <tableColumn id="2" xr3:uid="{1714E40D-04AE-483A-AC21-85134A63896B}" name="Suspension 1" dataDxfId="14"/>
    <tableColumn id="3" xr3:uid="{9490851F-9270-4297-BDBC-145300105BDB}" name="Extrakt(P-reich)" dataDxfId="13"/>
    <tableColumn id="4" xr3:uid="{5A6E4D9B-9BAB-4589-86E4-88900C17908D}" name="Filterkuchen 1" dataDxfId="12"/>
    <tableColumn id="5" xr3:uid="{1DA5F347-6CC1-407B-BBA8-7B501D66470A}" name="Materialverlust" dataDxfId="1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11" Type="http://schemas.openxmlformats.org/officeDocument/2006/relationships/comments" Target="../comments7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42594-3974-464A-AD79-ADE574CB4F5C}">
  <sheetPr codeName="Tabelle1"/>
  <dimension ref="A1:H100"/>
  <sheetViews>
    <sheetView topLeftCell="A79" zoomScale="70" zoomScaleNormal="70" workbookViewId="0">
      <selection activeCell="B97" sqref="B97:E100"/>
    </sheetView>
  </sheetViews>
  <sheetFormatPr baseColWidth="10" defaultColWidth="8.86328125" defaultRowHeight="14.25"/>
  <cols>
    <col min="1" max="1" width="32.3984375" customWidth="1"/>
    <col min="2" max="2" width="27.86328125" customWidth="1"/>
    <col min="3" max="3" width="32.86328125" customWidth="1"/>
    <col min="4" max="4" width="33.53125" customWidth="1"/>
    <col min="5" max="5" width="31" customWidth="1"/>
    <col min="6" max="6" width="32.9296875" customWidth="1"/>
    <col min="7" max="7" width="23.3984375" customWidth="1"/>
    <col min="8" max="8" width="24.46484375" customWidth="1"/>
    <col min="10" max="10" width="13.796875" customWidth="1"/>
  </cols>
  <sheetData>
    <row r="1" spans="1:8" ht="14.65" thickBot="1">
      <c r="A1" s="1" t="s">
        <v>42</v>
      </c>
      <c r="B1" s="1"/>
      <c r="C1" s="1"/>
      <c r="D1" s="1"/>
    </row>
    <row r="2" spans="1:8" ht="14.65" thickBot="1">
      <c r="A2" s="2"/>
      <c r="B2" s="3" t="s">
        <v>43</v>
      </c>
      <c r="C2" s="4" t="s">
        <v>44</v>
      </c>
      <c r="D2" s="126" t="s">
        <v>45</v>
      </c>
    </row>
    <row r="3" spans="1:8" ht="14.65" thickBot="1">
      <c r="A3" s="5"/>
      <c r="B3" s="6" t="s">
        <v>35</v>
      </c>
      <c r="C3" s="7" t="s">
        <v>35</v>
      </c>
      <c r="D3" s="8" t="s">
        <v>35</v>
      </c>
    </row>
    <row r="4" spans="1:8" ht="14.65" thickBot="1">
      <c r="A4" s="9" t="s">
        <v>46</v>
      </c>
      <c r="B4" s="10">
        <v>17500</v>
      </c>
      <c r="C4" s="11">
        <v>7000</v>
      </c>
      <c r="D4" s="12">
        <v>12000</v>
      </c>
    </row>
    <row r="6" spans="1:8" ht="14.65" thickBot="1">
      <c r="A6" s="1" t="s">
        <v>163</v>
      </c>
      <c r="B6" s="13"/>
      <c r="C6" s="13"/>
      <c r="D6" s="13"/>
      <c r="E6" s="13"/>
      <c r="F6" s="13"/>
      <c r="G6" s="13"/>
      <c r="H6" s="13"/>
    </row>
    <row r="7" spans="1:8" ht="14.65" thickBot="1">
      <c r="A7" s="2"/>
      <c r="B7" s="999" t="s">
        <v>164</v>
      </c>
      <c r="C7" s="1000"/>
      <c r="D7" s="1001"/>
      <c r="E7" s="1005" t="s">
        <v>165</v>
      </c>
      <c r="F7" s="1006"/>
      <c r="G7" s="1006"/>
      <c r="H7" s="1007"/>
    </row>
    <row r="8" spans="1:8" ht="14.65" thickBot="1">
      <c r="A8" s="164"/>
      <c r="B8" s="1002"/>
      <c r="C8" s="1003"/>
      <c r="D8" s="1004"/>
      <c r="E8" s="1008" t="s">
        <v>166</v>
      </c>
      <c r="F8" s="1009"/>
      <c r="G8" s="1008" t="s">
        <v>167</v>
      </c>
      <c r="H8" s="1009"/>
    </row>
    <row r="9" spans="1:8">
      <c r="A9" s="18" t="s">
        <v>67</v>
      </c>
      <c r="B9" s="385" t="s">
        <v>43</v>
      </c>
      <c r="C9" s="19" t="s">
        <v>44</v>
      </c>
      <c r="D9" s="127" t="s">
        <v>45</v>
      </c>
      <c r="E9" s="55" t="s">
        <v>168</v>
      </c>
      <c r="F9" s="20" t="s">
        <v>169</v>
      </c>
      <c r="G9" s="56" t="s">
        <v>168</v>
      </c>
      <c r="H9" s="20" t="s">
        <v>169</v>
      </c>
    </row>
    <row r="10" spans="1:8" ht="14.65" thickBot="1">
      <c r="A10" s="21" t="s">
        <v>18</v>
      </c>
      <c r="B10" s="23" t="s">
        <v>70</v>
      </c>
      <c r="C10" s="7" t="s">
        <v>71</v>
      </c>
      <c r="D10" s="22" t="s">
        <v>71</v>
      </c>
      <c r="E10" s="23" t="s">
        <v>70</v>
      </c>
      <c r="F10" s="24" t="s">
        <v>70</v>
      </c>
      <c r="G10" s="6" t="s">
        <v>70</v>
      </c>
      <c r="H10" s="24" t="s">
        <v>70</v>
      </c>
    </row>
    <row r="11" spans="1:8">
      <c r="A11" s="106" t="s">
        <v>72</v>
      </c>
      <c r="B11" s="650">
        <v>47700</v>
      </c>
      <c r="C11" s="26">
        <v>101832</v>
      </c>
      <c r="D11" s="27">
        <v>39002</v>
      </c>
      <c r="E11" s="28"/>
      <c r="F11" s="29"/>
      <c r="G11" s="28"/>
      <c r="H11" s="29"/>
    </row>
    <row r="12" spans="1:8">
      <c r="A12" s="107" t="s">
        <v>73</v>
      </c>
      <c r="B12" s="651">
        <v>31</v>
      </c>
      <c r="C12" s="31">
        <v>10</v>
      </c>
      <c r="D12" s="32">
        <v>28.6</v>
      </c>
      <c r="E12" s="33">
        <v>40</v>
      </c>
      <c r="F12" s="34">
        <v>40</v>
      </c>
      <c r="G12" s="35"/>
      <c r="H12" s="36">
        <v>40</v>
      </c>
    </row>
    <row r="13" spans="1:8">
      <c r="A13" s="108" t="s">
        <v>74</v>
      </c>
      <c r="B13" s="652">
        <v>85425</v>
      </c>
      <c r="C13" s="38">
        <v>111453.2</v>
      </c>
      <c r="D13" s="32">
        <v>159000</v>
      </c>
      <c r="E13" s="33"/>
      <c r="F13" s="34"/>
      <c r="G13" s="35"/>
      <c r="H13" s="36"/>
    </row>
    <row r="14" spans="1:8">
      <c r="A14" s="108" t="s">
        <v>75</v>
      </c>
      <c r="B14" s="651">
        <v>2.2000000000000002</v>
      </c>
      <c r="C14" s="30">
        <v>2</v>
      </c>
      <c r="D14" s="39">
        <v>3.5</v>
      </c>
      <c r="E14" s="40" t="s">
        <v>170</v>
      </c>
      <c r="F14" s="41" t="s">
        <v>170</v>
      </c>
      <c r="G14" s="42"/>
      <c r="H14" s="43" t="s">
        <v>171</v>
      </c>
    </row>
    <row r="15" spans="1:8">
      <c r="A15" s="108" t="s">
        <v>76</v>
      </c>
      <c r="B15" s="652">
        <v>91</v>
      </c>
      <c r="C15" s="31">
        <v>53.9</v>
      </c>
      <c r="D15" s="32">
        <v>136</v>
      </c>
      <c r="E15" s="33" t="s">
        <v>24</v>
      </c>
      <c r="F15" s="34" t="s">
        <v>24</v>
      </c>
      <c r="G15" s="389">
        <v>400</v>
      </c>
      <c r="H15" s="36"/>
    </row>
    <row r="16" spans="1:8">
      <c r="A16" s="108" t="s">
        <v>77</v>
      </c>
      <c r="B16" s="576">
        <v>663</v>
      </c>
      <c r="C16" s="38">
        <v>1099</v>
      </c>
      <c r="D16" s="45">
        <v>656</v>
      </c>
      <c r="E16" s="46"/>
      <c r="F16" s="47">
        <v>900</v>
      </c>
      <c r="G16" s="35"/>
      <c r="H16" s="36">
        <v>600</v>
      </c>
    </row>
    <row r="17" spans="1:8">
      <c r="A17" s="108" t="s">
        <v>78</v>
      </c>
      <c r="B17" s="652">
        <v>109000</v>
      </c>
      <c r="C17" s="38">
        <v>24315</v>
      </c>
      <c r="D17" s="32">
        <v>87577</v>
      </c>
      <c r="E17" s="33"/>
      <c r="F17" s="34"/>
      <c r="G17" s="35"/>
      <c r="H17" s="36"/>
    </row>
    <row r="18" spans="1:8">
      <c r="A18" s="108" t="s">
        <v>79</v>
      </c>
      <c r="B18" s="652">
        <v>9375</v>
      </c>
      <c r="C18" s="38">
        <v>9848.1</v>
      </c>
      <c r="D18" s="32">
        <v>8230</v>
      </c>
      <c r="E18" s="33"/>
      <c r="F18" s="34"/>
      <c r="G18" s="35"/>
      <c r="H18" s="36"/>
    </row>
    <row r="19" spans="1:8">
      <c r="A19" s="108" t="s">
        <v>80</v>
      </c>
      <c r="B19" s="652">
        <v>12191.833333333334</v>
      </c>
      <c r="C19" s="38">
        <v>12706.1</v>
      </c>
      <c r="D19" s="32">
        <v>12900</v>
      </c>
      <c r="E19" s="33"/>
      <c r="F19" s="34"/>
      <c r="G19" s="35"/>
      <c r="H19" s="36"/>
    </row>
    <row r="20" spans="1:8">
      <c r="A20" s="108" t="s">
        <v>81</v>
      </c>
      <c r="B20" s="652">
        <v>2530</v>
      </c>
      <c r="C20" s="38">
        <v>3346.1</v>
      </c>
      <c r="D20" s="32">
        <v>8100</v>
      </c>
      <c r="E20" s="33"/>
      <c r="F20" s="34"/>
      <c r="G20" s="35"/>
      <c r="H20" s="36"/>
    </row>
    <row r="21" spans="1:8">
      <c r="A21" s="108" t="s">
        <v>82</v>
      </c>
      <c r="B21" s="576">
        <v>64.5</v>
      </c>
      <c r="C21" s="48">
        <v>47.6</v>
      </c>
      <c r="D21" s="128">
        <v>125</v>
      </c>
      <c r="E21" s="129">
        <v>80</v>
      </c>
      <c r="F21" s="34">
        <v>80</v>
      </c>
      <c r="G21" s="35"/>
      <c r="H21" s="36">
        <v>100</v>
      </c>
    </row>
    <row r="22" spans="1:8">
      <c r="A22" s="108" t="s">
        <v>83</v>
      </c>
      <c r="B22" s="652">
        <v>70700</v>
      </c>
      <c r="C22" s="38">
        <v>84567</v>
      </c>
      <c r="D22" s="32">
        <v>81618</v>
      </c>
      <c r="E22" s="33"/>
      <c r="F22" s="34"/>
      <c r="G22" s="35"/>
      <c r="H22" s="36"/>
    </row>
    <row r="23" spans="1:8">
      <c r="A23" s="108" t="s">
        <v>84</v>
      </c>
      <c r="B23" s="652">
        <v>117</v>
      </c>
      <c r="C23" s="30">
        <v>80.2</v>
      </c>
      <c r="D23" s="45">
        <v>124</v>
      </c>
      <c r="E23" s="33">
        <v>150</v>
      </c>
      <c r="F23" s="34">
        <v>150</v>
      </c>
      <c r="G23" s="35"/>
      <c r="H23" s="36">
        <v>120</v>
      </c>
    </row>
    <row r="24" spans="1:8">
      <c r="A24" s="108" t="s">
        <v>85</v>
      </c>
      <c r="B24" s="652">
        <v>5857.8888888888887</v>
      </c>
      <c r="C24" s="38">
        <v>3113.7</v>
      </c>
      <c r="D24" s="32">
        <v>18900</v>
      </c>
      <c r="E24" s="33"/>
      <c r="F24" s="34"/>
      <c r="G24" s="35"/>
      <c r="H24" s="36"/>
    </row>
    <row r="25" spans="1:8" ht="14.65" thickBot="1">
      <c r="A25" s="109" t="s">
        <v>86</v>
      </c>
      <c r="B25" s="653">
        <v>2260</v>
      </c>
      <c r="C25" s="49">
        <v>1989</v>
      </c>
      <c r="D25" s="50">
        <v>2353</v>
      </c>
      <c r="E25" s="51"/>
      <c r="F25" s="52">
        <v>5000</v>
      </c>
      <c r="G25" s="53"/>
      <c r="H25" s="54">
        <v>1500</v>
      </c>
    </row>
    <row r="27" spans="1:8" ht="14.65" thickBot="1">
      <c r="A27" s="57" t="s">
        <v>140</v>
      </c>
      <c r="B27" s="1"/>
      <c r="C27" s="1"/>
      <c r="D27" s="1"/>
    </row>
    <row r="28" spans="1:8" ht="14.65" thickBot="1">
      <c r="A28" s="164"/>
      <c r="B28" s="104" t="s">
        <v>161</v>
      </c>
      <c r="C28" s="58" t="s">
        <v>162</v>
      </c>
      <c r="D28" s="59" t="s">
        <v>172</v>
      </c>
    </row>
    <row r="29" spans="1:8" ht="14.65" thickBot="1">
      <c r="A29" s="9" t="s">
        <v>18</v>
      </c>
      <c r="B29" s="23" t="s">
        <v>35</v>
      </c>
      <c r="C29" s="7" t="s">
        <v>35</v>
      </c>
      <c r="D29" s="24" t="s">
        <v>35</v>
      </c>
    </row>
    <row r="30" spans="1:8">
      <c r="A30" s="134" t="s">
        <v>72</v>
      </c>
      <c r="B30" s="130">
        <f t="shared" ref="B30:B44" si="0">$B$4*B11/1000000</f>
        <v>834.75</v>
      </c>
      <c r="C30" s="60">
        <f t="shared" ref="C30:C44" si="1">$C$4*C11/1000000</f>
        <v>712.82399999999996</v>
      </c>
      <c r="D30" s="61">
        <f t="shared" ref="D30:D44" si="2">$D$4*D11/1000000</f>
        <v>468.024</v>
      </c>
    </row>
    <row r="31" spans="1:8">
      <c r="A31" s="68" t="s">
        <v>73</v>
      </c>
      <c r="B31" s="928">
        <f t="shared" si="0"/>
        <v>0.54249999999999998</v>
      </c>
      <c r="C31" s="210">
        <f t="shared" si="1"/>
        <v>7.0000000000000007E-2</v>
      </c>
      <c r="D31" s="818">
        <f t="shared" si="2"/>
        <v>0.34320000000000001</v>
      </c>
    </row>
    <row r="32" spans="1:8">
      <c r="A32" s="68" t="s">
        <v>74</v>
      </c>
      <c r="B32" s="131">
        <f t="shared" si="0"/>
        <v>1494.9375</v>
      </c>
      <c r="C32" s="62">
        <f t="shared" si="1"/>
        <v>780.17240000000004</v>
      </c>
      <c r="D32" s="63">
        <f t="shared" si="2"/>
        <v>1908</v>
      </c>
    </row>
    <row r="33" spans="1:4">
      <c r="A33" s="68" t="s">
        <v>75</v>
      </c>
      <c r="B33" s="928">
        <f t="shared" si="0"/>
        <v>3.85E-2</v>
      </c>
      <c r="C33" s="210">
        <f t="shared" si="1"/>
        <v>1.4E-2</v>
      </c>
      <c r="D33" s="818">
        <f t="shared" si="2"/>
        <v>4.2000000000000003E-2</v>
      </c>
    </row>
    <row r="34" spans="1:4">
      <c r="A34" s="68" t="s">
        <v>76</v>
      </c>
      <c r="B34" s="928">
        <f t="shared" si="0"/>
        <v>1.5925</v>
      </c>
      <c r="C34" s="210">
        <f t="shared" si="1"/>
        <v>0.37730000000000002</v>
      </c>
      <c r="D34" s="818">
        <f t="shared" si="2"/>
        <v>1.6319999999999999</v>
      </c>
    </row>
    <row r="35" spans="1:4">
      <c r="A35" s="68" t="s">
        <v>77</v>
      </c>
      <c r="B35" s="131">
        <f t="shared" si="0"/>
        <v>11.602499999999999</v>
      </c>
      <c r="C35" s="62">
        <f t="shared" si="1"/>
        <v>7.6929999999999996</v>
      </c>
      <c r="D35" s="63">
        <f t="shared" si="2"/>
        <v>7.8719999999999999</v>
      </c>
    </row>
    <row r="36" spans="1:4">
      <c r="A36" s="68" t="s">
        <v>78</v>
      </c>
      <c r="B36" s="131">
        <f t="shared" si="0"/>
        <v>1907.5</v>
      </c>
      <c r="C36" s="62">
        <f t="shared" si="1"/>
        <v>170.20500000000001</v>
      </c>
      <c r="D36" s="63">
        <f t="shared" si="2"/>
        <v>1050.924</v>
      </c>
    </row>
    <row r="37" spans="1:4">
      <c r="A37" s="68" t="s">
        <v>79</v>
      </c>
      <c r="B37" s="131">
        <f t="shared" si="0"/>
        <v>164.0625</v>
      </c>
      <c r="C37" s="62">
        <f t="shared" si="1"/>
        <v>68.936700000000002</v>
      </c>
      <c r="D37" s="63">
        <f t="shared" si="2"/>
        <v>98.76</v>
      </c>
    </row>
    <row r="38" spans="1:4">
      <c r="A38" s="68" t="s">
        <v>80</v>
      </c>
      <c r="B38" s="131">
        <f t="shared" si="0"/>
        <v>213.35708333333335</v>
      </c>
      <c r="C38" s="62">
        <f t="shared" si="1"/>
        <v>88.942700000000002</v>
      </c>
      <c r="D38" s="63">
        <f t="shared" si="2"/>
        <v>154.80000000000001</v>
      </c>
    </row>
    <row r="39" spans="1:4">
      <c r="A39" s="68" t="s">
        <v>81</v>
      </c>
      <c r="B39" s="131">
        <f t="shared" si="0"/>
        <v>44.274999999999999</v>
      </c>
      <c r="C39" s="62">
        <f t="shared" si="1"/>
        <v>23.422699999999999</v>
      </c>
      <c r="D39" s="63">
        <f t="shared" si="2"/>
        <v>97.2</v>
      </c>
    </row>
    <row r="40" spans="1:4">
      <c r="A40" s="68" t="s">
        <v>82</v>
      </c>
      <c r="B40" s="928">
        <f t="shared" si="0"/>
        <v>1.1287499999999999</v>
      </c>
      <c r="C40" s="210">
        <f t="shared" si="1"/>
        <v>0.3332</v>
      </c>
      <c r="D40" s="818">
        <f t="shared" si="2"/>
        <v>1.5</v>
      </c>
    </row>
    <row r="41" spans="1:4">
      <c r="A41" s="68" t="s">
        <v>83</v>
      </c>
      <c r="B41" s="131">
        <f t="shared" si="0"/>
        <v>1237.25</v>
      </c>
      <c r="C41" s="62">
        <f t="shared" si="1"/>
        <v>591.96900000000005</v>
      </c>
      <c r="D41" s="63">
        <f t="shared" si="2"/>
        <v>979.41600000000005</v>
      </c>
    </row>
    <row r="42" spans="1:4">
      <c r="A42" s="68" t="s">
        <v>84</v>
      </c>
      <c r="B42" s="928">
        <f t="shared" si="0"/>
        <v>2.0474999999999999</v>
      </c>
      <c r="C42" s="210">
        <f t="shared" si="1"/>
        <v>0.56140000000000001</v>
      </c>
      <c r="D42" s="818">
        <f t="shared" si="2"/>
        <v>1.488</v>
      </c>
    </row>
    <row r="43" spans="1:4">
      <c r="A43" s="68" t="s">
        <v>85</v>
      </c>
      <c r="B43" s="131">
        <f t="shared" si="0"/>
        <v>102.51305555555555</v>
      </c>
      <c r="C43" s="62">
        <f t="shared" si="1"/>
        <v>21.7959</v>
      </c>
      <c r="D43" s="63">
        <f t="shared" si="2"/>
        <v>226.8</v>
      </c>
    </row>
    <row r="44" spans="1:4" ht="14.65" thickBot="1">
      <c r="A44" s="73" t="s">
        <v>86</v>
      </c>
      <c r="B44" s="132">
        <f t="shared" si="0"/>
        <v>39.549999999999997</v>
      </c>
      <c r="C44" s="64">
        <f t="shared" si="1"/>
        <v>13.923</v>
      </c>
      <c r="D44" s="65">
        <f t="shared" si="2"/>
        <v>28.236000000000001</v>
      </c>
    </row>
    <row r="46" spans="1:4" ht="14.65" thickBot="1">
      <c r="A46" s="1" t="s">
        <v>173</v>
      </c>
      <c r="B46" s="1"/>
      <c r="C46" s="1"/>
      <c r="D46" s="1"/>
    </row>
    <row r="47" spans="1:4">
      <c r="A47" s="168"/>
      <c r="B47" s="169"/>
      <c r="C47" s="18" t="s">
        <v>174</v>
      </c>
      <c r="D47" s="18" t="s">
        <v>175</v>
      </c>
    </row>
    <row r="48" spans="1:4" ht="14.65" thickBot="1">
      <c r="A48" s="170"/>
      <c r="B48" s="1101"/>
      <c r="C48" s="92" t="s">
        <v>586</v>
      </c>
      <c r="D48" s="92" t="s">
        <v>586</v>
      </c>
    </row>
    <row r="49" spans="1:4" ht="14.65" thickBot="1">
      <c r="A49" s="171" t="s">
        <v>176</v>
      </c>
      <c r="B49" s="203" t="s">
        <v>21</v>
      </c>
      <c r="C49" s="113">
        <v>0.3</v>
      </c>
      <c r="D49" s="108">
        <v>0.14399999999999999</v>
      </c>
    </row>
    <row r="50" spans="1:4" ht="14.65" thickBot="1">
      <c r="A50" s="174"/>
      <c r="B50" s="187" t="s">
        <v>22</v>
      </c>
      <c r="C50" s="113">
        <v>0.55000000000000004</v>
      </c>
      <c r="D50" s="108">
        <v>0.752</v>
      </c>
    </row>
    <row r="51" spans="1:4" ht="14.65" thickBot="1">
      <c r="A51" s="171" t="s">
        <v>65</v>
      </c>
      <c r="B51" s="203" t="s">
        <v>19</v>
      </c>
      <c r="C51" s="113">
        <v>2.8340000000000001</v>
      </c>
      <c r="D51" s="108">
        <v>2.8340000000000001</v>
      </c>
    </row>
    <row r="52" spans="1:4" ht="14.65" thickBot="1">
      <c r="A52" s="174"/>
      <c r="B52" s="152" t="s">
        <v>20</v>
      </c>
      <c r="C52" s="114">
        <v>1.5</v>
      </c>
      <c r="D52" s="109">
        <v>0</v>
      </c>
    </row>
    <row r="53" spans="1:4" ht="14.65" thickBot="1">
      <c r="A53" s="174"/>
      <c r="B53" s="1120" t="s">
        <v>23</v>
      </c>
      <c r="C53" s="1121">
        <v>1.7</v>
      </c>
      <c r="D53" s="1121">
        <v>1.8</v>
      </c>
    </row>
    <row r="54" spans="1:4" ht="14.65" thickBot="1">
      <c r="A54" s="103" t="s">
        <v>177</v>
      </c>
      <c r="B54" s="203" t="s">
        <v>72</v>
      </c>
      <c r="C54" s="1122">
        <v>0.65137271969690658</v>
      </c>
      <c r="D54" s="1122">
        <v>0.35466079587700855</v>
      </c>
    </row>
    <row r="55" spans="1:4">
      <c r="A55" s="5"/>
      <c r="B55" s="185" t="s">
        <v>73</v>
      </c>
      <c r="C55" s="1123">
        <v>0.80153246110453391</v>
      </c>
      <c r="D55" s="1123">
        <v>0.50448951725767621</v>
      </c>
    </row>
    <row r="56" spans="1:4">
      <c r="A56" s="5"/>
      <c r="B56" s="186" t="s">
        <v>74</v>
      </c>
      <c r="C56" s="1123">
        <v>0.15823734978631154</v>
      </c>
      <c r="D56" s="1123">
        <v>0.23599546857054995</v>
      </c>
    </row>
    <row r="57" spans="1:4">
      <c r="A57" s="5"/>
      <c r="B57" s="186" t="s">
        <v>75</v>
      </c>
      <c r="C57" s="1123">
        <v>0.25348730816186238</v>
      </c>
      <c r="D57" s="1123" t="s">
        <v>89</v>
      </c>
    </row>
    <row r="58" spans="1:4">
      <c r="A58" s="5"/>
      <c r="B58" s="186" t="s">
        <v>76</v>
      </c>
      <c r="C58" s="1123">
        <v>0.40356545688185752</v>
      </c>
      <c r="D58" s="1123">
        <v>0.1621584892527064</v>
      </c>
    </row>
    <row r="59" spans="1:4">
      <c r="A59" s="5"/>
      <c r="B59" s="186" t="s">
        <v>77</v>
      </c>
      <c r="C59" s="1123">
        <v>0.23362301177680689</v>
      </c>
      <c r="D59" s="1123">
        <v>0.24756668082287775</v>
      </c>
    </row>
    <row r="60" spans="1:4">
      <c r="A60" s="5"/>
      <c r="B60" s="186" t="s">
        <v>78</v>
      </c>
      <c r="C60" s="1123">
        <v>0.50785001796590601</v>
      </c>
      <c r="D60" s="1123">
        <v>0.20907175359723923</v>
      </c>
    </row>
    <row r="61" spans="1:4">
      <c r="A61" s="5"/>
      <c r="B61" s="186" t="s">
        <v>79</v>
      </c>
      <c r="C61" s="1123">
        <v>0.76085478233676074</v>
      </c>
      <c r="D61" s="1123">
        <v>0.36314397789298258</v>
      </c>
    </row>
    <row r="62" spans="1:4">
      <c r="A62" s="5"/>
      <c r="B62" s="186" t="s">
        <v>80</v>
      </c>
      <c r="C62" s="1123">
        <v>0.77360051904316074</v>
      </c>
      <c r="D62" s="1123">
        <v>0.43110184372496846</v>
      </c>
    </row>
    <row r="63" spans="1:4">
      <c r="A63" s="5"/>
      <c r="B63" s="186" t="s">
        <v>81</v>
      </c>
      <c r="C63" s="1123">
        <v>0.8205530976880453</v>
      </c>
      <c r="D63" s="1123">
        <v>0.38317241660064177</v>
      </c>
    </row>
    <row r="64" spans="1:4">
      <c r="A64" s="5"/>
      <c r="B64" s="186" t="s">
        <v>82</v>
      </c>
      <c r="C64" s="1123">
        <v>0.435768646693799</v>
      </c>
      <c r="D64" s="1123">
        <v>0.30725168652454959</v>
      </c>
    </row>
    <row r="65" spans="1:6">
      <c r="A65" s="5"/>
      <c r="B65" s="186" t="s">
        <v>83</v>
      </c>
      <c r="C65" s="1123">
        <v>0.87583141379652929</v>
      </c>
      <c r="D65" s="1125" t="s">
        <v>89</v>
      </c>
    </row>
    <row r="66" spans="1:6">
      <c r="A66" s="5"/>
      <c r="B66" s="186" t="s">
        <v>84</v>
      </c>
      <c r="C66" s="1123">
        <v>0.23049375883839485</v>
      </c>
      <c r="D66" s="1123">
        <v>6.169422691786923E-2</v>
      </c>
    </row>
    <row r="67" spans="1:6">
      <c r="A67" s="5"/>
      <c r="B67" s="186" t="s">
        <v>85</v>
      </c>
      <c r="C67" s="1123" t="s">
        <v>89</v>
      </c>
      <c r="D67" s="1123" t="s">
        <v>89</v>
      </c>
    </row>
    <row r="68" spans="1:6" ht="14.65" thickBot="1">
      <c r="A68" s="5"/>
      <c r="B68" s="187" t="s">
        <v>86</v>
      </c>
      <c r="C68" s="1124">
        <v>0.43789451837070636</v>
      </c>
      <c r="D68" s="1124">
        <v>0.25701474780786782</v>
      </c>
    </row>
    <row r="69" spans="1:6" ht="14.65" thickBot="1">
      <c r="A69" s="175"/>
      <c r="B69" s="176"/>
      <c r="C69" s="1126" t="s">
        <v>471</v>
      </c>
      <c r="D69" s="1126" t="s">
        <v>472</v>
      </c>
    </row>
    <row r="70" spans="1:6">
      <c r="A70" s="1101"/>
      <c r="B70" s="1101"/>
      <c r="C70" s="1101"/>
      <c r="D70" s="1101"/>
    </row>
    <row r="71" spans="1:6" ht="14.65" thickBot="1">
      <c r="A71" s="1" t="s">
        <v>99</v>
      </c>
      <c r="B71" s="13"/>
      <c r="C71" s="13"/>
      <c r="F71" s="199"/>
    </row>
    <row r="72" spans="1:6">
      <c r="A72" s="3" t="s">
        <v>100</v>
      </c>
      <c r="B72" s="209">
        <v>0.05</v>
      </c>
      <c r="C72" s="201" t="s">
        <v>101</v>
      </c>
      <c r="F72" s="199"/>
    </row>
    <row r="73" spans="1:6">
      <c r="A73" s="90" t="s">
        <v>102</v>
      </c>
      <c r="B73" s="81">
        <v>1.86</v>
      </c>
      <c r="C73" s="72" t="s">
        <v>103</v>
      </c>
      <c r="F73" s="199"/>
    </row>
    <row r="74" spans="1:6">
      <c r="A74" s="90" t="s">
        <v>104</v>
      </c>
      <c r="B74" s="81">
        <v>0.997</v>
      </c>
      <c r="C74" s="72" t="s">
        <v>103</v>
      </c>
      <c r="F74" s="199"/>
    </row>
    <row r="75" spans="1:6">
      <c r="A75" s="90" t="s">
        <v>105</v>
      </c>
      <c r="B75" s="210">
        <f>100/(5/B73+95/B74)</f>
        <v>1.0206786471090072</v>
      </c>
      <c r="C75" s="72" t="s">
        <v>103</v>
      </c>
      <c r="F75" s="199"/>
    </row>
    <row r="76" spans="1:6" ht="14.65" thickBot="1">
      <c r="A76" s="163" t="s">
        <v>334</v>
      </c>
      <c r="B76" s="7">
        <v>0.02</v>
      </c>
      <c r="C76" s="76" t="s">
        <v>25</v>
      </c>
    </row>
    <row r="77" spans="1:6">
      <c r="A77" s="200"/>
      <c r="C77" s="199"/>
    </row>
    <row r="78" spans="1:6" ht="14.65" thickBot="1">
      <c r="A78" s="1" t="s">
        <v>119</v>
      </c>
      <c r="B78" s="66"/>
      <c r="C78" s="13"/>
      <c r="D78" s="13"/>
      <c r="E78" s="13"/>
      <c r="F78" s="13"/>
    </row>
    <row r="79" spans="1:6" ht="14.65" thickBot="1">
      <c r="A79" s="2"/>
      <c r="B79" s="992" t="s">
        <v>178</v>
      </c>
      <c r="C79" s="993"/>
      <c r="D79" s="994" t="s">
        <v>178</v>
      </c>
      <c r="E79" s="995"/>
      <c r="F79" s="67" t="s">
        <v>178</v>
      </c>
    </row>
    <row r="80" spans="1:6" ht="14.65" thickBot="1">
      <c r="A80" s="191" t="s">
        <v>23</v>
      </c>
      <c r="B80" s="996">
        <v>1</v>
      </c>
      <c r="C80" s="997"/>
      <c r="D80" s="998">
        <v>2</v>
      </c>
      <c r="E80" s="997"/>
      <c r="F80" s="699">
        <v>3</v>
      </c>
    </row>
    <row r="81" spans="1:6">
      <c r="A81" s="212" t="s">
        <v>77</v>
      </c>
      <c r="B81" s="759" t="s">
        <v>157</v>
      </c>
      <c r="C81" s="701">
        <v>0.99</v>
      </c>
      <c r="D81" s="700" t="s">
        <v>157</v>
      </c>
      <c r="E81" s="701">
        <v>0.99</v>
      </c>
      <c r="F81" s="702" t="s">
        <v>157</v>
      </c>
    </row>
    <row r="82" spans="1:6">
      <c r="A82" s="68" t="s">
        <v>73</v>
      </c>
      <c r="B82" s="123" t="s">
        <v>158</v>
      </c>
      <c r="C82" s="70">
        <v>0.9</v>
      </c>
      <c r="D82" s="71" t="s">
        <v>158</v>
      </c>
      <c r="E82" s="70">
        <v>0.9</v>
      </c>
      <c r="F82" s="72" t="s">
        <v>158</v>
      </c>
    </row>
    <row r="83" spans="1:6">
      <c r="A83" s="68" t="s">
        <v>86</v>
      </c>
      <c r="B83" s="123" t="s">
        <v>179</v>
      </c>
      <c r="C83" s="70">
        <v>0</v>
      </c>
      <c r="D83" s="71" t="s">
        <v>159</v>
      </c>
      <c r="E83" s="70">
        <v>0.95</v>
      </c>
      <c r="F83" s="72" t="s">
        <v>157</v>
      </c>
    </row>
    <row r="84" spans="1:6">
      <c r="A84" s="68" t="s">
        <v>82</v>
      </c>
      <c r="B84" s="123" t="s">
        <v>179</v>
      </c>
      <c r="C84" s="70">
        <v>0</v>
      </c>
      <c r="D84" s="71" t="s">
        <v>160</v>
      </c>
      <c r="E84" s="758">
        <v>2.5000000000000001E-2</v>
      </c>
      <c r="F84" s="72" t="s">
        <v>180</v>
      </c>
    </row>
    <row r="85" spans="1:6">
      <c r="A85" s="68" t="s">
        <v>72</v>
      </c>
      <c r="B85" s="123" t="s">
        <v>179</v>
      </c>
      <c r="C85" s="70">
        <v>0</v>
      </c>
      <c r="D85" s="71" t="s">
        <v>160</v>
      </c>
      <c r="E85" s="758">
        <v>2.5000000000000001E-2</v>
      </c>
      <c r="F85" s="72" t="s">
        <v>159</v>
      </c>
    </row>
    <row r="86" spans="1:6">
      <c r="A86" s="68" t="s">
        <v>78</v>
      </c>
      <c r="B86" s="123" t="s">
        <v>179</v>
      </c>
      <c r="C86" s="70">
        <v>0</v>
      </c>
      <c r="D86" s="71" t="s">
        <v>160</v>
      </c>
      <c r="E86" s="758">
        <v>2.5000000000000001E-2</v>
      </c>
      <c r="F86" s="72" t="s">
        <v>181</v>
      </c>
    </row>
    <row r="87" spans="1:6">
      <c r="A87" s="68" t="s">
        <v>80</v>
      </c>
      <c r="B87" s="123" t="s">
        <v>179</v>
      </c>
      <c r="C87" s="70">
        <v>0</v>
      </c>
      <c r="D87" s="71" t="s">
        <v>160</v>
      </c>
      <c r="E87" s="758">
        <v>2.5000000000000001E-2</v>
      </c>
      <c r="F87" s="72" t="s">
        <v>182</v>
      </c>
    </row>
    <row r="88" spans="1:6">
      <c r="A88" s="68" t="s">
        <v>83</v>
      </c>
      <c r="B88" s="123" t="s">
        <v>179</v>
      </c>
      <c r="C88" s="70">
        <v>0</v>
      </c>
      <c r="D88" s="71" t="s">
        <v>160</v>
      </c>
      <c r="E88" s="758">
        <v>2.5000000000000001E-2</v>
      </c>
      <c r="F88" s="72" t="s">
        <v>183</v>
      </c>
    </row>
    <row r="89" spans="1:6">
      <c r="A89" s="68" t="s">
        <v>79</v>
      </c>
      <c r="B89" s="123" t="s">
        <v>179</v>
      </c>
      <c r="C89" s="70">
        <v>0</v>
      </c>
      <c r="D89" s="71" t="s">
        <v>160</v>
      </c>
      <c r="E89" s="758">
        <v>2.5000000000000001E-2</v>
      </c>
      <c r="F89" s="72" t="s">
        <v>184</v>
      </c>
    </row>
    <row r="90" spans="1:6">
      <c r="A90" s="68" t="s">
        <v>75</v>
      </c>
      <c r="B90" s="123" t="s">
        <v>322</v>
      </c>
      <c r="C90" s="70">
        <v>0</v>
      </c>
      <c r="D90" s="71" t="s">
        <v>322</v>
      </c>
      <c r="E90" s="758">
        <v>2.5000000000000001E-2</v>
      </c>
      <c r="F90" s="72" t="s">
        <v>237</v>
      </c>
    </row>
    <row r="91" spans="1:6" ht="14.65" thickBot="1">
      <c r="A91" s="73" t="s">
        <v>84</v>
      </c>
      <c r="B91" s="124" t="s">
        <v>323</v>
      </c>
      <c r="C91" s="74">
        <v>0</v>
      </c>
      <c r="D91" s="75" t="s">
        <v>323</v>
      </c>
      <c r="E91" s="760">
        <v>2.5000000000000001E-2</v>
      </c>
      <c r="F91" s="76" t="s">
        <v>237</v>
      </c>
    </row>
    <row r="93" spans="1:6" ht="14.65" thickBot="1">
      <c r="A93" s="57" t="s">
        <v>126</v>
      </c>
      <c r="B93" s="13"/>
      <c r="C93" s="13"/>
      <c r="D93" s="13"/>
      <c r="E93" s="13"/>
    </row>
    <row r="94" spans="1:6" ht="14.65" thickBot="1">
      <c r="A94" s="2"/>
      <c r="B94" s="2"/>
      <c r="C94" s="989" t="s">
        <v>174</v>
      </c>
      <c r="D94" s="990"/>
      <c r="E94" s="991"/>
    </row>
    <row r="95" spans="1:6" ht="14.65" thickBot="1">
      <c r="A95" s="211"/>
      <c r="B95" s="174" t="s">
        <v>8</v>
      </c>
      <c r="C95" s="207" t="s">
        <v>26</v>
      </c>
      <c r="D95" s="208" t="s">
        <v>27</v>
      </c>
      <c r="E95" s="206" t="s">
        <v>355</v>
      </c>
    </row>
    <row r="96" spans="1:6" ht="14.65" thickBot="1">
      <c r="A96" s="213" t="s">
        <v>587</v>
      </c>
      <c r="B96" s="73" t="s">
        <v>186</v>
      </c>
      <c r="C96" s="197">
        <v>0.62634496250407568</v>
      </c>
      <c r="D96" s="143">
        <v>0.37365503749592438</v>
      </c>
      <c r="E96" s="144">
        <v>0.4094383112944317</v>
      </c>
    </row>
    <row r="97" spans="1:5" ht="14.65" thickBot="1">
      <c r="A97" s="2"/>
      <c r="B97" s="194"/>
      <c r="C97" s="986" t="s">
        <v>175</v>
      </c>
      <c r="D97" s="987"/>
      <c r="E97" s="988"/>
    </row>
    <row r="98" spans="1:5" ht="14.65" thickBot="1">
      <c r="A98" s="211"/>
      <c r="B98" s="174" t="s">
        <v>187</v>
      </c>
      <c r="C98" s="204" t="s">
        <v>26</v>
      </c>
      <c r="D98" s="205" t="s">
        <v>27</v>
      </c>
      <c r="E98" s="206" t="s">
        <v>355</v>
      </c>
    </row>
    <row r="99" spans="1:5" ht="14.65" thickBot="1">
      <c r="A99" s="174" t="s">
        <v>588</v>
      </c>
      <c r="B99" s="73" t="s">
        <v>185</v>
      </c>
      <c r="C99" s="196">
        <v>0.54110338189613694</v>
      </c>
      <c r="D99" s="195">
        <v>0.45889661810386317</v>
      </c>
      <c r="E99" s="100">
        <v>0.63600000000000001</v>
      </c>
    </row>
    <row r="100" spans="1:5" ht="14.65" thickBot="1">
      <c r="A100" s="198"/>
      <c r="B100" s="213" t="s">
        <v>188</v>
      </c>
      <c r="C100" s="142">
        <v>0.98599999999999999</v>
      </c>
      <c r="D100" s="143">
        <v>1.4E-2</v>
      </c>
      <c r="E100" s="140">
        <v>0.3</v>
      </c>
    </row>
  </sheetData>
  <mergeCells count="10">
    <mergeCell ref="B7:D8"/>
    <mergeCell ref="E7:H7"/>
    <mergeCell ref="E8:F8"/>
    <mergeCell ref="G8:H8"/>
    <mergeCell ref="C97:E97"/>
    <mergeCell ref="C94:E94"/>
    <mergeCell ref="B79:C79"/>
    <mergeCell ref="D79:E79"/>
    <mergeCell ref="B80:C80"/>
    <mergeCell ref="D80:E8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0ED1E-9F33-4FA0-B7BB-EB5F5263E0C9}">
  <sheetPr codeName="Tabelle13"/>
  <dimension ref="A40:H261"/>
  <sheetViews>
    <sheetView topLeftCell="A160" zoomScale="60" zoomScaleNormal="60" workbookViewId="0">
      <selection activeCell="B204" sqref="B204"/>
    </sheetView>
  </sheetViews>
  <sheetFormatPr baseColWidth="10" defaultColWidth="8.86328125" defaultRowHeight="14.25"/>
  <cols>
    <col min="1" max="1" width="56.1992187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40" spans="1:5">
      <c r="A40" s="165"/>
      <c r="B40" t="s">
        <v>245</v>
      </c>
    </row>
    <row r="41" spans="1:5">
      <c r="A41" s="91"/>
      <c r="B41" t="s">
        <v>247</v>
      </c>
    </row>
    <row r="43" spans="1:5">
      <c r="A43" s="1" t="s">
        <v>397</v>
      </c>
      <c r="B43" s="13"/>
      <c r="C43" s="13"/>
      <c r="D43" s="13"/>
      <c r="E43" s="13"/>
    </row>
    <row r="44" spans="1:5" ht="14.65" thickBot="1">
      <c r="A44" s="79" t="s">
        <v>358</v>
      </c>
      <c r="B44" s="79"/>
      <c r="C44" s="79"/>
      <c r="D44" s="79"/>
    </row>
    <row r="45" spans="1:5">
      <c r="A45" s="218"/>
      <c r="B45" s="166" t="s">
        <v>614</v>
      </c>
      <c r="C45" s="189" t="s">
        <v>615</v>
      </c>
      <c r="D45" s="190" t="s">
        <v>635</v>
      </c>
      <c r="E45" s="190" t="s">
        <v>616</v>
      </c>
    </row>
    <row r="46" spans="1:5" ht="14.65" thickBot="1">
      <c r="A46" s="252"/>
      <c r="B46" s="6" t="s">
        <v>35</v>
      </c>
      <c r="C46" s="7" t="s">
        <v>35</v>
      </c>
      <c r="D46" s="24" t="s">
        <v>35</v>
      </c>
      <c r="E46" s="24" t="s">
        <v>35</v>
      </c>
    </row>
    <row r="47" spans="1:5" ht="14.65" thickBot="1">
      <c r="A47" s="251" t="s">
        <v>357</v>
      </c>
      <c r="B47" s="263">
        <v>17500</v>
      </c>
      <c r="C47" s="264">
        <v>7000</v>
      </c>
      <c r="D47" s="265">
        <v>12000</v>
      </c>
      <c r="E47" s="265">
        <f>TVM+SEF+ISH</f>
        <v>36500</v>
      </c>
    </row>
    <row r="48" spans="1:5">
      <c r="A48" s="715"/>
      <c r="B48" s="716"/>
      <c r="C48" s="716"/>
      <c r="D48" s="716"/>
    </row>
    <row r="49" spans="1:8" ht="14.65" thickBot="1">
      <c r="A49" s="183" t="s">
        <v>641</v>
      </c>
      <c r="B49" s="181"/>
      <c r="C49" s="182"/>
    </row>
    <row r="50" spans="1:8">
      <c r="A50" s="773"/>
      <c r="B50" s="1013" t="s">
        <v>263</v>
      </c>
      <c r="C50" s="1014"/>
      <c r="D50" s="1015"/>
      <c r="E50" s="1016" t="s">
        <v>262</v>
      </c>
      <c r="F50" s="1017"/>
      <c r="G50" s="1017"/>
      <c r="H50" s="1018"/>
    </row>
    <row r="51" spans="1:8">
      <c r="A51" s="219" t="s">
        <v>268</v>
      </c>
      <c r="B51" s="775" t="s">
        <v>614</v>
      </c>
      <c r="C51" s="771" t="s">
        <v>615</v>
      </c>
      <c r="D51" s="777" t="s">
        <v>635</v>
      </c>
      <c r="E51" s="761" t="s">
        <v>614</v>
      </c>
      <c r="F51" s="772" t="s">
        <v>617</v>
      </c>
      <c r="G51" s="772" t="s">
        <v>636</v>
      </c>
      <c r="H51" s="776" t="s">
        <v>616</v>
      </c>
    </row>
    <row r="52" spans="1:8" ht="14.65" thickBot="1">
      <c r="A52" s="220" t="s">
        <v>18</v>
      </c>
      <c r="B52" s="6" t="s">
        <v>70</v>
      </c>
      <c r="C52" s="7" t="s">
        <v>71</v>
      </c>
      <c r="D52" s="24" t="s">
        <v>71</v>
      </c>
      <c r="E52" s="6" t="s">
        <v>35</v>
      </c>
      <c r="F52" s="7" t="s">
        <v>35</v>
      </c>
      <c r="G52" s="7" t="s">
        <v>35</v>
      </c>
      <c r="H52" s="24" t="s">
        <v>35</v>
      </c>
    </row>
    <row r="53" spans="1:8">
      <c r="A53" s="184" t="s">
        <v>72</v>
      </c>
      <c r="B53" s="262">
        <v>47700</v>
      </c>
      <c r="C53" s="774">
        <v>101832</v>
      </c>
      <c r="D53" s="407">
        <v>39002</v>
      </c>
      <c r="E53" s="228">
        <f>$B$47*B53/1000000</f>
        <v>834.75</v>
      </c>
      <c r="F53" s="223">
        <f>$C$47*C53/1000000</f>
        <v>712.82399999999996</v>
      </c>
      <c r="G53" s="223">
        <f>$D$47*D53/1000000</f>
        <v>468.024</v>
      </c>
      <c r="H53" s="136">
        <f>E53+F53+G53</f>
        <v>2015.598</v>
      </c>
    </row>
    <row r="54" spans="1:8">
      <c r="A54" s="185" t="s">
        <v>73</v>
      </c>
      <c r="B54" s="356">
        <v>31</v>
      </c>
      <c r="C54" s="770">
        <v>10</v>
      </c>
      <c r="D54" s="408">
        <v>28.6</v>
      </c>
      <c r="E54" s="229">
        <f t="shared" ref="E54:E67" si="0">$B$47*B54/1000000</f>
        <v>0.54249999999999998</v>
      </c>
      <c r="F54" s="224">
        <f t="shared" ref="F54:F67" si="1">$C$47*C54/1000000</f>
        <v>7.0000000000000007E-2</v>
      </c>
      <c r="G54" s="224">
        <f t="shared" ref="G54:G67" si="2">$D$47*D54/1000000</f>
        <v>0.34320000000000001</v>
      </c>
      <c r="H54" s="86">
        <f t="shared" ref="H54:H67" si="3">E54+F54+G54</f>
        <v>0.95569999999999999</v>
      </c>
    </row>
    <row r="55" spans="1:8">
      <c r="A55" s="186" t="s">
        <v>74</v>
      </c>
      <c r="B55" s="356">
        <v>85425</v>
      </c>
      <c r="C55" s="770">
        <v>111453.2</v>
      </c>
      <c r="D55" s="408">
        <v>159000</v>
      </c>
      <c r="E55" s="229">
        <f t="shared" si="0"/>
        <v>1494.9375</v>
      </c>
      <c r="F55" s="224">
        <f t="shared" si="1"/>
        <v>780.17240000000004</v>
      </c>
      <c r="G55" s="224">
        <f t="shared" si="2"/>
        <v>1908</v>
      </c>
      <c r="H55" s="86">
        <f t="shared" si="3"/>
        <v>4183.1098999999995</v>
      </c>
    </row>
    <row r="56" spans="1:8">
      <c r="A56" s="186" t="s">
        <v>75</v>
      </c>
      <c r="B56" s="356">
        <v>2.2000000000000002</v>
      </c>
      <c r="C56" s="770">
        <v>2</v>
      </c>
      <c r="D56" s="408">
        <v>3.5</v>
      </c>
      <c r="E56" s="229">
        <f t="shared" si="0"/>
        <v>3.85E-2</v>
      </c>
      <c r="F56" s="224">
        <f t="shared" si="1"/>
        <v>1.4E-2</v>
      </c>
      <c r="G56" s="224">
        <f t="shared" si="2"/>
        <v>4.2000000000000003E-2</v>
      </c>
      <c r="H56" s="86">
        <f t="shared" si="3"/>
        <v>9.4500000000000001E-2</v>
      </c>
    </row>
    <row r="57" spans="1:8">
      <c r="A57" s="186" t="s">
        <v>76</v>
      </c>
      <c r="B57" s="356">
        <v>91</v>
      </c>
      <c r="C57" s="770">
        <v>53.9</v>
      </c>
      <c r="D57" s="408">
        <v>136</v>
      </c>
      <c r="E57" s="229">
        <f t="shared" si="0"/>
        <v>1.5925</v>
      </c>
      <c r="F57" s="224">
        <f t="shared" si="1"/>
        <v>0.37730000000000002</v>
      </c>
      <c r="G57" s="224">
        <f t="shared" si="2"/>
        <v>1.6319999999999999</v>
      </c>
      <c r="H57" s="86">
        <f t="shared" si="3"/>
        <v>3.6017999999999999</v>
      </c>
    </row>
    <row r="58" spans="1:8">
      <c r="A58" s="186" t="s">
        <v>77</v>
      </c>
      <c r="B58" s="356">
        <v>663</v>
      </c>
      <c r="C58" s="770">
        <v>1099</v>
      </c>
      <c r="D58" s="408">
        <v>656</v>
      </c>
      <c r="E58" s="229">
        <f t="shared" si="0"/>
        <v>11.602499999999999</v>
      </c>
      <c r="F58" s="224">
        <f t="shared" si="1"/>
        <v>7.6929999999999996</v>
      </c>
      <c r="G58" s="224">
        <f t="shared" si="2"/>
        <v>7.8719999999999999</v>
      </c>
      <c r="H58" s="86">
        <f t="shared" si="3"/>
        <v>27.167499999999997</v>
      </c>
    </row>
    <row r="59" spans="1:8">
      <c r="A59" s="186" t="s">
        <v>78</v>
      </c>
      <c r="B59" s="356">
        <v>109000</v>
      </c>
      <c r="C59" s="770">
        <v>24315</v>
      </c>
      <c r="D59" s="408">
        <v>87577</v>
      </c>
      <c r="E59" s="229">
        <f t="shared" si="0"/>
        <v>1907.5</v>
      </c>
      <c r="F59" s="224">
        <f t="shared" si="1"/>
        <v>170.20500000000001</v>
      </c>
      <c r="G59" s="224">
        <f t="shared" si="2"/>
        <v>1050.924</v>
      </c>
      <c r="H59" s="86">
        <f t="shared" si="3"/>
        <v>3128.6289999999999</v>
      </c>
    </row>
    <row r="60" spans="1:8">
      <c r="A60" s="186" t="s">
        <v>79</v>
      </c>
      <c r="B60" s="356">
        <v>9375</v>
      </c>
      <c r="C60" s="770">
        <v>9848.1</v>
      </c>
      <c r="D60" s="408">
        <v>8230</v>
      </c>
      <c r="E60" s="229">
        <f t="shared" si="0"/>
        <v>164.0625</v>
      </c>
      <c r="F60" s="224">
        <f t="shared" si="1"/>
        <v>68.936700000000002</v>
      </c>
      <c r="G60" s="224">
        <f t="shared" si="2"/>
        <v>98.76</v>
      </c>
      <c r="H60" s="86">
        <f t="shared" si="3"/>
        <v>331.75920000000002</v>
      </c>
    </row>
    <row r="61" spans="1:8">
      <c r="A61" s="186" t="s">
        <v>80</v>
      </c>
      <c r="B61" s="356">
        <v>12191.833333333334</v>
      </c>
      <c r="C61" s="770">
        <v>12706.1</v>
      </c>
      <c r="D61" s="408">
        <v>12900</v>
      </c>
      <c r="E61" s="229">
        <f t="shared" si="0"/>
        <v>213.35708333333335</v>
      </c>
      <c r="F61" s="224">
        <f t="shared" si="1"/>
        <v>88.942700000000002</v>
      </c>
      <c r="G61" s="224">
        <f t="shared" si="2"/>
        <v>154.80000000000001</v>
      </c>
      <c r="H61" s="86">
        <f t="shared" si="3"/>
        <v>457.09978333333339</v>
      </c>
    </row>
    <row r="62" spans="1:8">
      <c r="A62" s="186" t="s">
        <v>81</v>
      </c>
      <c r="B62" s="356">
        <v>2530</v>
      </c>
      <c r="C62" s="770">
        <v>3346.1</v>
      </c>
      <c r="D62" s="408">
        <v>8100</v>
      </c>
      <c r="E62" s="229">
        <f t="shared" si="0"/>
        <v>44.274999999999999</v>
      </c>
      <c r="F62" s="224">
        <f t="shared" si="1"/>
        <v>23.422699999999999</v>
      </c>
      <c r="G62" s="224">
        <f t="shared" si="2"/>
        <v>97.2</v>
      </c>
      <c r="H62" s="86">
        <f t="shared" si="3"/>
        <v>164.89769999999999</v>
      </c>
    </row>
    <row r="63" spans="1:8">
      <c r="A63" s="186" t="s">
        <v>82</v>
      </c>
      <c r="B63" s="356">
        <v>64.5</v>
      </c>
      <c r="C63" s="770">
        <v>47.6</v>
      </c>
      <c r="D63" s="408">
        <v>125</v>
      </c>
      <c r="E63" s="229">
        <f t="shared" si="0"/>
        <v>1.1287499999999999</v>
      </c>
      <c r="F63" s="224">
        <f t="shared" si="1"/>
        <v>0.3332</v>
      </c>
      <c r="G63" s="224">
        <f t="shared" si="2"/>
        <v>1.5</v>
      </c>
      <c r="H63" s="86">
        <f t="shared" si="3"/>
        <v>2.9619499999999999</v>
      </c>
    </row>
    <row r="64" spans="1:8">
      <c r="A64" s="186" t="s">
        <v>83</v>
      </c>
      <c r="B64" s="356">
        <v>70700</v>
      </c>
      <c r="C64" s="770">
        <v>84567</v>
      </c>
      <c r="D64" s="408">
        <v>81618</v>
      </c>
      <c r="E64" s="229">
        <f t="shared" si="0"/>
        <v>1237.25</v>
      </c>
      <c r="F64" s="224">
        <f t="shared" si="1"/>
        <v>591.96900000000005</v>
      </c>
      <c r="G64" s="224">
        <f t="shared" si="2"/>
        <v>979.41600000000005</v>
      </c>
      <c r="H64" s="86">
        <f t="shared" si="3"/>
        <v>2808.6350000000002</v>
      </c>
    </row>
    <row r="65" spans="1:8">
      <c r="A65" s="186" t="s">
        <v>84</v>
      </c>
      <c r="B65" s="356">
        <v>117</v>
      </c>
      <c r="C65" s="770">
        <v>80.2</v>
      </c>
      <c r="D65" s="408">
        <v>124</v>
      </c>
      <c r="E65" s="229">
        <f t="shared" si="0"/>
        <v>2.0474999999999999</v>
      </c>
      <c r="F65" s="224">
        <f t="shared" si="1"/>
        <v>0.56140000000000001</v>
      </c>
      <c r="G65" s="224">
        <f t="shared" si="2"/>
        <v>1.488</v>
      </c>
      <c r="H65" s="86">
        <f t="shared" si="3"/>
        <v>4.0968999999999998</v>
      </c>
    </row>
    <row r="66" spans="1:8">
      <c r="A66" s="186" t="s">
        <v>85</v>
      </c>
      <c r="B66" s="356">
        <v>5857.8888888888887</v>
      </c>
      <c r="C66" s="770">
        <v>3113.7</v>
      </c>
      <c r="D66" s="408">
        <v>18900</v>
      </c>
      <c r="E66" s="229">
        <f t="shared" si="0"/>
        <v>102.51305555555555</v>
      </c>
      <c r="F66" s="224">
        <f t="shared" si="1"/>
        <v>21.7959</v>
      </c>
      <c r="G66" s="224">
        <f t="shared" si="2"/>
        <v>226.8</v>
      </c>
      <c r="H66" s="86">
        <f t="shared" si="3"/>
        <v>351.10895555555555</v>
      </c>
    </row>
    <row r="67" spans="1:8" ht="14.65" thickBot="1">
      <c r="A67" s="187" t="s">
        <v>86</v>
      </c>
      <c r="B67" s="358">
        <v>2260</v>
      </c>
      <c r="C67" s="778">
        <v>1989</v>
      </c>
      <c r="D67" s="409">
        <v>2353</v>
      </c>
      <c r="E67" s="230">
        <f t="shared" si="0"/>
        <v>39.549999999999997</v>
      </c>
      <c r="F67" s="225">
        <f t="shared" si="1"/>
        <v>13.923</v>
      </c>
      <c r="G67" s="225">
        <f t="shared" si="2"/>
        <v>28.236000000000001</v>
      </c>
      <c r="H67" s="118">
        <f t="shared" si="3"/>
        <v>81.709000000000003</v>
      </c>
    </row>
    <row r="69" spans="1:8" ht="14.65" thickBot="1">
      <c r="A69" s="79" t="s">
        <v>642</v>
      </c>
    </row>
    <row r="70" spans="1:8" ht="14.65" thickBot="1">
      <c r="A70" s="419"/>
      <c r="B70" s="1019" t="s">
        <v>262</v>
      </c>
      <c r="C70" s="1020"/>
      <c r="D70" s="1019" t="s">
        <v>263</v>
      </c>
      <c r="E70" s="1020"/>
    </row>
    <row r="71" spans="1:8">
      <c r="A71" s="92" t="s">
        <v>93</v>
      </c>
      <c r="B71" s="323" t="s">
        <v>618</v>
      </c>
      <c r="C71" s="324" t="s">
        <v>616</v>
      </c>
      <c r="D71" s="1022" t="s">
        <v>459</v>
      </c>
      <c r="E71" s="1023"/>
    </row>
    <row r="72" spans="1:8" ht="14.65" thickBot="1">
      <c r="A72" s="93" t="s">
        <v>297</v>
      </c>
      <c r="B72" s="403" t="s">
        <v>35</v>
      </c>
      <c r="C72" s="423" t="s">
        <v>35</v>
      </c>
      <c r="D72" s="403" t="s">
        <v>257</v>
      </c>
      <c r="E72" s="155" t="s">
        <v>237</v>
      </c>
    </row>
    <row r="73" spans="1:8">
      <c r="A73" s="148" t="s">
        <v>72</v>
      </c>
      <c r="B73" s="540">
        <f>H53</f>
        <v>2015.598</v>
      </c>
      <c r="C73" s="545">
        <f>$E$47</f>
        <v>36500</v>
      </c>
      <c r="D73" s="557">
        <f>B73/C73*1000000</f>
        <v>55221.863013698632</v>
      </c>
      <c r="E73" s="460">
        <f t="shared" ref="E73:E87" si="4">D73/1000000</f>
        <v>5.5221863013698635E-2</v>
      </c>
    </row>
    <row r="74" spans="1:8">
      <c r="A74" s="149" t="s">
        <v>73</v>
      </c>
      <c r="B74" s="541">
        <f t="shared" ref="B74:B87" si="5">H54</f>
        <v>0.95569999999999999</v>
      </c>
      <c r="C74" s="546">
        <f>$E$47</f>
        <v>36500</v>
      </c>
      <c r="D74" s="558">
        <f t="shared" ref="D74:D87" si="6">B74/C74*1000000</f>
        <v>26.183561643835617</v>
      </c>
      <c r="E74" s="462">
        <f t="shared" si="4"/>
        <v>2.6183561643835616E-5</v>
      </c>
    </row>
    <row r="75" spans="1:8">
      <c r="A75" s="232" t="s">
        <v>74</v>
      </c>
      <c r="B75" s="541">
        <f t="shared" si="5"/>
        <v>4183.1098999999995</v>
      </c>
      <c r="C75" s="546">
        <f t="shared" ref="C75:C86" si="7">$E$47</f>
        <v>36500</v>
      </c>
      <c r="D75" s="558">
        <f t="shared" si="6"/>
        <v>114605.7506849315</v>
      </c>
      <c r="E75" s="462">
        <f t="shared" si="4"/>
        <v>0.11460575068493149</v>
      </c>
    </row>
    <row r="76" spans="1:8">
      <c r="A76" s="232" t="s">
        <v>75</v>
      </c>
      <c r="B76" s="541">
        <f t="shared" si="5"/>
        <v>9.4500000000000001E-2</v>
      </c>
      <c r="C76" s="546">
        <f t="shared" si="7"/>
        <v>36500</v>
      </c>
      <c r="D76" s="558">
        <f t="shared" si="6"/>
        <v>2.5890410958904111</v>
      </c>
      <c r="E76" s="462">
        <f t="shared" si="4"/>
        <v>2.589041095890411E-6</v>
      </c>
    </row>
    <row r="77" spans="1:8">
      <c r="A77" s="232" t="s">
        <v>76</v>
      </c>
      <c r="B77" s="541">
        <f t="shared" si="5"/>
        <v>3.6017999999999999</v>
      </c>
      <c r="C77" s="546">
        <f t="shared" si="7"/>
        <v>36500</v>
      </c>
      <c r="D77" s="558">
        <f t="shared" si="6"/>
        <v>98.67945205479451</v>
      </c>
      <c r="E77" s="462">
        <f t="shared" si="4"/>
        <v>9.8679452054794512E-5</v>
      </c>
    </row>
    <row r="78" spans="1:8">
      <c r="A78" s="150" t="s">
        <v>77</v>
      </c>
      <c r="B78" s="541">
        <f t="shared" si="5"/>
        <v>27.167499999999997</v>
      </c>
      <c r="C78" s="546">
        <f t="shared" si="7"/>
        <v>36500</v>
      </c>
      <c r="D78" s="558">
        <f t="shared" si="6"/>
        <v>744.31506849315053</v>
      </c>
      <c r="E78" s="462">
        <f t="shared" si="4"/>
        <v>7.4431506849315055E-4</v>
      </c>
    </row>
    <row r="79" spans="1:8">
      <c r="A79" s="150" t="s">
        <v>78</v>
      </c>
      <c r="B79" s="541">
        <f t="shared" si="5"/>
        <v>3128.6289999999999</v>
      </c>
      <c r="C79" s="546">
        <f t="shared" si="7"/>
        <v>36500</v>
      </c>
      <c r="D79" s="558">
        <f t="shared" si="6"/>
        <v>85715.863013698632</v>
      </c>
      <c r="E79" s="462">
        <f t="shared" si="4"/>
        <v>8.5715863013698629E-2</v>
      </c>
    </row>
    <row r="80" spans="1:8">
      <c r="A80" s="150" t="s">
        <v>79</v>
      </c>
      <c r="B80" s="541">
        <f t="shared" si="5"/>
        <v>331.75920000000002</v>
      </c>
      <c r="C80" s="546">
        <f t="shared" si="7"/>
        <v>36500</v>
      </c>
      <c r="D80" s="558">
        <f t="shared" si="6"/>
        <v>9089.2931506849309</v>
      </c>
      <c r="E80" s="462">
        <f t="shared" si="4"/>
        <v>9.0892931506849316E-3</v>
      </c>
    </row>
    <row r="81" spans="1:5">
      <c r="A81" s="150" t="s">
        <v>80</v>
      </c>
      <c r="B81" s="541">
        <f t="shared" si="5"/>
        <v>457.09978333333339</v>
      </c>
      <c r="C81" s="546">
        <f t="shared" si="7"/>
        <v>36500</v>
      </c>
      <c r="D81" s="558">
        <f t="shared" si="6"/>
        <v>12523.281735159819</v>
      </c>
      <c r="E81" s="462">
        <f t="shared" si="4"/>
        <v>1.2523281735159819E-2</v>
      </c>
    </row>
    <row r="82" spans="1:5">
      <c r="A82" s="150" t="s">
        <v>81</v>
      </c>
      <c r="B82" s="541">
        <f t="shared" si="5"/>
        <v>164.89769999999999</v>
      </c>
      <c r="C82" s="546">
        <f t="shared" si="7"/>
        <v>36500</v>
      </c>
      <c r="D82" s="558">
        <f t="shared" si="6"/>
        <v>4517.7452054794512</v>
      </c>
      <c r="E82" s="462">
        <f t="shared" si="4"/>
        <v>4.5177452054794513E-3</v>
      </c>
    </row>
    <row r="83" spans="1:5">
      <c r="A83" s="150" t="s">
        <v>82</v>
      </c>
      <c r="B83" s="541">
        <f t="shared" si="5"/>
        <v>2.9619499999999999</v>
      </c>
      <c r="C83" s="546">
        <f t="shared" si="7"/>
        <v>36500</v>
      </c>
      <c r="D83" s="558">
        <f t="shared" si="6"/>
        <v>81.149315068493152</v>
      </c>
      <c r="E83" s="462">
        <f t="shared" si="4"/>
        <v>8.1149315068493151E-5</v>
      </c>
    </row>
    <row r="84" spans="1:5">
      <c r="A84" s="582" t="s">
        <v>620</v>
      </c>
      <c r="B84" s="541">
        <f t="shared" si="5"/>
        <v>2808.6350000000002</v>
      </c>
      <c r="C84" s="546">
        <f t="shared" si="7"/>
        <v>36500</v>
      </c>
      <c r="D84" s="597">
        <f t="shared" si="6"/>
        <v>76948.904109589042</v>
      </c>
      <c r="E84" s="583">
        <f t="shared" si="4"/>
        <v>7.6948904109589045E-2</v>
      </c>
    </row>
    <row r="85" spans="1:5">
      <c r="A85" s="186" t="s">
        <v>84</v>
      </c>
      <c r="B85" s="541">
        <f t="shared" si="5"/>
        <v>4.0968999999999998</v>
      </c>
      <c r="C85" s="546">
        <f t="shared" si="7"/>
        <v>36500</v>
      </c>
      <c r="D85" s="558">
        <f t="shared" si="6"/>
        <v>112.24383561643835</v>
      </c>
      <c r="E85" s="462">
        <f t="shared" si="4"/>
        <v>1.1224383561643835E-4</v>
      </c>
    </row>
    <row r="86" spans="1:5">
      <c r="A86" s="150" t="s">
        <v>85</v>
      </c>
      <c r="B86" s="541">
        <f t="shared" si="5"/>
        <v>351.10895555555555</v>
      </c>
      <c r="C86" s="546">
        <f t="shared" si="7"/>
        <v>36500</v>
      </c>
      <c r="D86" s="558">
        <f t="shared" si="6"/>
        <v>9619.4234398782355</v>
      </c>
      <c r="E86" s="462">
        <f t="shared" si="4"/>
        <v>9.6194234398782347E-3</v>
      </c>
    </row>
    <row r="87" spans="1:5" ht="14.65" thickBot="1">
      <c r="A87" s="152" t="s">
        <v>86</v>
      </c>
      <c r="B87" s="542">
        <f t="shared" si="5"/>
        <v>81.709000000000003</v>
      </c>
      <c r="C87" s="547">
        <f>$E$47</f>
        <v>36500</v>
      </c>
      <c r="D87" s="559">
        <f t="shared" si="6"/>
        <v>2238.6027397260277</v>
      </c>
      <c r="E87" s="464">
        <f t="shared" si="4"/>
        <v>2.2386027397260275E-3</v>
      </c>
    </row>
    <row r="89" spans="1:5">
      <c r="A89" s="329" t="s">
        <v>328</v>
      </c>
      <c r="B89" s="329"/>
      <c r="C89" s="329"/>
      <c r="D89" s="329"/>
      <c r="E89" s="329"/>
    </row>
    <row r="90" spans="1:5">
      <c r="A90" s="329" t="s">
        <v>315</v>
      </c>
      <c r="B90" s="329"/>
      <c r="C90" s="329"/>
      <c r="D90" s="329"/>
      <c r="E90" s="329"/>
    </row>
    <row r="92" spans="1:5" ht="14.65" thickBot="1">
      <c r="A92" s="329" t="s">
        <v>432</v>
      </c>
    </row>
    <row r="93" spans="1:5">
      <c r="A93" s="388" t="s">
        <v>268</v>
      </c>
      <c r="B93" s="323" t="s">
        <v>146</v>
      </c>
      <c r="C93" s="324" t="s">
        <v>147</v>
      </c>
      <c r="D93" s="1024" t="s">
        <v>459</v>
      </c>
      <c r="E93" s="1025"/>
    </row>
    <row r="94" spans="1:5" ht="14.65" thickBot="1">
      <c r="A94" s="220"/>
      <c r="B94" s="403" t="s">
        <v>35</v>
      </c>
      <c r="C94" s="423" t="s">
        <v>35</v>
      </c>
      <c r="D94" s="403" t="s">
        <v>257</v>
      </c>
      <c r="E94" s="155" t="s">
        <v>237</v>
      </c>
    </row>
    <row r="95" spans="1:5">
      <c r="A95" s="150" t="s">
        <v>620</v>
      </c>
      <c r="B95" s="161">
        <f>B84</f>
        <v>2808.6350000000002</v>
      </c>
      <c r="C95" s="502">
        <f>E47</f>
        <v>36500</v>
      </c>
      <c r="D95" s="229">
        <f>B95/C95*1000000</f>
        <v>76948.904109589042</v>
      </c>
      <c r="E95" s="476">
        <f>D95/1000000</f>
        <v>7.6948904109589045E-2</v>
      </c>
    </row>
    <row r="96" spans="1:5">
      <c r="A96" s="478" t="s">
        <v>433</v>
      </c>
      <c r="B96" s="480">
        <f>C96*31/98</f>
        <v>6839.6222473464786</v>
      </c>
      <c r="C96" s="587">
        <v>21622.031620643706</v>
      </c>
      <c r="D96" s="229">
        <f>B96/C96*1000000</f>
        <v>316326.53061224491</v>
      </c>
      <c r="E96" s="476">
        <f>D96/1000000</f>
        <v>0.31632653061224492</v>
      </c>
    </row>
    <row r="97" spans="1:5" ht="14.65" thickBot="1">
      <c r="A97" s="479" t="s">
        <v>306</v>
      </c>
      <c r="B97" s="162">
        <f>SUM($B$95:$B$96)</f>
        <v>9648.2572473464788</v>
      </c>
      <c r="C97" s="503">
        <f>SUM($C$95:$C$96)</f>
        <v>58122.031620643706</v>
      </c>
      <c r="D97" s="588">
        <f>B97/C97*1000000</f>
        <v>165999.99997108884</v>
      </c>
      <c r="E97" s="584">
        <f>D97/1000000</f>
        <v>0.16599999997108883</v>
      </c>
    </row>
    <row r="99" spans="1:5" ht="14.65" thickBot="1">
      <c r="A99" s="79" t="s">
        <v>434</v>
      </c>
    </row>
    <row r="100" spans="1:5" ht="14.65" thickBot="1">
      <c r="A100" s="691"/>
      <c r="B100" s="192" t="s">
        <v>18</v>
      </c>
      <c r="C100" s="193" t="s">
        <v>106</v>
      </c>
    </row>
    <row r="101" spans="1:5">
      <c r="A101" s="203" t="s">
        <v>435</v>
      </c>
      <c r="B101" s="692" t="s">
        <v>35</v>
      </c>
      <c r="C101" s="730">
        <f>$C$96</f>
        <v>21622.031620643706</v>
      </c>
    </row>
    <row r="102" spans="1:5">
      <c r="A102" s="184" t="s">
        <v>326</v>
      </c>
      <c r="B102" s="216" t="s">
        <v>237</v>
      </c>
      <c r="C102" s="779">
        <v>0.75</v>
      </c>
    </row>
    <row r="103" spans="1:5">
      <c r="A103" s="257" t="s">
        <v>436</v>
      </c>
      <c r="B103" s="178" t="s">
        <v>35</v>
      </c>
      <c r="C103" s="84">
        <f>C101/C102*(1-C102)</f>
        <v>7207.3438735479021</v>
      </c>
      <c r="D103" s="99"/>
    </row>
    <row r="104" spans="1:5" ht="14.65" thickBot="1">
      <c r="A104" s="693" t="s">
        <v>437</v>
      </c>
      <c r="B104" s="694" t="s">
        <v>35</v>
      </c>
      <c r="C104" s="335">
        <f>C101+C103</f>
        <v>28829.375494191609</v>
      </c>
      <c r="D104" s="99"/>
    </row>
    <row r="106" spans="1:5">
      <c r="A106" s="329" t="s">
        <v>316</v>
      </c>
    </row>
    <row r="107" spans="1:5">
      <c r="A107" s="329" t="s">
        <v>317</v>
      </c>
    </row>
    <row r="108" spans="1:5">
      <c r="A108" s="329"/>
    </row>
    <row r="109" spans="1:5" ht="14.65" thickBot="1">
      <c r="A109" s="329" t="s">
        <v>307</v>
      </c>
    </row>
    <row r="110" spans="1:5">
      <c r="A110" s="664" t="s">
        <v>64</v>
      </c>
      <c r="B110" s="665" t="s">
        <v>24</v>
      </c>
      <c r="C110" s="666">
        <v>0.45</v>
      </c>
    </row>
    <row r="111" spans="1:5" ht="14.65" thickBot="1">
      <c r="A111" s="667" t="s">
        <v>66</v>
      </c>
      <c r="B111" s="284" t="s">
        <v>24</v>
      </c>
      <c r="C111" s="663">
        <f>1-C110</f>
        <v>0.55000000000000004</v>
      </c>
    </row>
    <row r="112" spans="1:5">
      <c r="A112" s="329"/>
    </row>
    <row r="113" spans="1:3" ht="14.65" thickBot="1">
      <c r="A113" s="329" t="s">
        <v>363</v>
      </c>
    </row>
    <row r="114" spans="1:3" ht="14.65" thickBot="1">
      <c r="A114" s="103"/>
      <c r="B114" s="102" t="s">
        <v>18</v>
      </c>
      <c r="C114" s="17" t="s">
        <v>106</v>
      </c>
    </row>
    <row r="115" spans="1:3">
      <c r="A115" s="257" t="s">
        <v>607</v>
      </c>
      <c r="B115" s="346" t="s">
        <v>35</v>
      </c>
      <c r="C115" s="347">
        <f>TVM</f>
        <v>17500</v>
      </c>
    </row>
    <row r="116" spans="1:3">
      <c r="A116" s="257" t="s">
        <v>605</v>
      </c>
      <c r="B116" s="346" t="s">
        <v>35</v>
      </c>
      <c r="C116" s="347">
        <f>SEF</f>
        <v>7000</v>
      </c>
    </row>
    <row r="117" spans="1:3">
      <c r="A117" s="257" t="s">
        <v>643</v>
      </c>
      <c r="B117" s="346" t="s">
        <v>35</v>
      </c>
      <c r="C117" s="347">
        <f>ISH</f>
        <v>12000</v>
      </c>
    </row>
    <row r="118" spans="1:3">
      <c r="A118" s="348" t="s">
        <v>435</v>
      </c>
      <c r="B118" s="278" t="s">
        <v>35</v>
      </c>
      <c r="C118" s="347">
        <f>$C$101</f>
        <v>21622.031620643706</v>
      </c>
    </row>
    <row r="119" spans="1:3" ht="14.65" thickBot="1">
      <c r="A119" s="360" t="s">
        <v>309</v>
      </c>
      <c r="B119" s="320" t="s">
        <v>35</v>
      </c>
      <c r="C119" s="668">
        <f>C115+C116+C117+C118</f>
        <v>58122.031620643706</v>
      </c>
    </row>
    <row r="120" spans="1:3">
      <c r="A120" s="276" t="s">
        <v>345</v>
      </c>
      <c r="B120" s="296" t="s">
        <v>35</v>
      </c>
      <c r="C120" s="342">
        <f>C119/C110*C111</f>
        <v>71038.038647453417</v>
      </c>
    </row>
    <row r="121" spans="1:3">
      <c r="A121" s="257" t="s">
        <v>436</v>
      </c>
      <c r="B121" s="278" t="s">
        <v>35</v>
      </c>
      <c r="C121" s="347">
        <f>$C$103</f>
        <v>7207.3438735479021</v>
      </c>
    </row>
    <row r="122" spans="1:3" ht="14.65" thickBot="1">
      <c r="A122" s="670" t="s">
        <v>363</v>
      </c>
      <c r="B122" s="713" t="s">
        <v>35</v>
      </c>
      <c r="C122" s="671">
        <f>C120-C121</f>
        <v>63830.694773905518</v>
      </c>
    </row>
    <row r="124" spans="1:3" ht="14.65" thickBot="1">
      <c r="A124" s="79" t="s">
        <v>289</v>
      </c>
    </row>
    <row r="125" spans="1:3" ht="14.65" thickBot="1">
      <c r="A125" s="103" t="s">
        <v>53</v>
      </c>
      <c r="B125" s="102" t="s">
        <v>18</v>
      </c>
      <c r="C125" s="17" t="s">
        <v>106</v>
      </c>
    </row>
    <row r="126" spans="1:3">
      <c r="A126" s="780" t="s">
        <v>607</v>
      </c>
      <c r="B126" s="269" t="s">
        <v>35</v>
      </c>
      <c r="C126" s="337">
        <f>TVM</f>
        <v>17500</v>
      </c>
    </row>
    <row r="127" spans="1:3">
      <c r="A127" s="780" t="s">
        <v>605</v>
      </c>
      <c r="B127" s="269" t="s">
        <v>35</v>
      </c>
      <c r="C127" s="337">
        <f>SEF</f>
        <v>7000</v>
      </c>
    </row>
    <row r="128" spans="1:3">
      <c r="A128" s="780" t="s">
        <v>643</v>
      </c>
      <c r="B128" s="781" t="s">
        <v>35</v>
      </c>
      <c r="C128" s="782">
        <f>ISH</f>
        <v>12000</v>
      </c>
    </row>
    <row r="129" spans="1:3">
      <c r="A129" s="338" t="s">
        <v>437</v>
      </c>
      <c r="B129" s="269" t="s">
        <v>35</v>
      </c>
      <c r="C129" s="328">
        <f>$C$104</f>
        <v>28829.375494191609</v>
      </c>
    </row>
    <row r="130" spans="1:3" ht="14.65" thickBot="1">
      <c r="A130" s="339" t="s">
        <v>363</v>
      </c>
      <c r="B130" s="271" t="s">
        <v>35</v>
      </c>
      <c r="C130" s="340">
        <f>$C$122</f>
        <v>63830.694773905518</v>
      </c>
    </row>
    <row r="132" spans="1:3" ht="14.65" thickBot="1">
      <c r="A132" s="79" t="s">
        <v>290</v>
      </c>
    </row>
    <row r="133" spans="1:3" ht="14.65" thickBot="1">
      <c r="A133" s="191" t="s">
        <v>90</v>
      </c>
      <c r="B133" s="192" t="s">
        <v>18</v>
      </c>
      <c r="C133" s="193" t="s">
        <v>91</v>
      </c>
    </row>
    <row r="134" spans="1:3">
      <c r="A134" s="257" t="s">
        <v>607</v>
      </c>
      <c r="B134" s="293" t="s">
        <v>35</v>
      </c>
      <c r="C134" s="294">
        <f>TVM</f>
        <v>17500</v>
      </c>
    </row>
    <row r="135" spans="1:3">
      <c r="A135" s="257" t="s">
        <v>605</v>
      </c>
      <c r="B135" s="287" t="s">
        <v>35</v>
      </c>
      <c r="C135" s="295">
        <f>SEF</f>
        <v>7000</v>
      </c>
    </row>
    <row r="136" spans="1:3">
      <c r="A136" s="257" t="s">
        <v>643</v>
      </c>
      <c r="B136" s="287" t="s">
        <v>35</v>
      </c>
      <c r="C136" s="295">
        <f>ISH</f>
        <v>12000</v>
      </c>
    </row>
    <row r="137" spans="1:3">
      <c r="A137" s="372" t="s">
        <v>437</v>
      </c>
      <c r="B137" s="287" t="s">
        <v>35</v>
      </c>
      <c r="C137" s="279">
        <f>$C$104</f>
        <v>28829.375494191609</v>
      </c>
    </row>
    <row r="138" spans="1:3">
      <c r="A138" s="372" t="s">
        <v>363</v>
      </c>
      <c r="B138" s="287" t="s">
        <v>35</v>
      </c>
      <c r="C138" s="279">
        <f>$C$122</f>
        <v>63830.694773905518</v>
      </c>
    </row>
    <row r="139" spans="1:3" ht="14.65" thickBot="1">
      <c r="A139" s="689" t="s">
        <v>305</v>
      </c>
      <c r="B139" s="677" t="s">
        <v>35</v>
      </c>
      <c r="C139" s="256">
        <f>SUM(C134:C138)</f>
        <v>129160.07026809713</v>
      </c>
    </row>
    <row r="141" spans="1:3" ht="14.65" thickBot="1">
      <c r="A141" s="79" t="s">
        <v>307</v>
      </c>
      <c r="B141" s="79"/>
      <c r="C141" s="79"/>
    </row>
    <row r="142" spans="1:3" ht="14.65" thickBot="1">
      <c r="A142" s="103" t="s">
        <v>90</v>
      </c>
      <c r="B142" s="102" t="s">
        <v>18</v>
      </c>
      <c r="C142" s="17" t="s">
        <v>106</v>
      </c>
    </row>
    <row r="143" spans="1:3">
      <c r="A143" s="276" t="s">
        <v>607</v>
      </c>
      <c r="B143" s="296" t="s">
        <v>35</v>
      </c>
      <c r="C143" s="297">
        <f>TVM</f>
        <v>17500</v>
      </c>
    </row>
    <row r="144" spans="1:3">
      <c r="A144" s="257" t="s">
        <v>605</v>
      </c>
      <c r="B144" s="296" t="s">
        <v>35</v>
      </c>
      <c r="C144" s="297">
        <f>SEF</f>
        <v>7000</v>
      </c>
    </row>
    <row r="145" spans="1:7">
      <c r="A145" s="257" t="s">
        <v>643</v>
      </c>
      <c r="B145" s="278" t="s">
        <v>35</v>
      </c>
      <c r="C145" s="295">
        <f>ISH</f>
        <v>12000</v>
      </c>
    </row>
    <row r="146" spans="1:7">
      <c r="A146" s="348" t="s">
        <v>435</v>
      </c>
      <c r="B146" s="287" t="s">
        <v>35</v>
      </c>
      <c r="C146" s="279">
        <f>$C$101</f>
        <v>21622.031620643706</v>
      </c>
    </row>
    <row r="147" spans="1:7">
      <c r="A147" s="257" t="s">
        <v>309</v>
      </c>
      <c r="B147" s="287" t="s">
        <v>35</v>
      </c>
      <c r="C147" s="279">
        <f>C143+C144+C145+C146</f>
        <v>58122.031620643706</v>
      </c>
    </row>
    <row r="148" spans="1:7">
      <c r="A148" s="257" t="s">
        <v>305</v>
      </c>
      <c r="B148" s="287" t="s">
        <v>35</v>
      </c>
      <c r="C148" s="279">
        <f>$C$139</f>
        <v>129160.07026809713</v>
      </c>
    </row>
    <row r="149" spans="1:7">
      <c r="A149" s="299" t="s">
        <v>64</v>
      </c>
      <c r="B149" s="258" t="s">
        <v>24</v>
      </c>
      <c r="C149" s="300">
        <f>C147/C148</f>
        <v>0.44999999999999996</v>
      </c>
    </row>
    <row r="150" spans="1:7">
      <c r="A150" s="68" t="s">
        <v>436</v>
      </c>
      <c r="B150" s="287" t="s">
        <v>35</v>
      </c>
      <c r="C150" s="279">
        <f>C121</f>
        <v>7207.3438735479021</v>
      </c>
    </row>
    <row r="151" spans="1:7">
      <c r="A151" s="375" t="s">
        <v>363</v>
      </c>
      <c r="B151" s="287" t="s">
        <v>35</v>
      </c>
      <c r="C151" s="279">
        <f>$C$122</f>
        <v>63830.694773905518</v>
      </c>
    </row>
    <row r="152" spans="1:7">
      <c r="A152" s="257" t="s">
        <v>345</v>
      </c>
      <c r="B152" s="287" t="s">
        <v>35</v>
      </c>
      <c r="C152" s="279">
        <f>C150+C151</f>
        <v>71038.038647453417</v>
      </c>
    </row>
    <row r="153" spans="1:7">
      <c r="A153" s="257" t="s">
        <v>305</v>
      </c>
      <c r="B153" s="287" t="s">
        <v>35</v>
      </c>
      <c r="C153" s="279">
        <f>$C$139</f>
        <v>129160.07026809713</v>
      </c>
    </row>
    <row r="154" spans="1:7" ht="14.65" thickBot="1">
      <c r="A154" s="301" t="s">
        <v>66</v>
      </c>
      <c r="B154" s="259" t="s">
        <v>24</v>
      </c>
      <c r="C154" s="303">
        <f>C152/C153</f>
        <v>0.54999999999999993</v>
      </c>
    </row>
    <row r="156" spans="1:7" ht="14.65" thickBot="1">
      <c r="A156" s="79" t="s">
        <v>308</v>
      </c>
    </row>
    <row r="157" spans="1:7" ht="14.65" thickBot="1">
      <c r="A157" s="482"/>
      <c r="B157" s="1019" t="s">
        <v>262</v>
      </c>
      <c r="C157" s="1021"/>
      <c r="D157" s="1021"/>
      <c r="E157" s="1020"/>
      <c r="F157" s="1019" t="s">
        <v>263</v>
      </c>
      <c r="G157" s="1020"/>
    </row>
    <row r="158" spans="1:7">
      <c r="A158" s="219" t="s">
        <v>93</v>
      </c>
      <c r="B158" s="377" t="s">
        <v>618</v>
      </c>
      <c r="C158" s="421" t="s">
        <v>153</v>
      </c>
      <c r="D158" s="421" t="s">
        <v>142</v>
      </c>
      <c r="E158" s="492" t="s">
        <v>309</v>
      </c>
      <c r="F158" s="1089" t="s">
        <v>459</v>
      </c>
      <c r="G158" s="1090"/>
    </row>
    <row r="159" spans="1:7" ht="14.65" thickBot="1">
      <c r="A159" s="220"/>
      <c r="B159" s="215" t="s">
        <v>35</v>
      </c>
      <c r="C159" s="325" t="s">
        <v>35</v>
      </c>
      <c r="D159" s="325" t="s">
        <v>35</v>
      </c>
      <c r="E159" s="326" t="s">
        <v>35</v>
      </c>
      <c r="F159" s="6" t="s">
        <v>257</v>
      </c>
      <c r="G159" s="24" t="s">
        <v>237</v>
      </c>
    </row>
    <row r="160" spans="1:7">
      <c r="A160" s="148" t="s">
        <v>72</v>
      </c>
      <c r="B160" s="656">
        <f>H53</f>
        <v>2015.598</v>
      </c>
      <c r="C160" s="378">
        <v>0</v>
      </c>
      <c r="D160" s="378">
        <f>B160+C160</f>
        <v>2015.598</v>
      </c>
      <c r="E160" s="297">
        <f t="shared" ref="E160:E174" si="8">$C$147</f>
        <v>58122.031620643706</v>
      </c>
      <c r="F160" s="634">
        <f>D160/E160*1000000</f>
        <v>34678.725842819687</v>
      </c>
      <c r="G160" s="481">
        <f>F160/1000000</f>
        <v>3.467872584281969E-2</v>
      </c>
    </row>
    <row r="161" spans="1:7">
      <c r="A161" s="149" t="s">
        <v>73</v>
      </c>
      <c r="B161" s="656">
        <f t="shared" ref="B161:B174" si="9">H54</f>
        <v>0.95569999999999999</v>
      </c>
      <c r="C161" s="364">
        <v>0</v>
      </c>
      <c r="D161" s="378">
        <f t="shared" ref="D161:D174" si="10">B161+C161</f>
        <v>0.95569999999999999</v>
      </c>
      <c r="E161" s="295">
        <f t="shared" si="8"/>
        <v>58122.031620643706</v>
      </c>
      <c r="F161" s="558">
        <f t="shared" ref="F161:F173" si="11">D161/E161*1000000</f>
        <v>16.442990262930792</v>
      </c>
      <c r="G161" s="462">
        <f t="shared" ref="G161:G174" si="12">F161/1000000</f>
        <v>1.6442990262930791E-5</v>
      </c>
    </row>
    <row r="162" spans="1:7">
      <c r="A162" s="149" t="s">
        <v>74</v>
      </c>
      <c r="B162" s="656">
        <f t="shared" si="9"/>
        <v>4183.1098999999995</v>
      </c>
      <c r="C162" s="364">
        <v>0</v>
      </c>
      <c r="D162" s="378">
        <f t="shared" si="10"/>
        <v>4183.1098999999995</v>
      </c>
      <c r="E162" s="295">
        <f t="shared" si="8"/>
        <v>58122.031620643706</v>
      </c>
      <c r="F162" s="558">
        <f t="shared" si="11"/>
        <v>71971.157637825032</v>
      </c>
      <c r="G162" s="462">
        <f t="shared" si="12"/>
        <v>7.1971157637825037E-2</v>
      </c>
    </row>
    <row r="163" spans="1:7">
      <c r="A163" s="149" t="s">
        <v>75</v>
      </c>
      <c r="B163" s="656">
        <f t="shared" si="9"/>
        <v>9.4500000000000001E-2</v>
      </c>
      <c r="C163" s="364">
        <v>0</v>
      </c>
      <c r="D163" s="378">
        <f t="shared" si="10"/>
        <v>9.4500000000000001E-2</v>
      </c>
      <c r="E163" s="295">
        <f t="shared" si="8"/>
        <v>58122.031620643706</v>
      </c>
      <c r="F163" s="558">
        <f t="shared" si="11"/>
        <v>1.625889483987611</v>
      </c>
      <c r="G163" s="462">
        <f t="shared" si="12"/>
        <v>1.625889483987611E-6</v>
      </c>
    </row>
    <row r="164" spans="1:7">
      <c r="A164" s="149" t="s">
        <v>76</v>
      </c>
      <c r="B164" s="656">
        <f t="shared" si="9"/>
        <v>3.6017999999999999</v>
      </c>
      <c r="C164" s="364">
        <v>0</v>
      </c>
      <c r="D164" s="378">
        <f t="shared" si="10"/>
        <v>3.6017999999999999</v>
      </c>
      <c r="E164" s="295">
        <f t="shared" si="8"/>
        <v>58122.031620643706</v>
      </c>
      <c r="F164" s="558">
        <f t="shared" si="11"/>
        <v>61.969616332556363</v>
      </c>
      <c r="G164" s="462">
        <f t="shared" si="12"/>
        <v>6.1969616332556364E-5</v>
      </c>
    </row>
    <row r="165" spans="1:7">
      <c r="A165" s="150" t="s">
        <v>77</v>
      </c>
      <c r="B165" s="656">
        <f t="shared" si="9"/>
        <v>27.167499999999997</v>
      </c>
      <c r="C165" s="364">
        <v>0</v>
      </c>
      <c r="D165" s="378">
        <f t="shared" si="10"/>
        <v>27.167499999999997</v>
      </c>
      <c r="E165" s="295">
        <f t="shared" si="8"/>
        <v>58122.031620643706</v>
      </c>
      <c r="F165" s="558">
        <f t="shared" si="11"/>
        <v>467.42172017178217</v>
      </c>
      <c r="G165" s="462">
        <f t="shared" si="12"/>
        <v>4.6742172017178216E-4</v>
      </c>
    </row>
    <row r="166" spans="1:7">
      <c r="A166" s="150" t="s">
        <v>78</v>
      </c>
      <c r="B166" s="656">
        <f t="shared" si="9"/>
        <v>3128.6289999999999</v>
      </c>
      <c r="C166" s="364">
        <v>0</v>
      </c>
      <c r="D166" s="378">
        <f t="shared" si="10"/>
        <v>3128.6289999999999</v>
      </c>
      <c r="E166" s="295">
        <f t="shared" si="8"/>
        <v>58122.031620643706</v>
      </c>
      <c r="F166" s="558">
        <f t="shared" si="11"/>
        <v>53828.624237023017</v>
      </c>
      <c r="G166" s="462">
        <f t="shared" si="12"/>
        <v>5.3828624237023018E-2</v>
      </c>
    </row>
    <row r="167" spans="1:7">
      <c r="A167" s="150" t="s">
        <v>79</v>
      </c>
      <c r="B167" s="656">
        <f t="shared" si="9"/>
        <v>331.75920000000002</v>
      </c>
      <c r="C167" s="364">
        <v>0</v>
      </c>
      <c r="D167" s="378">
        <f t="shared" si="10"/>
        <v>331.75920000000002</v>
      </c>
      <c r="E167" s="295">
        <f t="shared" si="8"/>
        <v>58122.031620643706</v>
      </c>
      <c r="F167" s="558">
        <f t="shared" si="11"/>
        <v>5707.9766613348429</v>
      </c>
      <c r="G167" s="462">
        <f t="shared" si="12"/>
        <v>5.7079766613348428E-3</v>
      </c>
    </row>
    <row r="168" spans="1:7">
      <c r="A168" s="150" t="s">
        <v>80</v>
      </c>
      <c r="B168" s="656">
        <f t="shared" si="9"/>
        <v>457.09978333333339</v>
      </c>
      <c r="C168" s="364">
        <v>0</v>
      </c>
      <c r="D168" s="378">
        <f t="shared" si="10"/>
        <v>457.09978333333339</v>
      </c>
      <c r="E168" s="295">
        <f t="shared" si="8"/>
        <v>58122.031620643706</v>
      </c>
      <c r="F168" s="558">
        <f t="shared" si="11"/>
        <v>7864.4839243881706</v>
      </c>
      <c r="G168" s="462">
        <f t="shared" si="12"/>
        <v>7.8644839243881704E-3</v>
      </c>
    </row>
    <row r="169" spans="1:7">
      <c r="A169" s="150" t="s">
        <v>81</v>
      </c>
      <c r="B169" s="656">
        <f t="shared" si="9"/>
        <v>164.89769999999999</v>
      </c>
      <c r="C169" s="364">
        <v>0</v>
      </c>
      <c r="D169" s="378">
        <f t="shared" si="10"/>
        <v>164.89769999999999</v>
      </c>
      <c r="E169" s="295">
        <f t="shared" si="8"/>
        <v>58122.031620643706</v>
      </c>
      <c r="F169" s="558">
        <f t="shared" si="11"/>
        <v>2837.094564695702</v>
      </c>
      <c r="G169" s="462">
        <f t="shared" si="12"/>
        <v>2.8370945646957022E-3</v>
      </c>
    </row>
    <row r="170" spans="1:7">
      <c r="A170" s="150" t="s">
        <v>82</v>
      </c>
      <c r="B170" s="656">
        <f t="shared" si="9"/>
        <v>2.9619499999999999</v>
      </c>
      <c r="C170" s="364">
        <v>0</v>
      </c>
      <c r="D170" s="378">
        <f t="shared" si="10"/>
        <v>2.9619499999999999</v>
      </c>
      <c r="E170" s="295">
        <f t="shared" si="8"/>
        <v>58122.031620643706</v>
      </c>
      <c r="F170" s="558">
        <f t="shared" si="11"/>
        <v>50.960882085683636</v>
      </c>
      <c r="G170" s="462">
        <f t="shared" si="12"/>
        <v>5.0960882085683636E-5</v>
      </c>
    </row>
    <row r="171" spans="1:7">
      <c r="A171" s="350" t="s">
        <v>154</v>
      </c>
      <c r="B171" s="656">
        <f t="shared" si="9"/>
        <v>2808.6350000000002</v>
      </c>
      <c r="C171" s="364">
        <f>$B$96</f>
        <v>6839.6222473464786</v>
      </c>
      <c r="D171" s="378">
        <f t="shared" si="10"/>
        <v>9648.2572473464788</v>
      </c>
      <c r="E171" s="295">
        <f t="shared" si="8"/>
        <v>58122.031620643706</v>
      </c>
      <c r="F171" s="597">
        <f t="shared" si="11"/>
        <v>165999.99997108884</v>
      </c>
      <c r="G171" s="583">
        <f t="shared" si="12"/>
        <v>0.16599999997108883</v>
      </c>
    </row>
    <row r="172" spans="1:7">
      <c r="A172" s="398" t="s">
        <v>84</v>
      </c>
      <c r="B172" s="656">
        <f t="shared" si="9"/>
        <v>4.0968999999999998</v>
      </c>
      <c r="C172" s="364">
        <v>0</v>
      </c>
      <c r="D172" s="378">
        <f t="shared" si="10"/>
        <v>4.0968999999999998</v>
      </c>
      <c r="E172" s="295">
        <f t="shared" si="8"/>
        <v>58122.031620643706</v>
      </c>
      <c r="F172" s="558">
        <f t="shared" si="11"/>
        <v>70.487900814273473</v>
      </c>
      <c r="G172" s="462">
        <f t="shared" si="12"/>
        <v>7.0487900814273467E-5</v>
      </c>
    </row>
    <row r="173" spans="1:7">
      <c r="A173" s="398" t="s">
        <v>85</v>
      </c>
      <c r="B173" s="656">
        <f t="shared" si="9"/>
        <v>351.10895555555555</v>
      </c>
      <c r="C173" s="364">
        <v>0</v>
      </c>
      <c r="D173" s="378">
        <f t="shared" si="10"/>
        <v>351.10895555555555</v>
      </c>
      <c r="E173" s="295">
        <f t="shared" si="8"/>
        <v>58122.031620643706</v>
      </c>
      <c r="F173" s="558">
        <f t="shared" si="11"/>
        <v>6040.8926832978968</v>
      </c>
      <c r="G173" s="462">
        <f t="shared" si="12"/>
        <v>6.0408926832978965E-3</v>
      </c>
    </row>
    <row r="174" spans="1:7" ht="14.65" thickBot="1">
      <c r="A174" s="152" t="s">
        <v>86</v>
      </c>
      <c r="B174" s="783">
        <f t="shared" si="9"/>
        <v>81.709000000000003</v>
      </c>
      <c r="C174" s="379">
        <v>0</v>
      </c>
      <c r="D174" s="784">
        <f t="shared" si="10"/>
        <v>81.709000000000003</v>
      </c>
      <c r="E174" s="380">
        <f t="shared" si="8"/>
        <v>58122.031620643706</v>
      </c>
      <c r="F174" s="559">
        <f>D174/E174*1000000</f>
        <v>1405.8180301285049</v>
      </c>
      <c r="G174" s="464">
        <f t="shared" si="12"/>
        <v>1.4058180301285048E-3</v>
      </c>
    </row>
    <row r="176" spans="1:7">
      <c r="A176" s="1" t="s">
        <v>155</v>
      </c>
      <c r="B176" s="1"/>
      <c r="C176" s="1"/>
    </row>
    <row r="177" spans="1:5" ht="14.65" thickBot="1">
      <c r="A177" s="79" t="s">
        <v>291</v>
      </c>
    </row>
    <row r="178" spans="1:5" ht="14.65" thickBot="1">
      <c r="A178" s="16" t="s">
        <v>53</v>
      </c>
      <c r="B178" s="17" t="s">
        <v>18</v>
      </c>
      <c r="C178" s="249" t="s">
        <v>106</v>
      </c>
    </row>
    <row r="179" spans="1:5" ht="14.65" thickBot="1">
      <c r="A179" s="611" t="s">
        <v>305</v>
      </c>
      <c r="B179" s="612" t="s">
        <v>35</v>
      </c>
      <c r="C179" s="613">
        <f>$C$139</f>
        <v>129160.07026809713</v>
      </c>
    </row>
    <row r="180" spans="1:5">
      <c r="A180" s="78"/>
      <c r="B180" s="685"/>
      <c r="C180" s="686"/>
    </row>
    <row r="181" spans="1:5">
      <c r="A181" s="329" t="s">
        <v>319</v>
      </c>
      <c r="B181" s="685"/>
      <c r="C181" s="686"/>
    </row>
    <row r="183" spans="1:5" ht="14.65" thickBot="1">
      <c r="A183" s="79" t="s">
        <v>292</v>
      </c>
    </row>
    <row r="184" spans="1:5" ht="14.65" thickBot="1">
      <c r="A184" s="191" t="s">
        <v>90</v>
      </c>
      <c r="B184" s="192" t="s">
        <v>18</v>
      </c>
      <c r="C184" s="193" t="s">
        <v>91</v>
      </c>
    </row>
    <row r="185" spans="1:5">
      <c r="A185" s="703" t="s">
        <v>314</v>
      </c>
      <c r="B185" s="692" t="s">
        <v>35</v>
      </c>
      <c r="C185" s="730">
        <f>C147</f>
        <v>58122.031620643706</v>
      </c>
    </row>
    <row r="186" spans="1:5">
      <c r="A186" s="232" t="s">
        <v>320</v>
      </c>
      <c r="B186" s="178" t="s">
        <v>237</v>
      </c>
      <c r="C186" s="722">
        <v>0.95</v>
      </c>
    </row>
    <row r="187" spans="1:5">
      <c r="A187" s="688" t="s">
        <v>17</v>
      </c>
      <c r="B187" s="90" t="s">
        <v>35</v>
      </c>
      <c r="C187" s="254">
        <f>C185/C186</f>
        <v>61181.085916467062</v>
      </c>
    </row>
    <row r="188" spans="1:5">
      <c r="A188" s="232" t="s">
        <v>321</v>
      </c>
      <c r="B188" s="178" t="s">
        <v>237</v>
      </c>
      <c r="C188" s="722">
        <f>100%-C186</f>
        <v>5.0000000000000044E-2</v>
      </c>
    </row>
    <row r="189" spans="1:5">
      <c r="A189" s="232" t="s">
        <v>348</v>
      </c>
      <c r="B189" s="178" t="s">
        <v>35</v>
      </c>
      <c r="C189" s="84">
        <f>C187*C188</f>
        <v>3059.0542958233559</v>
      </c>
    </row>
    <row r="190" spans="1:5" ht="14.65" thickBot="1">
      <c r="A190" s="689" t="s">
        <v>16</v>
      </c>
      <c r="B190" s="163" t="s">
        <v>35</v>
      </c>
      <c r="C190" s="690">
        <f>$C$152-C189</f>
        <v>67978.984351630061</v>
      </c>
    </row>
    <row r="192" spans="1:5" ht="14.65" thickBot="1">
      <c r="A192" s="1" t="s">
        <v>235</v>
      </c>
      <c r="B192" s="1"/>
      <c r="C192" s="1"/>
      <c r="D192" s="79"/>
      <c r="E192" s="79"/>
    </row>
    <row r="193" spans="1:4" ht="14.65" thickBot="1">
      <c r="A193" s="512"/>
      <c r="B193" s="249" t="s">
        <v>18</v>
      </c>
      <c r="C193" s="249" t="s">
        <v>234</v>
      </c>
    </row>
    <row r="194" spans="1:4">
      <c r="A194" s="134" t="s">
        <v>232</v>
      </c>
      <c r="B194" s="509" t="s">
        <v>24</v>
      </c>
      <c r="C194" s="248">
        <v>0.38</v>
      </c>
    </row>
    <row r="195" spans="1:4">
      <c r="A195" s="68" t="s">
        <v>324</v>
      </c>
      <c r="B195" s="510" t="s">
        <v>35</v>
      </c>
      <c r="C195" s="244">
        <f>C185</f>
        <v>58122.031620643706</v>
      </c>
    </row>
    <row r="196" spans="1:4">
      <c r="A196" s="68" t="s">
        <v>349</v>
      </c>
      <c r="B196" s="510" t="s">
        <v>35</v>
      </c>
      <c r="C196" s="245">
        <f>C195*C194</f>
        <v>22086.372015844609</v>
      </c>
    </row>
    <row r="197" spans="1:4">
      <c r="A197" s="68" t="s">
        <v>350</v>
      </c>
      <c r="B197" s="510" t="s">
        <v>35</v>
      </c>
      <c r="C197" s="246">
        <f>D163</f>
        <v>9.4500000000000001E-2</v>
      </c>
    </row>
    <row r="198" spans="1:4" ht="14.65" thickBot="1">
      <c r="A198" s="73" t="s">
        <v>351</v>
      </c>
      <c r="B198" s="511" t="s">
        <v>236</v>
      </c>
      <c r="C198" s="931">
        <f>C197/C196*1000000</f>
        <v>4.2786565368095024</v>
      </c>
    </row>
    <row r="199" spans="1:4" ht="14.65" thickBot="1"/>
    <row r="200" spans="1:4" ht="14.65" thickBot="1">
      <c r="A200" s="212"/>
      <c r="B200" s="1010" t="s">
        <v>216</v>
      </c>
      <c r="C200" s="1005" t="s">
        <v>165</v>
      </c>
      <c r="D200" s="1012"/>
    </row>
    <row r="201" spans="1:4">
      <c r="A201" s="487" t="s">
        <v>67</v>
      </c>
      <c r="B201" s="1011"/>
      <c r="C201" s="3" t="s">
        <v>166</v>
      </c>
      <c r="D201" s="15" t="s">
        <v>167</v>
      </c>
    </row>
    <row r="202" spans="1:4" ht="14.65" thickBot="1">
      <c r="A202" s="133" t="s">
        <v>18</v>
      </c>
      <c r="B202" s="610" t="s">
        <v>352</v>
      </c>
      <c r="C202" s="6" t="s">
        <v>70</v>
      </c>
      <c r="D202" s="24" t="s">
        <v>70</v>
      </c>
    </row>
    <row r="203" spans="1:4">
      <c r="A203" s="134" t="s">
        <v>222</v>
      </c>
      <c r="B203" s="684">
        <f>F161</f>
        <v>16.442990262930792</v>
      </c>
      <c r="C203" s="484">
        <f>Rohdaten!$F$12</f>
        <v>40</v>
      </c>
      <c r="D203" s="110">
        <f>Rohdaten!$H$12</f>
        <v>40</v>
      </c>
    </row>
    <row r="204" spans="1:4">
      <c r="A204" s="68" t="s">
        <v>223</v>
      </c>
      <c r="B204" s="929">
        <f>C198</f>
        <v>4.2786565368095024</v>
      </c>
      <c r="C204" s="105" t="str">
        <f>Rohdaten!$F$14</f>
        <v>50mg/kgP2O5</v>
      </c>
      <c r="D204" s="80" t="str">
        <f>Rohdaten!$H$14</f>
        <v>60mg/kgP2O5</v>
      </c>
    </row>
    <row r="205" spans="1:4">
      <c r="A205" s="68" t="s">
        <v>224</v>
      </c>
      <c r="B205" s="606">
        <f>F165</f>
        <v>467.42172017178217</v>
      </c>
      <c r="C205" s="485">
        <f>Rohdaten!$F$16</f>
        <v>900</v>
      </c>
      <c r="D205" s="82">
        <f>Rohdaten!$H$16</f>
        <v>600</v>
      </c>
    </row>
    <row r="206" spans="1:4">
      <c r="A206" s="68" t="s">
        <v>225</v>
      </c>
      <c r="B206" s="606">
        <f>F170</f>
        <v>50.960882085683636</v>
      </c>
      <c r="C206" s="485">
        <f>Rohdaten!$F$21</f>
        <v>80</v>
      </c>
      <c r="D206" s="82">
        <f>Rohdaten!$H$21</f>
        <v>100</v>
      </c>
    </row>
    <row r="207" spans="1:4">
      <c r="A207" s="68" t="s">
        <v>226</v>
      </c>
      <c r="B207" s="607">
        <f>F172</f>
        <v>70.487900814273473</v>
      </c>
      <c r="C207" s="485">
        <f>Rohdaten!$F$23</f>
        <v>150</v>
      </c>
      <c r="D207" s="82">
        <f>Rohdaten!$H$23</f>
        <v>120</v>
      </c>
    </row>
    <row r="208" spans="1:4" ht="14.65" thickBot="1">
      <c r="A208" s="73" t="s">
        <v>227</v>
      </c>
      <c r="B208" s="608">
        <f>F174</f>
        <v>1405.8180301285049</v>
      </c>
      <c r="C208" s="486">
        <f>Rohdaten!$F$25</f>
        <v>5000</v>
      </c>
      <c r="D208" s="237">
        <f>Rohdaten!$H$25</f>
        <v>1500</v>
      </c>
    </row>
    <row r="256" hidden="1"/>
    <row r="257" hidden="1"/>
    <row r="258" hidden="1"/>
    <row r="259" hidden="1"/>
    <row r="260" hidden="1"/>
    <row r="261" hidden="1"/>
  </sheetData>
  <mergeCells count="11">
    <mergeCell ref="B200:B201"/>
    <mergeCell ref="C200:D200"/>
    <mergeCell ref="B50:D50"/>
    <mergeCell ref="E50:H50"/>
    <mergeCell ref="B70:C70"/>
    <mergeCell ref="D70:E70"/>
    <mergeCell ref="B157:E157"/>
    <mergeCell ref="F157:G157"/>
    <mergeCell ref="D71:E71"/>
    <mergeCell ref="D93:E93"/>
    <mergeCell ref="F158:G15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8EEE4-5D71-4DA5-AC72-72327492E88E}">
  <sheetPr codeName="Tabelle11"/>
  <dimension ref="A1:L634"/>
  <sheetViews>
    <sheetView topLeftCell="A74" zoomScale="84" zoomScaleNormal="70" workbookViewId="0">
      <selection activeCell="C105" sqref="C105"/>
    </sheetView>
  </sheetViews>
  <sheetFormatPr baseColWidth="10" defaultColWidth="8.86328125" defaultRowHeight="14.25"/>
  <cols>
    <col min="1" max="1" width="45.79687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499">
        <v>0.14399999999999999</v>
      </c>
      <c r="E13" s="714"/>
    </row>
    <row r="14" spans="1:5">
      <c r="A14" s="415" t="s">
        <v>330</v>
      </c>
      <c r="B14" s="37" t="s">
        <v>22</v>
      </c>
      <c r="C14" s="391">
        <v>0.752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1.8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0.14399999999999999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1727.9999999999998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0.752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7.7837837837837834E-2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20472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22200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9024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13536</v>
      </c>
    </row>
    <row r="34" spans="1:3" ht="14.65" thickBot="1">
      <c r="A34" s="680" t="s">
        <v>427</v>
      </c>
      <c r="B34" s="694" t="s">
        <v>35</v>
      </c>
      <c r="C34" s="725">
        <f>C30+C33</f>
        <v>22560</v>
      </c>
    </row>
    <row r="35" spans="1:3">
      <c r="A35" s="83"/>
      <c r="B35" s="77"/>
      <c r="C35" s="95"/>
    </row>
    <row r="36" spans="1:3" ht="14.65" hidden="1" thickBot="1">
      <c r="A36" s="79" t="s">
        <v>56</v>
      </c>
      <c r="B36" s="79"/>
      <c r="C36" s="79"/>
    </row>
    <row r="37" spans="1:3" ht="14.65" hidden="1" thickBot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1727.9999999999998</v>
      </c>
    </row>
    <row r="40" spans="1:3" hidden="1">
      <c r="A40" s="257" t="s">
        <v>33</v>
      </c>
      <c r="B40" s="287" t="s">
        <v>35</v>
      </c>
      <c r="C40" s="295">
        <f>$C$30</f>
        <v>9024</v>
      </c>
    </row>
    <row r="41" spans="1:3" hidden="1">
      <c r="A41" s="257" t="s">
        <v>57</v>
      </c>
      <c r="B41" s="287" t="s">
        <v>35</v>
      </c>
      <c r="C41" s="279">
        <f>C38+C39+C40</f>
        <v>22752</v>
      </c>
    </row>
    <row r="42" spans="1:3" hidden="1">
      <c r="A42" s="257" t="s">
        <v>58</v>
      </c>
      <c r="B42" s="287" t="s">
        <v>35</v>
      </c>
      <c r="C42" s="279">
        <f>$C$22+$C$25+$C$30+$C$24</f>
        <v>56760</v>
      </c>
    </row>
    <row r="43" spans="1:3" hidden="1">
      <c r="A43" s="299" t="s">
        <v>59</v>
      </c>
      <c r="B43" s="258" t="s">
        <v>24</v>
      </c>
      <c r="C43" s="300">
        <f>C41/C42</f>
        <v>0.40084566596194504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56760</v>
      </c>
    </row>
    <row r="47" spans="1:3" ht="14.65" hidden="1" thickBot="1">
      <c r="A47" s="301" t="s">
        <v>61</v>
      </c>
      <c r="B47" s="259" t="s">
        <v>24</v>
      </c>
      <c r="C47" s="302">
        <f>C44/C46</f>
        <v>0.59915433403805496</v>
      </c>
    </row>
    <row r="48" spans="1:3" hidden="1"/>
    <row r="49" spans="1:6" ht="14.65" hidden="1" thickBot="1">
      <c r="A49" s="79" t="s">
        <v>47</v>
      </c>
      <c r="B49" s="79"/>
      <c r="C49" s="79"/>
    </row>
    <row r="50" spans="1:6" ht="14.65" hidden="1" thickBot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1727.9999999999998</v>
      </c>
    </row>
    <row r="53" spans="1:6" hidden="1">
      <c r="A53" s="257" t="s">
        <v>33</v>
      </c>
      <c r="B53" s="287" t="s">
        <v>35</v>
      </c>
      <c r="C53" s="295">
        <f>$C$30</f>
        <v>9024</v>
      </c>
    </row>
    <row r="54" spans="1:6" hidden="1">
      <c r="A54" s="257" t="s">
        <v>63</v>
      </c>
      <c r="B54" s="287" t="s">
        <v>35</v>
      </c>
      <c r="C54" s="279">
        <f>C51+C52+C53</f>
        <v>22752</v>
      </c>
    </row>
    <row r="55" spans="1:6" hidden="1">
      <c r="A55" s="257" t="s">
        <v>58</v>
      </c>
      <c r="B55" s="287" t="s">
        <v>35</v>
      </c>
      <c r="C55" s="279">
        <f>$C$22+$C$25+$C$30+$C$24</f>
        <v>56760</v>
      </c>
    </row>
    <row r="56" spans="1:6" hidden="1">
      <c r="A56" s="299" t="s">
        <v>64</v>
      </c>
      <c r="B56" s="258" t="s">
        <v>24</v>
      </c>
      <c r="C56" s="300">
        <f>C54/C88</f>
        <v>0.40084566596194504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56760</v>
      </c>
    </row>
    <row r="60" spans="1:6" ht="14.65" hidden="1" thickBot="1">
      <c r="A60" s="301" t="s">
        <v>66</v>
      </c>
      <c r="B60" s="259" t="s">
        <v>24</v>
      </c>
      <c r="C60" s="303">
        <f>C58/C88</f>
        <v>0.59915433403805496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0.59114567666815554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276.6703641769368</v>
      </c>
      <c r="F66" s="467">
        <f t="shared" ref="F66:F78" si="2">D66*(1-B66)</f>
        <v>191.35363582306317</v>
      </c>
    </row>
    <row r="67" spans="1:7">
      <c r="A67" s="107" t="s">
        <v>73</v>
      </c>
      <c r="B67" s="448">
        <v>0.86802407743611076</v>
      </c>
      <c r="C67" s="413">
        <v>28.6</v>
      </c>
      <c r="D67" s="229">
        <f t="shared" si="0"/>
        <v>0.34320000000000001</v>
      </c>
      <c r="E67" s="424">
        <f t="shared" si="1"/>
        <v>0.29790586337607322</v>
      </c>
      <c r="F67" s="468">
        <f t="shared" si="2"/>
        <v>4.5294136623926784E-2</v>
      </c>
    </row>
    <row r="68" spans="1:7">
      <c r="A68" s="108" t="s">
        <v>74</v>
      </c>
      <c r="B68" s="448">
        <v>0.39264134328832412</v>
      </c>
      <c r="C68" s="413">
        <v>159000</v>
      </c>
      <c r="D68" s="229">
        <f t="shared" si="0"/>
        <v>1908</v>
      </c>
      <c r="E68" s="424">
        <f t="shared" si="1"/>
        <v>749.15968299412236</v>
      </c>
      <c r="F68" s="468">
        <f t="shared" si="2"/>
        <v>1158.8403170058775</v>
      </c>
      <c r="G68" s="710"/>
    </row>
    <row r="69" spans="1:7">
      <c r="A69" s="108" t="s">
        <v>75</v>
      </c>
      <c r="B69" s="448">
        <v>0.14837605830612177</v>
      </c>
      <c r="C69" s="413">
        <v>3.5</v>
      </c>
      <c r="D69" s="229">
        <f t="shared" si="0"/>
        <v>4.2000000000000003E-2</v>
      </c>
      <c r="E69" s="424">
        <f t="shared" si="1"/>
        <v>6.2317944488571152E-3</v>
      </c>
      <c r="F69" s="468">
        <f t="shared" si="2"/>
        <v>3.5768205551142886E-2</v>
      </c>
    </row>
    <row r="70" spans="1:7">
      <c r="A70" s="108" t="s">
        <v>76</v>
      </c>
      <c r="B70" s="448">
        <v>0.43747243815706083</v>
      </c>
      <c r="C70" s="413">
        <v>136</v>
      </c>
      <c r="D70" s="229">
        <f t="shared" si="0"/>
        <v>1.6319999999999999</v>
      </c>
      <c r="E70" s="424">
        <f t="shared" si="1"/>
        <v>0.71395501907232317</v>
      </c>
      <c r="F70" s="468">
        <f t="shared" si="2"/>
        <v>0.91804498092767672</v>
      </c>
    </row>
    <row r="71" spans="1:7">
      <c r="A71" s="108" t="s">
        <v>77</v>
      </c>
      <c r="B71" s="448">
        <v>0.32301354087723277</v>
      </c>
      <c r="C71" s="413">
        <v>656</v>
      </c>
      <c r="D71" s="229">
        <f t="shared" si="0"/>
        <v>7.8719999999999999</v>
      </c>
      <c r="E71" s="424">
        <f t="shared" si="1"/>
        <v>2.5427625937855765</v>
      </c>
      <c r="F71" s="468">
        <f t="shared" si="2"/>
        <v>5.3292374062144239</v>
      </c>
    </row>
    <row r="72" spans="1:7">
      <c r="A72" s="108" t="s">
        <v>78</v>
      </c>
      <c r="B72" s="448">
        <v>0.45341541681385022</v>
      </c>
      <c r="C72" s="413">
        <v>87577</v>
      </c>
      <c r="D72" s="229">
        <f t="shared" si="0"/>
        <v>1050.924</v>
      </c>
      <c r="E72" s="424">
        <f t="shared" si="1"/>
        <v>476.50514349967875</v>
      </c>
      <c r="F72" s="468">
        <f t="shared" si="2"/>
        <v>574.41885650032123</v>
      </c>
    </row>
    <row r="73" spans="1:7">
      <c r="A73" s="108" t="s">
        <v>79</v>
      </c>
      <c r="B73" s="448">
        <v>0.78706090179637134</v>
      </c>
      <c r="C73" s="413">
        <v>8230</v>
      </c>
      <c r="D73" s="229">
        <f t="shared" si="0"/>
        <v>98.76</v>
      </c>
      <c r="E73" s="424">
        <f t="shared" si="1"/>
        <v>77.730134661409636</v>
      </c>
      <c r="F73" s="468">
        <f t="shared" si="2"/>
        <v>21.029865338590369</v>
      </c>
    </row>
    <row r="74" spans="1:7">
      <c r="A74" s="108" t="s">
        <v>80</v>
      </c>
      <c r="B74" s="448">
        <v>0.77135059595870725</v>
      </c>
      <c r="C74" s="413">
        <v>12900</v>
      </c>
      <c r="D74" s="229">
        <f t="shared" si="0"/>
        <v>154.80000000000001</v>
      </c>
      <c r="E74" s="424">
        <f t="shared" si="1"/>
        <v>119.4050722544079</v>
      </c>
      <c r="F74" s="468">
        <f t="shared" si="2"/>
        <v>35.394927745592121</v>
      </c>
    </row>
    <row r="75" spans="1:7">
      <c r="A75" s="108" t="s">
        <v>81</v>
      </c>
      <c r="B75" s="448">
        <v>0.81247901031802872</v>
      </c>
      <c r="C75" s="413">
        <v>8100</v>
      </c>
      <c r="D75" s="229">
        <f t="shared" si="0"/>
        <v>97.2</v>
      </c>
      <c r="E75" s="424">
        <f t="shared" si="1"/>
        <v>78.972959802912399</v>
      </c>
      <c r="F75" s="468">
        <f t="shared" si="2"/>
        <v>18.227040197087611</v>
      </c>
    </row>
    <row r="76" spans="1:7">
      <c r="A76" s="108" t="s">
        <v>82</v>
      </c>
      <c r="B76" s="448">
        <v>0.4760252926145826</v>
      </c>
      <c r="C76" s="413">
        <v>125</v>
      </c>
      <c r="D76" s="229">
        <f t="shared" si="0"/>
        <v>1.5</v>
      </c>
      <c r="E76" s="424">
        <f t="shared" si="1"/>
        <v>0.71403793892187384</v>
      </c>
      <c r="F76" s="468">
        <f t="shared" si="2"/>
        <v>0.78596206107812616</v>
      </c>
    </row>
    <row r="77" spans="1:7">
      <c r="A77" s="108" t="s">
        <v>83</v>
      </c>
      <c r="B77" s="448">
        <v>0.80670271072758248</v>
      </c>
      <c r="C77" s="413">
        <v>81618</v>
      </c>
      <c r="D77" s="229">
        <f t="shared" si="0"/>
        <v>979.41600000000005</v>
      </c>
      <c r="E77" s="424">
        <f t="shared" si="1"/>
        <v>790.09754212996597</v>
      </c>
      <c r="F77" s="468">
        <f t="shared" si="2"/>
        <v>189.31845787003408</v>
      </c>
    </row>
    <row r="78" spans="1:7">
      <c r="A78" s="108" t="s">
        <v>84</v>
      </c>
      <c r="B78" s="448">
        <v>0.34276625571631758</v>
      </c>
      <c r="C78" s="413">
        <v>124</v>
      </c>
      <c r="D78" s="229">
        <f t="shared" si="0"/>
        <v>1.488</v>
      </c>
      <c r="E78" s="424">
        <f t="shared" si="1"/>
        <v>0.51003618850588051</v>
      </c>
      <c r="F78" s="468">
        <f t="shared" si="2"/>
        <v>0.97796381149411948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0.4170982730487065</v>
      </c>
      <c r="C80" s="414">
        <v>2353</v>
      </c>
      <c r="D80" s="230">
        <f t="shared" si="0"/>
        <v>28.236000000000001</v>
      </c>
      <c r="E80" s="435">
        <f>B80*D80</f>
        <v>11.777186837803278</v>
      </c>
      <c r="F80" s="469">
        <f>D80*(1-B80)</f>
        <v>16.458813162196723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1727.9999999999998</v>
      </c>
    </row>
    <row r="87" spans="1:3">
      <c r="A87" s="257" t="s">
        <v>428</v>
      </c>
      <c r="B87" s="278" t="s">
        <v>35</v>
      </c>
      <c r="C87" s="289">
        <f>C30</f>
        <v>9024</v>
      </c>
    </row>
    <row r="88" spans="1:3" ht="14.65" thickBot="1">
      <c r="A88" s="255" t="s">
        <v>4</v>
      </c>
      <c r="B88" s="271" t="s">
        <v>35</v>
      </c>
      <c r="C88" s="256">
        <f>C84+C85+C86+C87</f>
        <v>56760</v>
      </c>
    </row>
    <row r="89" spans="1:3" hidden="1"/>
    <row r="90" spans="1:3" ht="14.65" hidden="1" thickBot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2585.1030157553478</v>
      </c>
    </row>
    <row r="94" spans="1:3" hidden="1">
      <c r="A94" s="257" t="s">
        <v>57</v>
      </c>
      <c r="B94" s="278" t="s">
        <v>35</v>
      </c>
      <c r="C94" s="279">
        <f>C92-C93</f>
        <v>9414.8969842446531</v>
      </c>
    </row>
    <row r="95" spans="1:3" hidden="1">
      <c r="A95" s="257" t="s">
        <v>4</v>
      </c>
      <c r="B95" s="278" t="s">
        <v>35</v>
      </c>
      <c r="C95" s="279">
        <f>$C$88</f>
        <v>56760</v>
      </c>
    </row>
    <row r="96" spans="1:3" hidden="1">
      <c r="A96" s="299" t="s">
        <v>59</v>
      </c>
      <c r="B96" s="260" t="s">
        <v>24</v>
      </c>
      <c r="C96" s="300">
        <f>C94/C95</f>
        <v>0.16587203989155486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1727.9999999999998</v>
      </c>
    </row>
    <row r="99" spans="1:3" hidden="1">
      <c r="A99" s="257" t="s">
        <v>33</v>
      </c>
      <c r="B99" s="278" t="s">
        <v>35</v>
      </c>
      <c r="C99" s="295">
        <f>$C$30</f>
        <v>9024</v>
      </c>
    </row>
    <row r="100" spans="1:3" hidden="1">
      <c r="A100" s="257" t="s">
        <v>87</v>
      </c>
      <c r="B100" s="278" t="s">
        <v>35</v>
      </c>
      <c r="C100" s="295">
        <f>SUM($E$66:$E$80)</f>
        <v>2585.1030157553478</v>
      </c>
    </row>
    <row r="101" spans="1:3" hidden="1">
      <c r="A101" s="257" t="s">
        <v>60</v>
      </c>
      <c r="B101" s="278" t="s">
        <v>35</v>
      </c>
      <c r="C101" s="279">
        <f>SUM(C97:C100)</f>
        <v>47345.103015755347</v>
      </c>
    </row>
    <row r="102" spans="1:3" hidden="1">
      <c r="A102" s="257" t="s">
        <v>4</v>
      </c>
      <c r="B102" s="278" t="s">
        <v>35</v>
      </c>
      <c r="C102" s="279">
        <f>$C$88</f>
        <v>56760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0.83412796010844514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1727.9999999999998</v>
      </c>
    </row>
    <row r="109" spans="1:3">
      <c r="A109" s="257" t="s">
        <v>428</v>
      </c>
      <c r="B109" s="278" t="s">
        <v>35</v>
      </c>
      <c r="C109" s="295">
        <f>$C$30</f>
        <v>9024</v>
      </c>
    </row>
    <row r="110" spans="1:3">
      <c r="A110" s="257" t="s">
        <v>336</v>
      </c>
      <c r="B110" s="278" t="s">
        <v>35</v>
      </c>
      <c r="C110" s="279">
        <f>C107+C108+C109</f>
        <v>22752</v>
      </c>
    </row>
    <row r="111" spans="1:3">
      <c r="A111" s="257" t="s">
        <v>4</v>
      </c>
      <c r="B111" s="278" t="s">
        <v>35</v>
      </c>
      <c r="C111" s="279">
        <f>$C$88</f>
        <v>56760</v>
      </c>
    </row>
    <row r="112" spans="1:3">
      <c r="A112" s="299" t="s">
        <v>64</v>
      </c>
      <c r="B112" s="260" t="s">
        <v>24</v>
      </c>
      <c r="C112" s="300">
        <f>C110/C111</f>
        <v>0.40084566596194504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56760</v>
      </c>
    </row>
    <row r="116" spans="1:12" ht="14.65" thickBot="1">
      <c r="A116" s="301" t="s">
        <v>66</v>
      </c>
      <c r="B116" s="277" t="s">
        <v>24</v>
      </c>
      <c r="C116" s="303">
        <f>C114/C115</f>
        <v>0.59915433403805496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94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276.6703641769368</v>
      </c>
      <c r="D123" s="428">
        <f t="shared" ref="D123:D134" si="5">F66</f>
        <v>191.35363582306317</v>
      </c>
      <c r="E123" s="160">
        <f>$C$110</f>
        <v>22752</v>
      </c>
      <c r="F123" s="440">
        <f>$C$88</f>
        <v>56760</v>
      </c>
      <c r="G123" s="443">
        <f t="shared" ref="G123:G143" si="6">B123/E123*1000000</f>
        <v>20570.675105485232</v>
      </c>
      <c r="H123" s="554">
        <f>G123/1000000</f>
        <v>2.0570675105485232E-2</v>
      </c>
      <c r="I123" s="557">
        <f t="shared" ref="I123:I143" si="7">C123/F123*1000000</f>
        <v>4874.3897846535729</v>
      </c>
      <c r="J123" s="432">
        <f>I123/1000000</f>
        <v>4.8743897846535728E-3</v>
      </c>
      <c r="K123" s="431">
        <f t="shared" ref="K123:K143" si="8">D123/F123*1000000</f>
        <v>3371.2761772914582</v>
      </c>
      <c r="L123" s="433">
        <f>K123/1000000</f>
        <v>3.3712761772914583E-3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0.29790586337607322</v>
      </c>
      <c r="D124" s="235">
        <f t="shared" si="5"/>
        <v>4.5294136623926784E-2</v>
      </c>
      <c r="E124" s="119">
        <f t="shared" ref="E124:E143" si="9">$C$110</f>
        <v>22752</v>
      </c>
      <c r="F124" s="441">
        <f t="shared" ref="F124:F143" si="10">$C$88</f>
        <v>56760</v>
      </c>
      <c r="G124" s="444">
        <f t="shared" si="6"/>
        <v>15.084388185654008</v>
      </c>
      <c r="H124" s="555">
        <f t="shared" ref="H124:H143" si="11">G124/1000000</f>
        <v>1.5084388185654009E-5</v>
      </c>
      <c r="I124" s="558">
        <f t="shared" si="7"/>
        <v>5.2485176775206694</v>
      </c>
      <c r="J124" s="427">
        <f t="shared" ref="J124:J143" si="12">I124/1000000</f>
        <v>5.2485176775206698E-6</v>
      </c>
      <c r="K124" s="426">
        <f t="shared" si="8"/>
        <v>0.79799395038630694</v>
      </c>
      <c r="L124" s="434">
        <f t="shared" ref="L124:L143" si="13">K124/1000000</f>
        <v>7.9799395038630695E-7</v>
      </c>
    </row>
    <row r="125" spans="1:12">
      <c r="A125" s="149" t="s">
        <v>74</v>
      </c>
      <c r="B125" s="161">
        <f t="shared" si="3"/>
        <v>1908</v>
      </c>
      <c r="C125" s="235">
        <f t="shared" si="4"/>
        <v>749.15968299412236</v>
      </c>
      <c r="D125" s="235">
        <f t="shared" si="5"/>
        <v>1158.8403170058775</v>
      </c>
      <c r="E125" s="119">
        <f t="shared" si="9"/>
        <v>22752</v>
      </c>
      <c r="F125" s="441">
        <f t="shared" si="10"/>
        <v>56760</v>
      </c>
      <c r="G125" s="444">
        <f t="shared" si="6"/>
        <v>83860.759493670892</v>
      </c>
      <c r="H125" s="555">
        <f t="shared" si="11"/>
        <v>8.3860759493670889E-2</v>
      </c>
      <c r="I125" s="558">
        <f t="shared" si="7"/>
        <v>13198.725916034573</v>
      </c>
      <c r="J125" s="427">
        <f t="shared" si="12"/>
        <v>1.3198725916034573E-2</v>
      </c>
      <c r="K125" s="426">
        <f t="shared" si="8"/>
        <v>20416.496071280435</v>
      </c>
      <c r="L125" s="434">
        <f t="shared" si="13"/>
        <v>2.0416496071280436E-2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6.2317944488571152E-3</v>
      </c>
      <c r="D126" s="235">
        <f t="shared" si="5"/>
        <v>3.5768205551142886E-2</v>
      </c>
      <c r="E126" s="119">
        <f t="shared" si="9"/>
        <v>22752</v>
      </c>
      <c r="F126" s="441">
        <f t="shared" si="10"/>
        <v>56760</v>
      </c>
      <c r="G126" s="444">
        <f t="shared" si="6"/>
        <v>1.8459915611814346</v>
      </c>
      <c r="H126" s="555">
        <f t="shared" si="11"/>
        <v>1.8459915611814346E-6</v>
      </c>
      <c r="I126" s="558">
        <f t="shared" si="7"/>
        <v>0.10979200931742628</v>
      </c>
      <c r="J126" s="427">
        <f t="shared" si="12"/>
        <v>1.0979200931742627E-7</v>
      </c>
      <c r="K126" s="426">
        <f t="shared" si="8"/>
        <v>0.63016570738447653</v>
      </c>
      <c r="L126" s="434">
        <f t="shared" si="13"/>
        <v>6.3016570738447654E-7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0.71395501907232317</v>
      </c>
      <c r="D127" s="235">
        <f t="shared" si="5"/>
        <v>0.91804498092767672</v>
      </c>
      <c r="E127" s="119">
        <f t="shared" si="9"/>
        <v>22752</v>
      </c>
      <c r="F127" s="441">
        <f t="shared" si="10"/>
        <v>56760</v>
      </c>
      <c r="G127" s="444">
        <f t="shared" si="6"/>
        <v>71.729957805907162</v>
      </c>
      <c r="H127" s="555">
        <f t="shared" si="11"/>
        <v>7.1729957805907168E-5</v>
      </c>
      <c r="I127" s="558">
        <f t="shared" si="7"/>
        <v>12.578488708109994</v>
      </c>
      <c r="J127" s="427">
        <f t="shared" si="12"/>
        <v>1.2578488708109993E-5</v>
      </c>
      <c r="K127" s="426">
        <f t="shared" si="8"/>
        <v>16.174153998021083</v>
      </c>
      <c r="L127" s="434">
        <f t="shared" si="13"/>
        <v>1.6174153998021083E-5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2.5427625937855765</v>
      </c>
      <c r="D128" s="235">
        <f t="shared" si="5"/>
        <v>5.3292374062144239</v>
      </c>
      <c r="E128" s="119">
        <f t="shared" si="9"/>
        <v>22752</v>
      </c>
      <c r="F128" s="441">
        <f t="shared" si="10"/>
        <v>56760</v>
      </c>
      <c r="G128" s="444">
        <f t="shared" si="6"/>
        <v>345.99156118143458</v>
      </c>
      <c r="H128" s="555">
        <f t="shared" si="11"/>
        <v>3.4599156118143458E-4</v>
      </c>
      <c r="I128" s="558">
        <f t="shared" si="7"/>
        <v>44.798495309823402</v>
      </c>
      <c r="J128" s="427">
        <f t="shared" si="12"/>
        <v>4.4798495309823403E-5</v>
      </c>
      <c r="K128" s="426">
        <f t="shared" si="8"/>
        <v>93.8907224491618</v>
      </c>
      <c r="L128" s="434">
        <f t="shared" si="13"/>
        <v>9.3890722449161798E-5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476.50514349967875</v>
      </c>
      <c r="D129" s="235">
        <f t="shared" si="5"/>
        <v>574.41885650032123</v>
      </c>
      <c r="E129" s="119">
        <f t="shared" si="9"/>
        <v>22752</v>
      </c>
      <c r="F129" s="441">
        <f t="shared" si="10"/>
        <v>56760</v>
      </c>
      <c r="G129" s="444">
        <f t="shared" si="6"/>
        <v>46190.400843881856</v>
      </c>
      <c r="H129" s="555">
        <f t="shared" si="11"/>
        <v>4.619040084388186E-2</v>
      </c>
      <c r="I129" s="558">
        <f t="shared" si="7"/>
        <v>8395.087094779401</v>
      </c>
      <c r="J129" s="427">
        <f t="shared" si="12"/>
        <v>8.3950870947794003E-3</v>
      </c>
      <c r="K129" s="426">
        <f t="shared" si="8"/>
        <v>10120.134892535611</v>
      </c>
      <c r="L129" s="434">
        <f t="shared" si="13"/>
        <v>1.0120134892535611E-2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77.730134661409636</v>
      </c>
      <c r="D130" s="235">
        <f t="shared" si="5"/>
        <v>21.029865338590369</v>
      </c>
      <c r="E130" s="119">
        <f t="shared" si="9"/>
        <v>22752</v>
      </c>
      <c r="F130" s="441">
        <f t="shared" si="10"/>
        <v>56760</v>
      </c>
      <c r="G130" s="444">
        <f t="shared" si="6"/>
        <v>4340.7172995780593</v>
      </c>
      <c r="H130" s="555">
        <f t="shared" si="11"/>
        <v>4.3407172995780594E-3</v>
      </c>
      <c r="I130" s="558">
        <f t="shared" si="7"/>
        <v>1369.4526895949548</v>
      </c>
      <c r="J130" s="427">
        <f t="shared" si="12"/>
        <v>1.3694526895949549E-3</v>
      </c>
      <c r="K130" s="426">
        <f t="shared" si="8"/>
        <v>370.50502710694803</v>
      </c>
      <c r="L130" s="434">
        <f t="shared" si="13"/>
        <v>3.7050502710694801E-4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119.4050722544079</v>
      </c>
      <c r="D131" s="235">
        <f t="shared" si="5"/>
        <v>35.394927745592121</v>
      </c>
      <c r="E131" s="119">
        <f t="shared" si="9"/>
        <v>22752</v>
      </c>
      <c r="F131" s="441">
        <f t="shared" si="10"/>
        <v>56760</v>
      </c>
      <c r="G131" s="444">
        <f t="shared" si="6"/>
        <v>6803.7974683544307</v>
      </c>
      <c r="H131" s="555">
        <f t="shared" si="11"/>
        <v>6.8037974683544311E-3</v>
      </c>
      <c r="I131" s="558">
        <f t="shared" si="7"/>
        <v>2103.6834435237474</v>
      </c>
      <c r="J131" s="427">
        <f t="shared" si="12"/>
        <v>2.1036834435237475E-3</v>
      </c>
      <c r="K131" s="426">
        <f t="shared" si="8"/>
        <v>623.58928374898028</v>
      </c>
      <c r="L131" s="434">
        <f t="shared" si="13"/>
        <v>6.2358928374898028E-4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78.972959802912399</v>
      </c>
      <c r="D132" s="235">
        <f t="shared" si="5"/>
        <v>18.227040197087611</v>
      </c>
      <c r="E132" s="119">
        <f t="shared" si="9"/>
        <v>22752</v>
      </c>
      <c r="F132" s="441">
        <f t="shared" si="10"/>
        <v>56760</v>
      </c>
      <c r="G132" s="444">
        <f t="shared" si="6"/>
        <v>4272.1518987341778</v>
      </c>
      <c r="H132" s="555">
        <f t="shared" si="11"/>
        <v>4.2721518987341774E-3</v>
      </c>
      <c r="I132" s="558">
        <f t="shared" si="7"/>
        <v>1391.348833737005</v>
      </c>
      <c r="J132" s="427">
        <f t="shared" si="12"/>
        <v>1.3913488337370049E-3</v>
      </c>
      <c r="K132" s="426">
        <f t="shared" si="8"/>
        <v>321.12473920168446</v>
      </c>
      <c r="L132" s="434">
        <f t="shared" si="13"/>
        <v>3.2112473920168445E-4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0.71403793892187384</v>
      </c>
      <c r="D133" s="235">
        <f t="shared" si="5"/>
        <v>0.78596206107812616</v>
      </c>
      <c r="E133" s="119">
        <f t="shared" si="9"/>
        <v>22752</v>
      </c>
      <c r="F133" s="441">
        <f t="shared" si="10"/>
        <v>56760</v>
      </c>
      <c r="G133" s="444">
        <f t="shared" si="6"/>
        <v>65.928270042194086</v>
      </c>
      <c r="H133" s="555">
        <f t="shared" si="11"/>
        <v>6.5928270042194087E-5</v>
      </c>
      <c r="I133" s="558">
        <f t="shared" si="7"/>
        <v>12.57994959340863</v>
      </c>
      <c r="J133" s="427">
        <f t="shared" si="12"/>
        <v>1.257994959340863E-5</v>
      </c>
      <c r="K133" s="426">
        <f t="shared" si="8"/>
        <v>13.847111717373611</v>
      </c>
      <c r="L133" s="434">
        <f t="shared" si="13"/>
        <v>1.3847111717373611E-5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790.09754212996597</v>
      </c>
      <c r="D134" s="235">
        <f t="shared" si="5"/>
        <v>189.31845787003408</v>
      </c>
      <c r="E134" s="119">
        <f t="shared" si="9"/>
        <v>22752</v>
      </c>
      <c r="F134" s="441">
        <f t="shared" si="10"/>
        <v>56760</v>
      </c>
      <c r="G134" s="444">
        <f t="shared" si="6"/>
        <v>43047.468354430377</v>
      </c>
      <c r="H134" s="555">
        <f t="shared" si="11"/>
        <v>4.3047468354430379E-2</v>
      </c>
      <c r="I134" s="558">
        <f t="shared" si="7"/>
        <v>13919.970791577976</v>
      </c>
      <c r="J134" s="427">
        <f t="shared" si="12"/>
        <v>1.3919970791577977E-2</v>
      </c>
      <c r="K134" s="426">
        <f t="shared" si="8"/>
        <v>3335.4203289294237</v>
      </c>
      <c r="L134" s="434">
        <f t="shared" si="13"/>
        <v>3.3354203289294236E-3</v>
      </c>
    </row>
    <row r="135" spans="1:12">
      <c r="A135" s="150" t="s">
        <v>96</v>
      </c>
      <c r="B135" s="161">
        <f>$C$30*31/98</f>
        <v>2854.5306122448978</v>
      </c>
      <c r="C135" s="235">
        <f>$C$30*31/98</f>
        <v>2854.5306122448978</v>
      </c>
      <c r="D135" s="235">
        <v>0</v>
      </c>
      <c r="E135" s="119">
        <f t="shared" si="9"/>
        <v>22752</v>
      </c>
      <c r="F135" s="441">
        <f t="shared" si="10"/>
        <v>56760</v>
      </c>
      <c r="G135" s="444">
        <f t="shared" si="6"/>
        <v>125462.84336519417</v>
      </c>
      <c r="H135" s="555">
        <f t="shared" si="11"/>
        <v>0.12546284336519417</v>
      </c>
      <c r="I135" s="558">
        <f t="shared" si="7"/>
        <v>50291.237002200454</v>
      </c>
      <c r="J135" s="427">
        <f t="shared" si="12"/>
        <v>5.0291237002200458E-2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3833.946612244898</v>
      </c>
      <c r="C136" s="235">
        <f>C134+C135</f>
        <v>3644.6281543748637</v>
      </c>
      <c r="D136" s="235">
        <f>D134+D135</f>
        <v>189.31845787003408</v>
      </c>
      <c r="E136" s="119">
        <f t="shared" si="9"/>
        <v>22752</v>
      </c>
      <c r="F136" s="441">
        <f t="shared" si="10"/>
        <v>56760</v>
      </c>
      <c r="G136" s="444">
        <f t="shared" si="6"/>
        <v>168510.31171962456</v>
      </c>
      <c r="H136" s="555">
        <f t="shared" si="11"/>
        <v>0.16851031171962455</v>
      </c>
      <c r="I136" s="558">
        <f t="shared" si="7"/>
        <v>64211.207793778427</v>
      </c>
      <c r="J136" s="427">
        <f t="shared" si="12"/>
        <v>6.4211207793778424E-2</v>
      </c>
      <c r="K136" s="426">
        <f t="shared" si="8"/>
        <v>3335.4203289294237</v>
      </c>
      <c r="L136" s="434">
        <f t="shared" si="13"/>
        <v>3.3354203289294236E-3</v>
      </c>
    </row>
    <row r="137" spans="1:12">
      <c r="A137" s="150" t="s">
        <v>84</v>
      </c>
      <c r="B137" s="161">
        <f>D78</f>
        <v>1.488</v>
      </c>
      <c r="C137" s="235">
        <f>E78</f>
        <v>0.51003618850588051</v>
      </c>
      <c r="D137" s="235">
        <f>F78</f>
        <v>0.97796381149411948</v>
      </c>
      <c r="E137" s="119">
        <f t="shared" si="9"/>
        <v>22752</v>
      </c>
      <c r="F137" s="441">
        <f t="shared" si="10"/>
        <v>56760</v>
      </c>
      <c r="G137" s="444">
        <f t="shared" si="6"/>
        <v>65.400843881856545</v>
      </c>
      <c r="H137" s="555">
        <f t="shared" si="11"/>
        <v>6.5400843881856542E-5</v>
      </c>
      <c r="I137" s="558">
        <f t="shared" si="7"/>
        <v>8.9858384162417284</v>
      </c>
      <c r="J137" s="427">
        <f t="shared" si="12"/>
        <v>8.985838416241728E-6</v>
      </c>
      <c r="K137" s="426">
        <f t="shared" si="8"/>
        <v>17.229806404054255</v>
      </c>
      <c r="L137" s="434">
        <f t="shared" si="13"/>
        <v>1.7229806404054254E-5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22752</v>
      </c>
      <c r="F138" s="441">
        <f t="shared" si="10"/>
        <v>56760</v>
      </c>
      <c r="G138" s="444">
        <f t="shared" si="6"/>
        <v>9968.354430379748</v>
      </c>
      <c r="H138" s="555">
        <f t="shared" si="11"/>
        <v>9.9683544303797479E-3</v>
      </c>
      <c r="I138" s="558">
        <f t="shared" si="7"/>
        <v>0</v>
      </c>
      <c r="J138" s="427">
        <f t="shared" si="12"/>
        <v>0</v>
      </c>
      <c r="K138" s="426">
        <f t="shared" si="8"/>
        <v>3995.771670190275</v>
      </c>
      <c r="L138" s="434">
        <f t="shared" si="13"/>
        <v>3.9957716701902752E-3</v>
      </c>
    </row>
    <row r="139" spans="1:12">
      <c r="A139" s="150" t="s">
        <v>250</v>
      </c>
      <c r="B139" s="161">
        <f>$C$25*32/98</f>
        <v>564.24489795918362</v>
      </c>
      <c r="C139" s="235">
        <v>0</v>
      </c>
      <c r="D139" s="235">
        <f>$C$25*32/98</f>
        <v>564.24489795918362</v>
      </c>
      <c r="E139" s="119">
        <f t="shared" si="9"/>
        <v>22752</v>
      </c>
      <c r="F139" s="441">
        <f t="shared" si="10"/>
        <v>56760</v>
      </c>
      <c r="G139" s="444">
        <f t="shared" si="6"/>
        <v>24799.79333505554</v>
      </c>
      <c r="H139" s="555">
        <f t="shared" si="11"/>
        <v>2.4799793335055539E-2</v>
      </c>
      <c r="I139" s="558">
        <f t="shared" si="7"/>
        <v>0</v>
      </c>
      <c r="J139" s="427">
        <f t="shared" si="12"/>
        <v>0</v>
      </c>
      <c r="K139" s="426">
        <f t="shared" si="8"/>
        <v>9940.8896751089433</v>
      </c>
      <c r="L139" s="434">
        <f t="shared" si="13"/>
        <v>9.9408896751089441E-3</v>
      </c>
    </row>
    <row r="140" spans="1:12">
      <c r="A140" s="150" t="s">
        <v>251</v>
      </c>
      <c r="B140" s="161">
        <f>B138+B139</f>
        <v>791.04489795918357</v>
      </c>
      <c r="C140" s="235">
        <v>0</v>
      </c>
      <c r="D140" s="235">
        <f>D138+D139</f>
        <v>791.04489795918357</v>
      </c>
      <c r="E140" s="119">
        <f t="shared" si="9"/>
        <v>22752</v>
      </c>
      <c r="F140" s="441">
        <f t="shared" si="10"/>
        <v>56760</v>
      </c>
      <c r="G140" s="444">
        <f t="shared" si="6"/>
        <v>34768.147765435286</v>
      </c>
      <c r="H140" s="555">
        <f t="shared" si="11"/>
        <v>3.4768147765435284E-2</v>
      </c>
      <c r="I140" s="558">
        <f t="shared" si="7"/>
        <v>0</v>
      </c>
      <c r="J140" s="427">
        <f t="shared" si="12"/>
        <v>0</v>
      </c>
      <c r="K140" s="426">
        <f t="shared" si="8"/>
        <v>13936.661345299217</v>
      </c>
      <c r="L140" s="434">
        <f t="shared" si="13"/>
        <v>1.3936661345299218E-2</v>
      </c>
    </row>
    <row r="141" spans="1:12">
      <c r="A141" s="151" t="s">
        <v>238</v>
      </c>
      <c r="B141" s="161">
        <f>B140/32*96</f>
        <v>2373.1346938775505</v>
      </c>
      <c r="C141" s="235">
        <v>0</v>
      </c>
      <c r="D141" s="235">
        <f>D140/32*96</f>
        <v>2373.1346938775505</v>
      </c>
      <c r="E141" s="119">
        <f t="shared" si="9"/>
        <v>22752</v>
      </c>
      <c r="F141" s="441">
        <f t="shared" si="10"/>
        <v>56760</v>
      </c>
      <c r="G141" s="444">
        <f t="shared" si="6"/>
        <v>104304.44329630584</v>
      </c>
      <c r="H141" s="555">
        <f t="shared" si="11"/>
        <v>0.10430444329630584</v>
      </c>
      <c r="I141" s="558">
        <f t="shared" si="7"/>
        <v>0</v>
      </c>
      <c r="J141" s="427">
        <f t="shared" si="12"/>
        <v>0</v>
      </c>
      <c r="K141" s="426">
        <f t="shared" si="8"/>
        <v>41809.984035897651</v>
      </c>
      <c r="L141" s="434">
        <f t="shared" si="13"/>
        <v>4.1809984035897647E-2</v>
      </c>
    </row>
    <row r="142" spans="1:12">
      <c r="A142" s="151" t="s">
        <v>239</v>
      </c>
      <c r="B142" s="161">
        <f>B140/32*136</f>
        <v>3361.9408163265302</v>
      </c>
      <c r="C142" s="235">
        <v>0</v>
      </c>
      <c r="D142" s="235">
        <f>D140/32*136</f>
        <v>3361.9408163265302</v>
      </c>
      <c r="E142" s="119">
        <f t="shared" si="9"/>
        <v>22752</v>
      </c>
      <c r="F142" s="441">
        <f t="shared" si="10"/>
        <v>56760</v>
      </c>
      <c r="G142" s="444">
        <f t="shared" si="6"/>
        <v>147764.62800309993</v>
      </c>
      <c r="H142" s="555">
        <f t="shared" si="11"/>
        <v>0.14776462800309995</v>
      </c>
      <c r="I142" s="558">
        <f t="shared" si="7"/>
        <v>0</v>
      </c>
      <c r="J142" s="427">
        <f t="shared" si="12"/>
        <v>0</v>
      </c>
      <c r="K142" s="426">
        <f t="shared" si="8"/>
        <v>59230.810717521679</v>
      </c>
      <c r="L142" s="434">
        <f t="shared" si="13"/>
        <v>5.9230810717521676E-2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11.777186837803278</v>
      </c>
      <c r="D143" s="236">
        <f>F80</f>
        <v>16.458813162196723</v>
      </c>
      <c r="E143" s="135">
        <f t="shared" si="9"/>
        <v>22752</v>
      </c>
      <c r="F143" s="442">
        <f t="shared" si="10"/>
        <v>56760</v>
      </c>
      <c r="G143" s="445">
        <f t="shared" si="6"/>
        <v>1241.0337552742617</v>
      </c>
      <c r="H143" s="556">
        <f t="shared" si="11"/>
        <v>1.2410337552742616E-3</v>
      </c>
      <c r="I143" s="559">
        <f t="shared" si="7"/>
        <v>207.49095908744323</v>
      </c>
      <c r="J143" s="438">
        <f t="shared" si="12"/>
        <v>2.0749095908744323E-4</v>
      </c>
      <c r="K143" s="437">
        <f t="shared" si="8"/>
        <v>289.97204302672168</v>
      </c>
      <c r="L143" s="439">
        <f t="shared" si="13"/>
        <v>2.8997204302672167E-4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56760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43661.538461538461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111</v>
      </c>
      <c r="B159" s="278" t="s">
        <v>110</v>
      </c>
      <c r="C159" s="289">
        <f>C157*C158</f>
        <v>873.23076923076928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891.28800015241927</v>
      </c>
    </row>
    <row r="162" spans="1:3" hidden="1">
      <c r="A162" s="79"/>
      <c r="B162" s="79"/>
      <c r="C162" s="79"/>
    </row>
    <row r="163" spans="1:3" ht="14.65" hidden="1" thickBot="1">
      <c r="A163" s="79" t="s">
        <v>56</v>
      </c>
      <c r="B163" s="79"/>
      <c r="C163" s="79"/>
    </row>
    <row r="164" spans="1:3" ht="14.65" hidden="1" thickBot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2585.1030157553478</v>
      </c>
    </row>
    <row r="167" spans="1:3" hidden="1">
      <c r="A167" s="257" t="s">
        <v>57</v>
      </c>
      <c r="B167" s="278" t="s">
        <v>35</v>
      </c>
      <c r="C167" s="279">
        <f>C165-C166</f>
        <v>9414.8969842446531</v>
      </c>
    </row>
    <row r="168" spans="1:3" hidden="1">
      <c r="A168" s="257" t="s">
        <v>114</v>
      </c>
      <c r="B168" s="278" t="s">
        <v>35</v>
      </c>
      <c r="C168" s="279">
        <f>$C$88+$C$161</f>
        <v>57651.288000152417</v>
      </c>
    </row>
    <row r="169" spans="1:3" hidden="1">
      <c r="A169" s="299" t="s">
        <v>59</v>
      </c>
      <c r="B169" s="260" t="s">
        <v>24</v>
      </c>
      <c r="C169" s="300">
        <f>C167/C168</f>
        <v>0.16330766077975156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1727.9999999999998</v>
      </c>
    </row>
    <row r="172" spans="1:3" hidden="1">
      <c r="A172" s="257" t="s">
        <v>33</v>
      </c>
      <c r="B172" s="278" t="s">
        <v>35</v>
      </c>
      <c r="C172" s="295">
        <f>$C$30</f>
        <v>9024</v>
      </c>
    </row>
    <row r="173" spans="1:3" hidden="1">
      <c r="A173" s="257" t="s">
        <v>87</v>
      </c>
      <c r="B173" s="278" t="s">
        <v>35</v>
      </c>
      <c r="C173" s="295">
        <f>SUM($E$66:$E$80)</f>
        <v>2585.1030157553478</v>
      </c>
    </row>
    <row r="174" spans="1:3" hidden="1">
      <c r="A174" s="257" t="s">
        <v>113</v>
      </c>
      <c r="B174" s="278" t="s">
        <v>35</v>
      </c>
      <c r="C174" s="295">
        <f>$C$161</f>
        <v>891.28800015241927</v>
      </c>
    </row>
    <row r="175" spans="1:3" hidden="1">
      <c r="A175" s="257" t="s">
        <v>60</v>
      </c>
      <c r="B175" s="278" t="s">
        <v>35</v>
      </c>
      <c r="C175" s="279">
        <f>C170+C171+C172+C173+C174</f>
        <v>48236.391015907764</v>
      </c>
    </row>
    <row r="176" spans="1:3" hidden="1">
      <c r="A176" s="257" t="s">
        <v>114</v>
      </c>
      <c r="B176" s="278" t="s">
        <v>35</v>
      </c>
      <c r="C176" s="279">
        <f>$C$88+$C$161</f>
        <v>57651.288000152417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0.83669233922024844</v>
      </c>
    </row>
    <row r="178" spans="1:3">
      <c r="A178" s="83"/>
      <c r="B178" s="77"/>
      <c r="C178" s="96"/>
    </row>
    <row r="179" spans="1:3" ht="14.65" thickBot="1">
      <c r="A179" s="79" t="s">
        <v>47</v>
      </c>
      <c r="B179" s="79"/>
      <c r="C179" s="79"/>
    </row>
    <row r="180" spans="1:3" ht="14.65" thickBot="1">
      <c r="A180" s="103" t="s">
        <v>53</v>
      </c>
      <c r="B180" s="102" t="s">
        <v>18</v>
      </c>
      <c r="C180" s="17" t="s">
        <v>106</v>
      </c>
    </row>
    <row r="181" spans="1:3">
      <c r="A181" s="308" t="s">
        <v>55</v>
      </c>
      <c r="B181" s="309" t="s">
        <v>35</v>
      </c>
      <c r="C181" s="294">
        <f>$C$22</f>
        <v>12000</v>
      </c>
    </row>
    <row r="182" spans="1:3">
      <c r="A182" s="282" t="s">
        <v>32</v>
      </c>
      <c r="B182" s="288" t="s">
        <v>35</v>
      </c>
      <c r="C182" s="295">
        <f>$C$25</f>
        <v>1727.9999999999998</v>
      </c>
    </row>
    <row r="183" spans="1:3">
      <c r="A183" s="282" t="s">
        <v>33</v>
      </c>
      <c r="B183" s="288" t="s">
        <v>35</v>
      </c>
      <c r="C183" s="295">
        <f>$C$30</f>
        <v>9024</v>
      </c>
    </row>
    <row r="184" spans="1:3">
      <c r="A184" s="282" t="s">
        <v>115</v>
      </c>
      <c r="B184" s="288" t="s">
        <v>24</v>
      </c>
      <c r="C184" s="312">
        <f>$B$147</f>
        <v>0.05</v>
      </c>
    </row>
    <row r="185" spans="1:3">
      <c r="A185" s="282" t="s">
        <v>113</v>
      </c>
      <c r="B185" s="288" t="s">
        <v>35</v>
      </c>
      <c r="C185" s="295">
        <f>$C$161</f>
        <v>891.28800015241927</v>
      </c>
    </row>
    <row r="186" spans="1:3">
      <c r="A186" s="282" t="s">
        <v>116</v>
      </c>
      <c r="B186" s="288" t="s">
        <v>35</v>
      </c>
      <c r="C186" s="295">
        <f>C185*C184</f>
        <v>44.564400007620968</v>
      </c>
    </row>
    <row r="187" spans="1:3">
      <c r="A187" s="282" t="s">
        <v>63</v>
      </c>
      <c r="B187" s="288" t="s">
        <v>35</v>
      </c>
      <c r="C187" s="279">
        <f>C181+C182+C183+C186</f>
        <v>22796.564400007621</v>
      </c>
    </row>
    <row r="188" spans="1:3">
      <c r="A188" s="282" t="s">
        <v>114</v>
      </c>
      <c r="B188" s="288" t="s">
        <v>35</v>
      </c>
      <c r="C188" s="279">
        <f>$C$88+$C$161</f>
        <v>57651.288000152417</v>
      </c>
    </row>
    <row r="189" spans="1:3">
      <c r="A189" s="310" t="s">
        <v>64</v>
      </c>
      <c r="B189" s="283" t="s">
        <v>24</v>
      </c>
      <c r="C189" s="300">
        <f>C187/C188</f>
        <v>0.3954215975182957</v>
      </c>
    </row>
    <row r="190" spans="1:3">
      <c r="A190" s="282" t="s">
        <v>34</v>
      </c>
      <c r="B190" s="288" t="s">
        <v>35</v>
      </c>
      <c r="C190" s="279">
        <f>$C$24</f>
        <v>34008</v>
      </c>
    </row>
    <row r="191" spans="1:3">
      <c r="A191" s="282" t="s">
        <v>117</v>
      </c>
      <c r="B191" s="288" t="s">
        <v>24</v>
      </c>
      <c r="C191" s="312">
        <f>1-$B$147</f>
        <v>0.95</v>
      </c>
    </row>
    <row r="192" spans="1:3">
      <c r="A192" s="282" t="s">
        <v>113</v>
      </c>
      <c r="B192" s="288" t="s">
        <v>35</v>
      </c>
      <c r="C192" s="295">
        <f>$C$161</f>
        <v>891.28800015241927</v>
      </c>
    </row>
    <row r="193" spans="1:3">
      <c r="A193" s="282" t="s">
        <v>118</v>
      </c>
      <c r="B193" s="81" t="s">
        <v>35</v>
      </c>
      <c r="C193" s="84">
        <f>C191*C192</f>
        <v>846.7236001447983</v>
      </c>
    </row>
    <row r="194" spans="1:3">
      <c r="A194" s="282" t="s">
        <v>65</v>
      </c>
      <c r="B194" s="81" t="s">
        <v>35</v>
      </c>
      <c r="C194" s="84">
        <f>C190+C193</f>
        <v>34854.723600144796</v>
      </c>
    </row>
    <row r="195" spans="1:3">
      <c r="A195" s="282" t="s">
        <v>114</v>
      </c>
      <c r="B195" s="81" t="s">
        <v>35</v>
      </c>
      <c r="C195" s="84">
        <f>$C$88+$C$161</f>
        <v>57651.288000152417</v>
      </c>
    </row>
    <row r="196" spans="1:3" ht="14.65" thickBot="1">
      <c r="A196" s="311" t="s">
        <v>66</v>
      </c>
      <c r="B196" s="284" t="s">
        <v>24</v>
      </c>
      <c r="C196" s="303">
        <f>C194/C195</f>
        <v>0.60457840248170425</v>
      </c>
    </row>
    <row r="197" spans="1:3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57">
        <v>1.8</v>
      </c>
      <c r="C199" s="1058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6">
        <v>2.5000000000000001E-2</v>
      </c>
    </row>
    <row r="205" spans="1:3">
      <c r="A205" s="232" t="s">
        <v>72</v>
      </c>
      <c r="B205" s="704" t="s">
        <v>160</v>
      </c>
      <c r="C205" s="706">
        <v>2.5000000000000001E-2</v>
      </c>
    </row>
    <row r="206" spans="1:3">
      <c r="A206" s="232" t="s">
        <v>78</v>
      </c>
      <c r="B206" s="704" t="s">
        <v>160</v>
      </c>
      <c r="C206" s="706">
        <v>2.5000000000000001E-2</v>
      </c>
    </row>
    <row r="207" spans="1:3">
      <c r="A207" s="232" t="s">
        <v>80</v>
      </c>
      <c r="B207" s="704" t="s">
        <v>160</v>
      </c>
      <c r="C207" s="706">
        <v>2.5000000000000001E-2</v>
      </c>
    </row>
    <row r="208" spans="1:3">
      <c r="A208" s="232" t="s">
        <v>83</v>
      </c>
      <c r="B208" s="704" t="s">
        <v>160</v>
      </c>
      <c r="C208" s="706">
        <v>2.5000000000000001E-2</v>
      </c>
    </row>
    <row r="209" spans="1:4">
      <c r="A209" s="232" t="s">
        <v>79</v>
      </c>
      <c r="B209" s="704" t="s">
        <v>160</v>
      </c>
      <c r="C209" s="706">
        <v>2.5000000000000001E-2</v>
      </c>
    </row>
    <row r="210" spans="1:4">
      <c r="A210" s="232" t="s">
        <v>75</v>
      </c>
      <c r="B210" s="704" t="s">
        <v>322</v>
      </c>
      <c r="C210" s="740">
        <v>2.5000000000000001E-2</v>
      </c>
    </row>
    <row r="211" spans="1:4" ht="14.65" thickBot="1">
      <c r="A211" s="233" t="s">
        <v>84</v>
      </c>
      <c r="B211" s="708" t="s">
        <v>323</v>
      </c>
      <c r="C211" s="741">
        <v>2.5000000000000001E-2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2.5000000000000001E-2</v>
      </c>
      <c r="C216" s="428">
        <f>E66</f>
        <v>276.6703641769368</v>
      </c>
      <c r="D216" s="122">
        <f>C216*B216</f>
        <v>6.91675910442342</v>
      </c>
    </row>
    <row r="217" spans="1:4">
      <c r="A217" s="185" t="s">
        <v>73</v>
      </c>
      <c r="B217" s="352">
        <f>C202</f>
        <v>0.9</v>
      </c>
      <c r="C217" s="235">
        <f>E67</f>
        <v>0.29790586337607322</v>
      </c>
      <c r="D217" s="87">
        <f>C217*B217</f>
        <v>0.26811527703846588</v>
      </c>
    </row>
    <row r="218" spans="1:4">
      <c r="A218" s="185" t="s">
        <v>75</v>
      </c>
      <c r="B218" s="400">
        <f>C210</f>
        <v>2.5000000000000001E-2</v>
      </c>
      <c r="C218" s="235">
        <f>E69</f>
        <v>6.2317944488571152E-3</v>
      </c>
      <c r="D218" s="739">
        <f t="shared" ref="D218:D220" si="14">C218*B218</f>
        <v>1.5579486122142789E-4</v>
      </c>
    </row>
    <row r="219" spans="1:4">
      <c r="A219" s="186" t="s">
        <v>77</v>
      </c>
      <c r="B219" s="352">
        <f>C201</f>
        <v>0.99</v>
      </c>
      <c r="C219" s="235">
        <f>E71</f>
        <v>2.5427625937855765</v>
      </c>
      <c r="D219" s="87">
        <f t="shared" si="14"/>
        <v>2.5173349678477206</v>
      </c>
    </row>
    <row r="220" spans="1:4">
      <c r="A220" s="186" t="s">
        <v>78</v>
      </c>
      <c r="B220" s="400">
        <f>C206</f>
        <v>2.5000000000000001E-2</v>
      </c>
      <c r="C220" s="235">
        <f>E72</f>
        <v>476.50514349967875</v>
      </c>
      <c r="D220" s="87">
        <f t="shared" si="14"/>
        <v>11.91262858749197</v>
      </c>
    </row>
    <row r="221" spans="1:4">
      <c r="A221" s="186" t="s">
        <v>79</v>
      </c>
      <c r="B221" s="400">
        <f>C209</f>
        <v>2.5000000000000001E-2</v>
      </c>
      <c r="C221" s="235">
        <f>E73</f>
        <v>77.730134661409636</v>
      </c>
      <c r="D221" s="87">
        <f t="shared" ref="D221:D234" si="15">C221*B221</f>
        <v>1.9432533665352409</v>
      </c>
    </row>
    <row r="222" spans="1:4">
      <c r="A222" s="186" t="s">
        <v>80</v>
      </c>
      <c r="B222" s="400">
        <f>C207</f>
        <v>2.5000000000000001E-2</v>
      </c>
      <c r="C222" s="235">
        <f>E74</f>
        <v>119.4050722544079</v>
      </c>
      <c r="D222" s="87">
        <f t="shared" si="15"/>
        <v>2.9851268063601974</v>
      </c>
    </row>
    <row r="223" spans="1:4">
      <c r="A223" s="186" t="s">
        <v>82</v>
      </c>
      <c r="B223" s="400">
        <f>C204</f>
        <v>2.5000000000000001E-2</v>
      </c>
      <c r="C223" s="235">
        <f>E76</f>
        <v>0.71403793892187384</v>
      </c>
      <c r="D223" s="87">
        <f t="shared" si="15"/>
        <v>1.7850948473046847E-2</v>
      </c>
    </row>
    <row r="224" spans="1:4">
      <c r="A224" s="186" t="s">
        <v>213</v>
      </c>
      <c r="B224" s="400">
        <f>C208</f>
        <v>2.5000000000000001E-2</v>
      </c>
      <c r="C224" s="235">
        <f>E77</f>
        <v>790.09754212996597</v>
      </c>
      <c r="D224" s="87">
        <f t="shared" si="15"/>
        <v>19.752438553249149</v>
      </c>
    </row>
    <row r="225" spans="1:4">
      <c r="A225" s="406" t="s">
        <v>96</v>
      </c>
      <c r="B225" s="400">
        <f>C208</f>
        <v>2.5000000000000001E-2</v>
      </c>
      <c r="C225" s="235">
        <f>B135</f>
        <v>2854.5306122448978</v>
      </c>
      <c r="D225" s="87">
        <f t="shared" si="15"/>
        <v>71.363265306122443</v>
      </c>
    </row>
    <row r="226" spans="1:4">
      <c r="A226" s="406" t="s">
        <v>274</v>
      </c>
      <c r="B226" s="400">
        <f>C208</f>
        <v>2.5000000000000001E-2</v>
      </c>
      <c r="C226" s="235">
        <f>C224+C225</f>
        <v>3644.6281543748637</v>
      </c>
      <c r="D226" s="87">
        <f t="shared" si="15"/>
        <v>91.115703859371592</v>
      </c>
    </row>
    <row r="227" spans="1:4">
      <c r="A227" s="406" t="s">
        <v>84</v>
      </c>
      <c r="B227" s="400">
        <f>C211</f>
        <v>2.5000000000000001E-2</v>
      </c>
      <c r="C227" s="235">
        <f>E78</f>
        <v>0.51003618850588051</v>
      </c>
      <c r="D227" s="87">
        <f t="shared" si="15"/>
        <v>1.2750904712647013E-2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5"/>
        <v>226.8</v>
      </c>
    </row>
    <row r="229" spans="1:4">
      <c r="A229" s="186" t="s">
        <v>250</v>
      </c>
      <c r="B229" s="396">
        <v>1</v>
      </c>
      <c r="C229" s="235">
        <f>B139</f>
        <v>564.24489795918362</v>
      </c>
      <c r="D229" s="87">
        <f t="shared" si="15"/>
        <v>564.24489795918362</v>
      </c>
    </row>
    <row r="230" spans="1:4">
      <c r="A230" s="186" t="s">
        <v>251</v>
      </c>
      <c r="B230" s="397">
        <v>1</v>
      </c>
      <c r="C230" s="573">
        <f>C228+C229</f>
        <v>791.04489795918357</v>
      </c>
      <c r="D230" s="87">
        <f>C230*B230</f>
        <v>791.04489795918357</v>
      </c>
    </row>
    <row r="231" spans="1:4">
      <c r="A231" s="406" t="s">
        <v>238</v>
      </c>
      <c r="B231" s="397">
        <v>1</v>
      </c>
      <c r="C231" s="573">
        <f>C230/32*96</f>
        <v>2373.1346938775505</v>
      </c>
      <c r="D231" s="87">
        <f>C231*B231</f>
        <v>2373.1346938775505</v>
      </c>
    </row>
    <row r="232" spans="1:4">
      <c r="A232" s="406" t="s">
        <v>239</v>
      </c>
      <c r="B232" s="397">
        <v>1</v>
      </c>
      <c r="C232" s="573">
        <f>C230/32*136</f>
        <v>3361.9408163265302</v>
      </c>
      <c r="D232" s="87">
        <f>C232*B232</f>
        <v>3361.9408163265302</v>
      </c>
    </row>
    <row r="233" spans="1:4">
      <c r="A233" s="406" t="s">
        <v>248</v>
      </c>
      <c r="B233" s="396">
        <v>1</v>
      </c>
      <c r="C233" s="235">
        <f>C161*B147*32/78</f>
        <v>18.282830772357322</v>
      </c>
      <c r="D233" s="87">
        <f>C233*B233</f>
        <v>18.282830772357322</v>
      </c>
    </row>
    <row r="234" spans="1:4" ht="14.65" thickBot="1">
      <c r="A234" s="187" t="s">
        <v>86</v>
      </c>
      <c r="B234" s="353">
        <f>C203</f>
        <v>0.95</v>
      </c>
      <c r="C234" s="236">
        <f>E80</f>
        <v>11.777186837803278</v>
      </c>
      <c r="D234" s="88">
        <f t="shared" si="15"/>
        <v>11.188327495913114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56760</v>
      </c>
    </row>
    <row r="239" spans="1:4">
      <c r="A239" s="281" t="s">
        <v>334</v>
      </c>
      <c r="B239" s="278" t="s">
        <v>35</v>
      </c>
      <c r="C239" s="289">
        <f>C161</f>
        <v>891.28800015241927</v>
      </c>
    </row>
    <row r="240" spans="1:4" ht="14.65" thickBot="1">
      <c r="A240" s="255" t="s">
        <v>6</v>
      </c>
      <c r="B240" s="271" t="s">
        <v>35</v>
      </c>
      <c r="C240" s="280">
        <f>C238+C239</f>
        <v>57651.288000152417</v>
      </c>
    </row>
    <row r="241" spans="1:4" hidden="1"/>
    <row r="242" spans="1:4" ht="14.65" hidden="1" thickBot="1">
      <c r="A242" s="79" t="s">
        <v>56</v>
      </c>
    </row>
    <row r="243" spans="1:4" ht="14.65" hidden="1" thickBot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2585.1030157553478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891.28800015241927</v>
      </c>
    </row>
    <row r="248" spans="1:4" hidden="1">
      <c r="A248" s="287" t="s">
        <v>122</v>
      </c>
      <c r="B248" s="288" t="s">
        <v>35</v>
      </c>
      <c r="C248" s="289">
        <f>C247*C246</f>
        <v>44.564400007620968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7555.4418478672051</v>
      </c>
    </row>
    <row r="250" spans="1:4" hidden="1">
      <c r="A250" s="282" t="s">
        <v>57</v>
      </c>
      <c r="B250" s="288" t="s">
        <v>35</v>
      </c>
      <c r="C250" s="279">
        <f>C244-C245+C248+C249</f>
        <v>17014.903232119479</v>
      </c>
    </row>
    <row r="251" spans="1:4" hidden="1">
      <c r="A251" s="282" t="s">
        <v>6</v>
      </c>
      <c r="B251" s="288" t="s">
        <v>35</v>
      </c>
      <c r="C251" s="289">
        <f>$C$240</f>
        <v>57651.288000152417</v>
      </c>
    </row>
    <row r="252" spans="1:4" hidden="1">
      <c r="A252" s="310" t="s">
        <v>59</v>
      </c>
      <c r="B252" s="283" t="s">
        <v>24</v>
      </c>
      <c r="C252" s="300">
        <f>C250/C251</f>
        <v>0.2951348325830031</v>
      </c>
    </row>
    <row r="253" spans="1:4" hidden="1">
      <c r="A253" s="282" t="s">
        <v>32</v>
      </c>
      <c r="B253" s="288" t="s">
        <v>35</v>
      </c>
      <c r="C253" s="279">
        <f>$C$25</f>
        <v>1727.9999999999998</v>
      </c>
    </row>
    <row r="254" spans="1:4" hidden="1">
      <c r="A254" s="282" t="s">
        <v>33</v>
      </c>
      <c r="B254" s="288" t="s">
        <v>35</v>
      </c>
      <c r="C254" s="279">
        <f>$C$30</f>
        <v>9024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2585.1030157553478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891.28800015241927</v>
      </c>
    </row>
    <row r="259" spans="1:4" hidden="1">
      <c r="A259" s="287" t="s">
        <v>123</v>
      </c>
      <c r="B259" s="288" t="s">
        <v>35</v>
      </c>
      <c r="C259" s="289">
        <f>C239*C257</f>
        <v>846.7236001447983</v>
      </c>
    </row>
    <row r="260" spans="1:4" hidden="1">
      <c r="A260" s="282" t="s">
        <v>121</v>
      </c>
      <c r="B260" s="288" t="s">
        <v>35</v>
      </c>
      <c r="C260" s="295">
        <f>SUM($D$216:$D$234)</f>
        <v>7555.4418478672051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57651.288000152417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1727.9999999999998</v>
      </c>
      <c r="D268" s="99"/>
    </row>
    <row r="269" spans="1:4">
      <c r="A269" s="282" t="s">
        <v>428</v>
      </c>
      <c r="B269" s="288" t="s">
        <v>35</v>
      </c>
      <c r="C269" s="295">
        <f>C30</f>
        <v>9024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891.28800015241927</v>
      </c>
      <c r="D271" s="99"/>
    </row>
    <row r="272" spans="1:4">
      <c r="A272" s="282" t="s">
        <v>429</v>
      </c>
      <c r="B272" s="288" t="s">
        <v>35</v>
      </c>
      <c r="C272" s="295">
        <f>C271*C270</f>
        <v>44.564400007620968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22796.564400007621</v>
      </c>
      <c r="D273" s="99"/>
    </row>
    <row r="274" spans="1:12">
      <c r="A274" s="282" t="s">
        <v>6</v>
      </c>
      <c r="B274" s="288" t="s">
        <v>35</v>
      </c>
      <c r="C274" s="289">
        <f>C240</f>
        <v>57651.288000152417</v>
      </c>
    </row>
    <row r="275" spans="1:12">
      <c r="A275" s="310" t="s">
        <v>64</v>
      </c>
      <c r="B275" s="283" t="s">
        <v>24</v>
      </c>
      <c r="C275" s="300">
        <f>C273/C274</f>
        <v>0.3954215975182957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891.28800015241927</v>
      </c>
    </row>
    <row r="279" spans="1:12">
      <c r="A279" s="282" t="s">
        <v>356</v>
      </c>
      <c r="B279" s="288" t="s">
        <v>35</v>
      </c>
      <c r="C279" s="279">
        <f>C277*C278</f>
        <v>846.7236001447983</v>
      </c>
    </row>
    <row r="280" spans="1:12">
      <c r="A280" s="282" t="s">
        <v>335</v>
      </c>
      <c r="B280" s="288" t="s">
        <v>35</v>
      </c>
      <c r="C280" s="279">
        <f>C276+C279</f>
        <v>34854.723600144796</v>
      </c>
    </row>
    <row r="281" spans="1:12">
      <c r="A281" s="282" t="s">
        <v>6</v>
      </c>
      <c r="B281" s="288" t="s">
        <v>35</v>
      </c>
      <c r="C281" s="289">
        <f>C240</f>
        <v>57651.288000152417</v>
      </c>
    </row>
    <row r="282" spans="1:12" ht="14.65" thickBot="1">
      <c r="A282" s="311" t="s">
        <v>66</v>
      </c>
      <c r="B282" s="284" t="s">
        <v>24</v>
      </c>
      <c r="C282" s="303">
        <f>C280/C281</f>
        <v>0.60457840248170425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252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269.75360507251344</v>
      </c>
      <c r="D289" s="428">
        <f>D123+D216</f>
        <v>198.27039492748659</v>
      </c>
      <c r="E289" s="160">
        <f>$C$273</f>
        <v>22796.564400007621</v>
      </c>
      <c r="F289" s="429">
        <f>$C$240</f>
        <v>57651.288000152417</v>
      </c>
      <c r="G289" s="404">
        <f t="shared" ref="G289:G308" si="16">B289/E289*1000000</f>
        <v>20530.462037509635</v>
      </c>
      <c r="H289" s="560">
        <f>G289/1000000</f>
        <v>2.0530462037509634E-2</v>
      </c>
      <c r="I289" s="557">
        <f>C289/F289*1000000</f>
        <v>4679.0560008269067</v>
      </c>
      <c r="J289" s="430">
        <f>I289/1000000</f>
        <v>4.6790560008269071E-3</v>
      </c>
      <c r="K289" s="431">
        <f>D289/F289*1000000</f>
        <v>3439.1320958338765</v>
      </c>
      <c r="L289" s="433">
        <f>K289/1000000</f>
        <v>3.4391320958338766E-3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7">B290-D290</f>
        <v>2.9790586337607339E-2</v>
      </c>
      <c r="D290" s="235">
        <f>D124+D217</f>
        <v>0.31340941366239267</v>
      </c>
      <c r="E290" s="119">
        <f t="shared" ref="E290:E310" si="18">$C$273</f>
        <v>22796.564400007621</v>
      </c>
      <c r="F290" s="424">
        <f t="shared" ref="F290:F310" si="19">$C$240</f>
        <v>57651.288000152417</v>
      </c>
      <c r="G290" s="395">
        <f t="shared" si="16"/>
        <v>15.05490011468067</v>
      </c>
      <c r="H290" s="561">
        <f t="shared" ref="H290:H310" si="20">G290/1000000</f>
        <v>1.505490011468067E-5</v>
      </c>
      <c r="I290" s="558">
        <f t="shared" ref="I290:I310" si="21">C290/F290*1000000</f>
        <v>0.5167375677283842</v>
      </c>
      <c r="J290" s="425">
        <f t="shared" ref="J290:J310" si="22">I290/1000000</f>
        <v>5.1673756772838425E-7</v>
      </c>
      <c r="K290" s="426">
        <f t="shared" ref="K290:K310" si="23">D290/F290*1000000</f>
        <v>5.4362950860970205</v>
      </c>
      <c r="L290" s="434">
        <f t="shared" ref="L290:L310" si="24">K290/1000000</f>
        <v>5.4362950860970201E-6</v>
      </c>
    </row>
    <row r="291" spans="1:12">
      <c r="A291" s="149" t="s">
        <v>74</v>
      </c>
      <c r="B291" s="161">
        <f t="shared" ref="B291:B293" si="25">B125</f>
        <v>1908</v>
      </c>
      <c r="C291" s="424">
        <f t="shared" si="17"/>
        <v>749.15968299412248</v>
      </c>
      <c r="D291" s="235">
        <f>D125</f>
        <v>1158.8403170058775</v>
      </c>
      <c r="E291" s="119">
        <f t="shared" si="18"/>
        <v>22796.564400007621</v>
      </c>
      <c r="F291" s="424">
        <f t="shared" si="19"/>
        <v>57651.288000152417</v>
      </c>
      <c r="G291" s="395">
        <f t="shared" si="16"/>
        <v>83696.822315882047</v>
      </c>
      <c r="H291" s="561">
        <f t="shared" si="20"/>
        <v>8.3696822315882047E-2</v>
      </c>
      <c r="I291" s="558">
        <f t="shared" si="21"/>
        <v>12994.67382224213</v>
      </c>
      <c r="J291" s="425">
        <f t="shared" si="22"/>
        <v>1.299467382224213E-2</v>
      </c>
      <c r="K291" s="426">
        <f t="shared" si="23"/>
        <v>20100.857365108892</v>
      </c>
      <c r="L291" s="434">
        <f t="shared" si="24"/>
        <v>2.0100857365108891E-2</v>
      </c>
    </row>
    <row r="292" spans="1:12">
      <c r="A292" s="149" t="s">
        <v>75</v>
      </c>
      <c r="B292" s="161">
        <f t="shared" si="25"/>
        <v>4.2000000000000003E-2</v>
      </c>
      <c r="C292" s="424">
        <f t="shared" si="17"/>
        <v>6.0759995876356887E-3</v>
      </c>
      <c r="D292" s="235">
        <f>D218+D126</f>
        <v>3.5924000412364314E-2</v>
      </c>
      <c r="E292" s="119">
        <f t="shared" si="18"/>
        <v>22796.564400007621</v>
      </c>
      <c r="F292" s="424">
        <f t="shared" si="19"/>
        <v>57651.288000152417</v>
      </c>
      <c r="G292" s="395">
        <f t="shared" si="16"/>
        <v>1.8423828811672149</v>
      </c>
      <c r="H292" s="561">
        <f t="shared" si="20"/>
        <v>1.8423828811672149E-6</v>
      </c>
      <c r="I292" s="558">
        <f t="shared" si="21"/>
        <v>0.10539226092606335</v>
      </c>
      <c r="J292" s="425">
        <f t="shared" si="22"/>
        <v>1.0539226092606336E-7</v>
      </c>
      <c r="K292" s="426">
        <f t="shared" si="23"/>
        <v>0.62312572118543719</v>
      </c>
      <c r="L292" s="434">
        <f t="shared" si="24"/>
        <v>6.2312572118543715E-7</v>
      </c>
    </row>
    <row r="293" spans="1:12">
      <c r="A293" s="149" t="s">
        <v>76</v>
      </c>
      <c r="B293" s="161">
        <f t="shared" si="25"/>
        <v>1.6319999999999999</v>
      </c>
      <c r="C293" s="424">
        <f t="shared" si="17"/>
        <v>0.71395501907232317</v>
      </c>
      <c r="D293" s="235">
        <f>D127</f>
        <v>0.91804498092767672</v>
      </c>
      <c r="E293" s="119">
        <f t="shared" si="18"/>
        <v>22796.564400007621</v>
      </c>
      <c r="F293" s="424">
        <f t="shared" si="19"/>
        <v>57651.288000152417</v>
      </c>
      <c r="G293" s="395">
        <f t="shared" si="16"/>
        <v>71.589734811068908</v>
      </c>
      <c r="H293" s="561">
        <f t="shared" si="20"/>
        <v>7.1589734811068907E-5</v>
      </c>
      <c r="I293" s="558">
        <f t="shared" si="21"/>
        <v>12.384025471736827</v>
      </c>
      <c r="J293" s="425">
        <f t="shared" si="22"/>
        <v>1.2384025471736826E-5</v>
      </c>
      <c r="K293" s="426">
        <f t="shared" si="23"/>
        <v>15.924101833167189</v>
      </c>
      <c r="L293" s="434">
        <f t="shared" si="24"/>
        <v>1.5924101833167189E-5</v>
      </c>
    </row>
    <row r="294" spans="1:12">
      <c r="A294" s="150" t="s">
        <v>77</v>
      </c>
      <c r="B294" s="161">
        <f t="shared" ref="B294:B305" si="26">B128</f>
        <v>7.8719999999999999</v>
      </c>
      <c r="C294" s="424">
        <f t="shared" si="17"/>
        <v>2.542762593785497E-2</v>
      </c>
      <c r="D294" s="235">
        <f>D128+D219</f>
        <v>7.8465723740621449</v>
      </c>
      <c r="E294" s="119">
        <f t="shared" si="18"/>
        <v>22796.564400007621</v>
      </c>
      <c r="F294" s="424">
        <f t="shared" si="19"/>
        <v>57651.288000152417</v>
      </c>
      <c r="G294" s="395">
        <f t="shared" si="16"/>
        <v>345.31519144162655</v>
      </c>
      <c r="H294" s="561">
        <f t="shared" si="20"/>
        <v>3.4531519144162656E-4</v>
      </c>
      <c r="I294" s="558">
        <f t="shared" si="21"/>
        <v>0.44105911281267024</v>
      </c>
      <c r="J294" s="425">
        <f t="shared" si="22"/>
        <v>4.4105911281267026E-7</v>
      </c>
      <c r="K294" s="426">
        <f t="shared" si="23"/>
        <v>136.10402553437143</v>
      </c>
      <c r="L294" s="434">
        <f t="shared" si="24"/>
        <v>1.3610402553437142E-4</v>
      </c>
    </row>
    <row r="295" spans="1:12">
      <c r="A295" s="150" t="s">
        <v>78</v>
      </c>
      <c r="B295" s="161">
        <f t="shared" si="26"/>
        <v>1050.924</v>
      </c>
      <c r="C295" s="424">
        <f t="shared" si="17"/>
        <v>464.59251491218674</v>
      </c>
      <c r="D295" s="235">
        <f>D129+D220</f>
        <v>586.33148508781323</v>
      </c>
      <c r="E295" s="119">
        <f t="shared" si="18"/>
        <v>22796.564400007621</v>
      </c>
      <c r="F295" s="424">
        <f t="shared" si="19"/>
        <v>57651.288000152417</v>
      </c>
      <c r="G295" s="395">
        <f t="shared" si="16"/>
        <v>46100.104452566047</v>
      </c>
      <c r="H295" s="561">
        <f t="shared" si="20"/>
        <v>4.610010445256605E-2</v>
      </c>
      <c r="I295" s="558">
        <f t="shared" si="21"/>
        <v>8058.6667016174624</v>
      </c>
      <c r="J295" s="425">
        <f t="shared" si="22"/>
        <v>8.0586667016174628E-3</v>
      </c>
      <c r="K295" s="426">
        <f t="shared" si="23"/>
        <v>10170.3102467765</v>
      </c>
      <c r="L295" s="434">
        <f t="shared" si="24"/>
        <v>1.01703102467765E-2</v>
      </c>
    </row>
    <row r="296" spans="1:12">
      <c r="A296" s="150" t="s">
        <v>79</v>
      </c>
      <c r="B296" s="161">
        <f t="shared" si="26"/>
        <v>98.76</v>
      </c>
      <c r="C296" s="424">
        <f t="shared" si="17"/>
        <v>75.786881294874391</v>
      </c>
      <c r="D296" s="235">
        <f>D130+D221</f>
        <v>22.973118705125611</v>
      </c>
      <c r="E296" s="119">
        <f t="shared" si="18"/>
        <v>22796.564400007621</v>
      </c>
      <c r="F296" s="424">
        <f t="shared" si="19"/>
        <v>57651.288000152417</v>
      </c>
      <c r="G296" s="395">
        <f t="shared" si="16"/>
        <v>4332.2317462874798</v>
      </c>
      <c r="H296" s="561">
        <f t="shared" si="20"/>
        <v>4.3322317462874795E-3</v>
      </c>
      <c r="I296" s="558">
        <f t="shared" si="21"/>
        <v>1314.5739483682312</v>
      </c>
      <c r="J296" s="425">
        <f t="shared" si="22"/>
        <v>1.3145739483682313E-3</v>
      </c>
      <c r="K296" s="426">
        <f t="shared" si="23"/>
        <v>398.48404956823993</v>
      </c>
      <c r="L296" s="434">
        <f t="shared" si="24"/>
        <v>3.9848404956823992E-4</v>
      </c>
    </row>
    <row r="297" spans="1:12">
      <c r="A297" s="150" t="s">
        <v>80</v>
      </c>
      <c r="B297" s="161">
        <f t="shared" si="26"/>
        <v>154.80000000000001</v>
      </c>
      <c r="C297" s="424">
        <f t="shared" si="17"/>
        <v>116.41994544804768</v>
      </c>
      <c r="D297" s="235">
        <f>D131+D222</f>
        <v>38.38005455195232</v>
      </c>
      <c r="E297" s="119">
        <f t="shared" si="18"/>
        <v>22796.564400007621</v>
      </c>
      <c r="F297" s="424">
        <f t="shared" si="19"/>
        <v>57651.288000152417</v>
      </c>
      <c r="G297" s="395">
        <f t="shared" si="16"/>
        <v>6790.4969048734492</v>
      </c>
      <c r="H297" s="561">
        <f t="shared" si="20"/>
        <v>6.7904969048734496E-3</v>
      </c>
      <c r="I297" s="558">
        <f t="shared" si="21"/>
        <v>2019.3815175081586</v>
      </c>
      <c r="J297" s="425">
        <f t="shared" si="22"/>
        <v>2.0193815175081585E-3</v>
      </c>
      <c r="K297" s="426">
        <f t="shared" si="23"/>
        <v>665.72761655994316</v>
      </c>
      <c r="L297" s="434">
        <f t="shared" si="24"/>
        <v>6.6572761655994315E-4</v>
      </c>
    </row>
    <row r="298" spans="1:12">
      <c r="A298" s="150" t="s">
        <v>81</v>
      </c>
      <c r="B298" s="161">
        <f t="shared" si="26"/>
        <v>97.2</v>
      </c>
      <c r="C298" s="424">
        <f t="shared" si="17"/>
        <v>78.972959802912385</v>
      </c>
      <c r="D298" s="235">
        <f>D132</f>
        <v>18.227040197087611</v>
      </c>
      <c r="E298" s="119">
        <f t="shared" si="18"/>
        <v>22796.564400007621</v>
      </c>
      <c r="F298" s="424">
        <f t="shared" si="19"/>
        <v>57651.288000152417</v>
      </c>
      <c r="G298" s="395">
        <f t="shared" si="16"/>
        <v>4263.8003821298398</v>
      </c>
      <c r="H298" s="561">
        <f t="shared" si="20"/>
        <v>4.2638003821298398E-3</v>
      </c>
      <c r="I298" s="558">
        <f t="shared" si="21"/>
        <v>1369.8386027854849</v>
      </c>
      <c r="J298" s="425">
        <f t="shared" si="22"/>
        <v>1.3698386027854849E-3</v>
      </c>
      <c r="K298" s="426">
        <f t="shared" si="23"/>
        <v>316.16015581541598</v>
      </c>
      <c r="L298" s="434">
        <f t="shared" si="24"/>
        <v>3.1616015581541597E-4</v>
      </c>
    </row>
    <row r="299" spans="1:12">
      <c r="A299" s="150" t="s">
        <v>82</v>
      </c>
      <c r="B299" s="161">
        <f t="shared" si="26"/>
        <v>1.5</v>
      </c>
      <c r="C299" s="424">
        <f t="shared" si="17"/>
        <v>0.69618699044882704</v>
      </c>
      <c r="D299" s="235">
        <f>D133+D223</f>
        <v>0.80381300955117296</v>
      </c>
      <c r="E299" s="119">
        <f t="shared" si="18"/>
        <v>22796.564400007621</v>
      </c>
      <c r="F299" s="424">
        <f t="shared" si="19"/>
        <v>57651.288000152417</v>
      </c>
      <c r="G299" s="395">
        <f t="shared" si="16"/>
        <v>65.799388613114814</v>
      </c>
      <c r="H299" s="561">
        <f t="shared" si="20"/>
        <v>6.5799388613114817E-5</v>
      </c>
      <c r="I299" s="558">
        <f t="shared" si="21"/>
        <v>12.075827177477569</v>
      </c>
      <c r="J299" s="425">
        <f t="shared" si="22"/>
        <v>1.2075827177477569E-5</v>
      </c>
      <c r="K299" s="426">
        <f t="shared" si="23"/>
        <v>13.942672183647447</v>
      </c>
      <c r="L299" s="434">
        <f t="shared" si="24"/>
        <v>1.3942672183647447E-5</v>
      </c>
    </row>
    <row r="300" spans="1:12">
      <c r="A300" s="150" t="s">
        <v>213</v>
      </c>
      <c r="B300" s="161">
        <f t="shared" si="26"/>
        <v>979.41600000000005</v>
      </c>
      <c r="C300" s="424">
        <f t="shared" si="17"/>
        <v>770.34510357671684</v>
      </c>
      <c r="D300" s="235">
        <f>D134+D224</f>
        <v>209.07089642328322</v>
      </c>
      <c r="E300" s="119">
        <f t="shared" si="18"/>
        <v>22796.564400007621</v>
      </c>
      <c r="F300" s="424">
        <f t="shared" si="19"/>
        <v>57651.288000152417</v>
      </c>
      <c r="G300" s="395">
        <f t="shared" si="16"/>
        <v>42963.31599860164</v>
      </c>
      <c r="H300" s="561">
        <f t="shared" si="20"/>
        <v>4.2963315998601641E-2</v>
      </c>
      <c r="I300" s="558">
        <f t="shared" si="21"/>
        <v>13362.149056837727</v>
      </c>
      <c r="J300" s="425">
        <f t="shared" si="22"/>
        <v>1.3362149056837727E-2</v>
      </c>
      <c r="K300" s="426">
        <f t="shared" si="23"/>
        <v>3626.473990012686</v>
      </c>
      <c r="L300" s="434">
        <f t="shared" si="24"/>
        <v>3.6264739900126858E-3</v>
      </c>
    </row>
    <row r="301" spans="1:12">
      <c r="A301" s="150" t="s">
        <v>96</v>
      </c>
      <c r="B301" s="161">
        <f t="shared" si="26"/>
        <v>2854.5306122448978</v>
      </c>
      <c r="C301" s="424">
        <f t="shared" si="17"/>
        <v>2783.1673469387756</v>
      </c>
      <c r="D301" s="235">
        <f>D135+D225</f>
        <v>71.363265306122443</v>
      </c>
      <c r="E301" s="119">
        <f t="shared" si="18"/>
        <v>22796.564400007621</v>
      </c>
      <c r="F301" s="424">
        <f t="shared" si="19"/>
        <v>57651.288000152417</v>
      </c>
      <c r="G301" s="395">
        <f t="shared" si="16"/>
        <v>125217.57937542305</v>
      </c>
      <c r="H301" s="561">
        <f t="shared" si="20"/>
        <v>0.12521757937542305</v>
      </c>
      <c r="I301" s="558">
        <f t="shared" si="21"/>
        <v>48275.89189215369</v>
      </c>
      <c r="J301" s="425">
        <f t="shared" si="22"/>
        <v>4.8275891892153693E-2</v>
      </c>
      <c r="K301" s="426">
        <f t="shared" si="23"/>
        <v>1237.8433818500944</v>
      </c>
      <c r="L301" s="434">
        <f t="shared" si="24"/>
        <v>1.2378433818500943E-3</v>
      </c>
    </row>
    <row r="302" spans="1:12">
      <c r="A302" s="150" t="s">
        <v>97</v>
      </c>
      <c r="B302" s="161">
        <f t="shared" si="26"/>
        <v>3833.946612244898</v>
      </c>
      <c r="C302" s="424">
        <f t="shared" si="17"/>
        <v>3553.5124505154922</v>
      </c>
      <c r="D302" s="235">
        <f>D136+D226</f>
        <v>280.43416172940567</v>
      </c>
      <c r="E302" s="119">
        <f t="shared" si="18"/>
        <v>22796.564400007621</v>
      </c>
      <c r="F302" s="424">
        <f t="shared" si="19"/>
        <v>57651.288000152417</v>
      </c>
      <c r="G302" s="395">
        <f t="shared" si="16"/>
        <v>168180.89537402469</v>
      </c>
      <c r="H302" s="561">
        <f t="shared" si="20"/>
        <v>0.1681808953740247</v>
      </c>
      <c r="I302" s="558">
        <f t="shared" si="21"/>
        <v>61638.040948991416</v>
      </c>
      <c r="J302" s="425">
        <f t="shared" si="22"/>
        <v>6.1638040948991418E-2</v>
      </c>
      <c r="K302" s="426">
        <f t="shared" si="23"/>
        <v>4864.3173718627813</v>
      </c>
      <c r="L302" s="434">
        <f t="shared" si="24"/>
        <v>4.864317371862781E-3</v>
      </c>
    </row>
    <row r="303" spans="1:12">
      <c r="A303" s="150" t="s">
        <v>84</v>
      </c>
      <c r="B303" s="161">
        <f t="shared" si="26"/>
        <v>1.488</v>
      </c>
      <c r="C303" s="424">
        <f t="shared" si="17"/>
        <v>0.49728528379323345</v>
      </c>
      <c r="D303" s="235">
        <f>D227+D137</f>
        <v>0.99071471620676654</v>
      </c>
      <c r="E303" s="119">
        <f t="shared" si="18"/>
        <v>22796.564400007621</v>
      </c>
      <c r="F303" s="424">
        <f t="shared" si="19"/>
        <v>57651.288000152417</v>
      </c>
      <c r="G303" s="395">
        <f t="shared" si="16"/>
        <v>65.272993504209893</v>
      </c>
      <c r="H303" s="561">
        <f t="shared" si="20"/>
        <v>6.5272993504209898E-5</v>
      </c>
      <c r="I303" s="558">
        <f t="shared" si="21"/>
        <v>8.6257445591140787</v>
      </c>
      <c r="J303" s="425">
        <f t="shared" si="22"/>
        <v>8.6257445591140782E-6</v>
      </c>
      <c r="K303" s="426">
        <f t="shared" si="23"/>
        <v>17.184606807121938</v>
      </c>
      <c r="L303" s="434">
        <f t="shared" si="24"/>
        <v>1.7184606807121938E-5</v>
      </c>
    </row>
    <row r="304" spans="1:12">
      <c r="A304" s="150" t="s">
        <v>249</v>
      </c>
      <c r="B304" s="161">
        <f t="shared" si="26"/>
        <v>226.8</v>
      </c>
      <c r="C304" s="424">
        <f t="shared" si="17"/>
        <v>0</v>
      </c>
      <c r="D304" s="235">
        <f t="shared" ref="D304:D309" si="27">D228</f>
        <v>226.8</v>
      </c>
      <c r="E304" s="119">
        <f t="shared" si="18"/>
        <v>22796.564400007621</v>
      </c>
      <c r="F304" s="424">
        <f t="shared" si="19"/>
        <v>57651.288000152417</v>
      </c>
      <c r="G304" s="395">
        <f t="shared" si="16"/>
        <v>9948.8675583029617</v>
      </c>
      <c r="H304" s="561">
        <f t="shared" si="20"/>
        <v>9.9488675583029613E-3</v>
      </c>
      <c r="I304" s="558">
        <f t="shared" si="21"/>
        <v>0</v>
      </c>
      <c r="J304" s="425">
        <f t="shared" si="22"/>
        <v>0</v>
      </c>
      <c r="K304" s="426">
        <f t="shared" si="23"/>
        <v>3933.9971034021028</v>
      </c>
      <c r="L304" s="434">
        <f t="shared" si="24"/>
        <v>3.9339971034021027E-3</v>
      </c>
    </row>
    <row r="305" spans="1:12">
      <c r="A305" s="150" t="s">
        <v>250</v>
      </c>
      <c r="B305" s="161">
        <f t="shared" si="26"/>
        <v>564.24489795918362</v>
      </c>
      <c r="C305" s="424">
        <f t="shared" si="17"/>
        <v>0</v>
      </c>
      <c r="D305" s="235">
        <f t="shared" si="27"/>
        <v>564.24489795918362</v>
      </c>
      <c r="E305" s="119">
        <f t="shared" si="18"/>
        <v>22796.564400007621</v>
      </c>
      <c r="F305" s="424">
        <f t="shared" si="19"/>
        <v>57651.288000152417</v>
      </c>
      <c r="G305" s="395">
        <f t="shared" si="16"/>
        <v>24751.312875855758</v>
      </c>
      <c r="H305" s="561">
        <f t="shared" si="20"/>
        <v>2.4751312875855757E-2</v>
      </c>
      <c r="I305" s="558">
        <f t="shared" si="21"/>
        <v>0</v>
      </c>
      <c r="J305" s="425">
        <f t="shared" si="22"/>
        <v>0</v>
      </c>
      <c r="K305" s="426">
        <f t="shared" si="23"/>
        <v>9787.2036780460458</v>
      </c>
      <c r="L305" s="434">
        <f t="shared" si="24"/>
        <v>9.7872036780460459E-3</v>
      </c>
    </row>
    <row r="306" spans="1:12">
      <c r="A306" s="150" t="s">
        <v>251</v>
      </c>
      <c r="B306" s="161">
        <f>B304+B305</f>
        <v>791.04489795918357</v>
      </c>
      <c r="C306" s="424">
        <f>B306-D306</f>
        <v>0</v>
      </c>
      <c r="D306" s="235">
        <f t="shared" si="27"/>
        <v>791.04489795918357</v>
      </c>
      <c r="E306" s="119">
        <f t="shared" si="18"/>
        <v>22796.564400007621</v>
      </c>
      <c r="F306" s="424">
        <f t="shared" si="19"/>
        <v>57651.288000152417</v>
      </c>
      <c r="G306" s="395">
        <f t="shared" si="16"/>
        <v>34700.180434158712</v>
      </c>
      <c r="H306" s="561">
        <f t="shared" si="20"/>
        <v>3.4700180434158713E-2</v>
      </c>
      <c r="I306" s="558">
        <f>C306/F306*1000000</f>
        <v>0</v>
      </c>
      <c r="J306" s="425">
        <f>I306/1000000</f>
        <v>0</v>
      </c>
      <c r="K306" s="426">
        <f>D306/F306*1000000</f>
        <v>13721.200781448149</v>
      </c>
      <c r="L306" s="434">
        <f>K306/1000000</f>
        <v>1.3721200781448149E-2</v>
      </c>
    </row>
    <row r="307" spans="1:12">
      <c r="A307" s="151" t="s">
        <v>238</v>
      </c>
      <c r="B307" s="161">
        <f>B306/32*96</f>
        <v>2373.1346938775505</v>
      </c>
      <c r="C307" s="424">
        <f>B307-D307</f>
        <v>0</v>
      </c>
      <c r="D307" s="235">
        <f t="shared" si="27"/>
        <v>2373.1346938775505</v>
      </c>
      <c r="E307" s="119">
        <f t="shared" si="18"/>
        <v>22796.564400007621</v>
      </c>
      <c r="F307" s="424">
        <f t="shared" si="19"/>
        <v>57651.288000152417</v>
      </c>
      <c r="G307" s="395">
        <f t="shared" si="16"/>
        <v>104100.54130247614</v>
      </c>
      <c r="H307" s="561">
        <f t="shared" si="20"/>
        <v>0.10410054130247613</v>
      </c>
      <c r="I307" s="558">
        <f>C307/F307*1000000</f>
        <v>0</v>
      </c>
      <c r="J307" s="425">
        <f>I307/1000000</f>
        <v>0</v>
      </c>
      <c r="K307" s="426">
        <f>D307/F307*1000000</f>
        <v>41163.602344344443</v>
      </c>
      <c r="L307" s="434">
        <f>K307/1000000</f>
        <v>4.1163602344344442E-2</v>
      </c>
    </row>
    <row r="308" spans="1:12">
      <c r="A308" s="151" t="s">
        <v>239</v>
      </c>
      <c r="B308" s="161">
        <f>B306/32*136</f>
        <v>3361.9408163265302</v>
      </c>
      <c r="C308" s="424">
        <f>B308-D308</f>
        <v>0</v>
      </c>
      <c r="D308" s="235">
        <f t="shared" si="27"/>
        <v>3361.9408163265302</v>
      </c>
      <c r="E308" s="119">
        <f t="shared" si="18"/>
        <v>22796.564400007621</v>
      </c>
      <c r="F308" s="424">
        <f t="shared" si="19"/>
        <v>57651.288000152417</v>
      </c>
      <c r="G308" s="395">
        <f t="shared" si="16"/>
        <v>147475.76684517454</v>
      </c>
      <c r="H308" s="561">
        <f t="shared" si="20"/>
        <v>0.14747576684517455</v>
      </c>
      <c r="I308" s="558">
        <f>C308/F308*1000000</f>
        <v>0</v>
      </c>
      <c r="J308" s="425">
        <f>I308/1000000</f>
        <v>0</v>
      </c>
      <c r="K308" s="426">
        <f>D308/F308*1000000</f>
        <v>58315.103321154631</v>
      </c>
      <c r="L308" s="434">
        <f>K308/1000000</f>
        <v>5.8315103321154631E-2</v>
      </c>
    </row>
    <row r="309" spans="1:12">
      <c r="A309" s="151" t="s">
        <v>248</v>
      </c>
      <c r="B309" s="161">
        <f>C233</f>
        <v>18.282830772357322</v>
      </c>
      <c r="C309" s="424">
        <f>B309-D309</f>
        <v>0</v>
      </c>
      <c r="D309" s="235">
        <f t="shared" si="27"/>
        <v>18.282830772357322</v>
      </c>
      <c r="E309" s="119">
        <f t="shared" si="18"/>
        <v>22796.564400007621</v>
      </c>
      <c r="F309" s="424">
        <f t="shared" si="19"/>
        <v>57651.288000152417</v>
      </c>
      <c r="G309" s="395">
        <f>B309/E309*1000000</f>
        <v>801.99939129210236</v>
      </c>
      <c r="H309" s="561">
        <f t="shared" si="20"/>
        <v>8.0199939129210231E-4</v>
      </c>
      <c r="I309" s="558">
        <f>C309/F309*1000000</f>
        <v>0</v>
      </c>
      <c r="J309" s="425">
        <f>I309/1000000</f>
        <v>0</v>
      </c>
      <c r="K309" s="426">
        <f>D309/F309*1000000</f>
        <v>317.12788051342386</v>
      </c>
      <c r="L309" s="434">
        <f>K309/1000000</f>
        <v>3.1712788051342384E-4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7"/>
        <v>0.58885934189016353</v>
      </c>
      <c r="D310" s="236">
        <f>D143+D234</f>
        <v>27.647140658109837</v>
      </c>
      <c r="E310" s="135">
        <f t="shared" si="18"/>
        <v>22796.564400007621</v>
      </c>
      <c r="F310" s="435">
        <f t="shared" si="19"/>
        <v>57651.288000152417</v>
      </c>
      <c r="G310" s="405">
        <f>B310/E310*1000000</f>
        <v>1238.6076912532733</v>
      </c>
      <c r="H310" s="562">
        <f t="shared" si="20"/>
        <v>1.2386076912532732E-3</v>
      </c>
      <c r="I310" s="559">
        <f t="shared" si="21"/>
        <v>10.21415760717448</v>
      </c>
      <c r="J310" s="436">
        <f t="shared" si="22"/>
        <v>1.0214157607174479E-5</v>
      </c>
      <c r="K310" s="437">
        <f t="shared" si="23"/>
        <v>479.55807436664281</v>
      </c>
      <c r="L310" s="439">
        <f t="shared" si="24"/>
        <v>4.7955807436664283E-4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0.75800000000000001</v>
      </c>
      <c r="B315" s="457">
        <v>0.24199999999999999</v>
      </c>
      <c r="C315" s="458">
        <v>0.41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57651.288000152417</v>
      </c>
    </row>
    <row r="320" spans="1:12">
      <c r="A320" s="415" t="s">
        <v>338</v>
      </c>
      <c r="B320" s="37" t="s">
        <v>52</v>
      </c>
      <c r="C320" s="631">
        <v>2.5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30000</v>
      </c>
    </row>
    <row r="323" spans="1:3" hidden="1">
      <c r="A323" s="83"/>
      <c r="B323" s="77"/>
      <c r="C323" s="95"/>
    </row>
    <row r="324" spans="1:3" ht="14.65" hidden="1" thickBot="1">
      <c r="A324" s="79" t="s">
        <v>56</v>
      </c>
      <c r="B324" s="77"/>
      <c r="C324" s="95"/>
    </row>
    <row r="325" spans="1:3" ht="14.65" hidden="1" thickBot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2585.1030157553478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891.28800015241927</v>
      </c>
    </row>
    <row r="330" spans="1:3" hidden="1">
      <c r="A330" s="282" t="s">
        <v>116</v>
      </c>
      <c r="B330" s="288" t="s">
        <v>35</v>
      </c>
      <c r="C330" s="295">
        <f>C329*C328</f>
        <v>44.564400007620968</v>
      </c>
    </row>
    <row r="331" spans="1:3" hidden="1">
      <c r="A331" s="282" t="s">
        <v>121</v>
      </c>
      <c r="B331" s="288" t="s">
        <v>35</v>
      </c>
      <c r="C331" s="295">
        <f>SUM($D$216:$D$234)</f>
        <v>7555.4418478672051</v>
      </c>
    </row>
    <row r="332" spans="1:3" hidden="1">
      <c r="A332" s="282" t="s">
        <v>57</v>
      </c>
      <c r="B332" s="288" t="s">
        <v>35</v>
      </c>
      <c r="C332" s="279">
        <f>C326-C327+C330+C331</f>
        <v>17014.903232119479</v>
      </c>
    </row>
    <row r="333" spans="1:3" hidden="1">
      <c r="A333" s="282" t="s">
        <v>128</v>
      </c>
      <c r="B333" s="288" t="s">
        <v>35</v>
      </c>
      <c r="C333" s="279">
        <f>$C$319+$C$322</f>
        <v>87651.288000152417</v>
      </c>
    </row>
    <row r="334" spans="1:3" hidden="1">
      <c r="A334" s="310" t="s">
        <v>59</v>
      </c>
      <c r="B334" s="283" t="s">
        <v>24</v>
      </c>
      <c r="C334" s="300">
        <f>C332/C333</f>
        <v>0.19412040165445021</v>
      </c>
    </row>
    <row r="335" spans="1:3" hidden="1">
      <c r="A335" s="282" t="s">
        <v>32</v>
      </c>
      <c r="B335" s="288" t="s">
        <v>35</v>
      </c>
      <c r="C335" s="279">
        <f>$C$25</f>
        <v>1727.9999999999998</v>
      </c>
    </row>
    <row r="336" spans="1:3" hidden="1">
      <c r="A336" s="282" t="s">
        <v>33</v>
      </c>
      <c r="B336" s="288" t="s">
        <v>35</v>
      </c>
      <c r="C336" s="279">
        <f>$C$30</f>
        <v>9024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2585.1030157553478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891.28800015241927</v>
      </c>
    </row>
    <row r="341" spans="1:3" hidden="1">
      <c r="A341" s="282" t="s">
        <v>118</v>
      </c>
      <c r="B341" s="288" t="s">
        <v>35</v>
      </c>
      <c r="C341" s="279">
        <f>C339*C340</f>
        <v>846.7236001447983</v>
      </c>
    </row>
    <row r="342" spans="1:3" hidden="1">
      <c r="A342" s="282" t="s">
        <v>37</v>
      </c>
      <c r="B342" s="288" t="s">
        <v>35</v>
      </c>
      <c r="C342" s="279">
        <f>$C$322</f>
        <v>30000</v>
      </c>
    </row>
    <row r="343" spans="1:3" hidden="1">
      <c r="A343" s="282" t="s">
        <v>121</v>
      </c>
      <c r="B343" s="288" t="s">
        <v>35</v>
      </c>
      <c r="C343" s="295">
        <f>SUM($D$216:$D$234)</f>
        <v>7555.4418478672051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87651.288000152417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t="14.65" hidden="1" thickBot="1">
      <c r="A348" s="79" t="s">
        <v>47</v>
      </c>
      <c r="B348" s="79"/>
      <c r="C348" s="79"/>
    </row>
    <row r="349" spans="1:3" ht="14.65" hidden="1" thickBot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1727.9999999999998</v>
      </c>
    </row>
    <row r="352" spans="1:3" hidden="1">
      <c r="A352" s="282" t="s">
        <v>33</v>
      </c>
      <c r="B352" s="288" t="s">
        <v>35</v>
      </c>
      <c r="C352" s="295">
        <f>$C$30</f>
        <v>9024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891.28800015241927</v>
      </c>
    </row>
    <row r="355" spans="1:3" hidden="1">
      <c r="A355" s="282" t="s">
        <v>116</v>
      </c>
      <c r="B355" s="288" t="s">
        <v>35</v>
      </c>
      <c r="C355" s="295">
        <f>C354*C353</f>
        <v>44.564400007620968</v>
      </c>
    </row>
    <row r="356" spans="1:3" hidden="1">
      <c r="A356" s="282" t="s">
        <v>63</v>
      </c>
      <c r="B356" s="288" t="s">
        <v>35</v>
      </c>
      <c r="C356" s="279">
        <f>C350+C351+C352+C355</f>
        <v>22796.564400007621</v>
      </c>
    </row>
    <row r="357" spans="1:3" hidden="1">
      <c r="A357" s="282" t="s">
        <v>114</v>
      </c>
      <c r="B357" s="288" t="s">
        <v>35</v>
      </c>
      <c r="C357" s="279">
        <f>$C$319+$C$322</f>
        <v>87651.288000152417</v>
      </c>
    </row>
    <row r="358" spans="1:3" hidden="1">
      <c r="A358" s="310" t="s">
        <v>64</v>
      </c>
      <c r="B358" s="283" t="s">
        <v>24</v>
      </c>
      <c r="C358" s="300">
        <f>C356/C357</f>
        <v>0.2600824804761338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891.28800015241927</v>
      </c>
    </row>
    <row r="362" spans="1:3" hidden="1">
      <c r="A362" s="282" t="s">
        <v>118</v>
      </c>
      <c r="B362" s="288" t="s">
        <v>35</v>
      </c>
      <c r="C362" s="279">
        <f>C360*C361</f>
        <v>846.7236001447983</v>
      </c>
    </row>
    <row r="363" spans="1:3" hidden="1">
      <c r="A363" s="282" t="s">
        <v>37</v>
      </c>
      <c r="B363" s="288" t="s">
        <v>35</v>
      </c>
      <c r="C363" s="279">
        <f>$C$322</f>
        <v>30000</v>
      </c>
    </row>
    <row r="364" spans="1:3" hidden="1">
      <c r="A364" s="282" t="s">
        <v>65</v>
      </c>
      <c r="B364" s="288" t="s">
        <v>35</v>
      </c>
      <c r="C364" s="279">
        <f>C359+C362+C363</f>
        <v>64854.723600144796</v>
      </c>
    </row>
    <row r="365" spans="1:3" hidden="1">
      <c r="A365" s="282" t="s">
        <v>114</v>
      </c>
      <c r="B365" s="288" t="s">
        <v>35</v>
      </c>
      <c r="C365" s="279">
        <f>$C$319+$C$322</f>
        <v>87651.288000152417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0.7399175195238662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57651.288000152417</v>
      </c>
    </row>
    <row r="371" spans="1:3">
      <c r="A371" s="257" t="s">
        <v>338</v>
      </c>
      <c r="B371" s="278" t="s">
        <v>35</v>
      </c>
      <c r="C371" s="279">
        <f>C322</f>
        <v>30000</v>
      </c>
    </row>
    <row r="372" spans="1:3">
      <c r="A372" s="257" t="s">
        <v>339</v>
      </c>
      <c r="B372" s="278" t="s">
        <v>35</v>
      </c>
      <c r="C372" s="279">
        <f>C370+C371</f>
        <v>87651.288000152417</v>
      </c>
    </row>
    <row r="373" spans="1:3">
      <c r="A373" s="257" t="s">
        <v>130</v>
      </c>
      <c r="B373" s="278" t="s">
        <v>24</v>
      </c>
      <c r="C373" s="314">
        <f>A315</f>
        <v>0.75800000000000001</v>
      </c>
    </row>
    <row r="374" spans="1:3">
      <c r="A374" s="253" t="s">
        <v>9</v>
      </c>
      <c r="B374" s="270" t="s">
        <v>35</v>
      </c>
      <c r="C374" s="254">
        <f>C372*C373</f>
        <v>66439.676304115535</v>
      </c>
    </row>
    <row r="375" spans="1:3">
      <c r="A375" s="257" t="s">
        <v>131</v>
      </c>
      <c r="B375" s="278" t="s">
        <v>24</v>
      </c>
      <c r="C375" s="314">
        <f>B315</f>
        <v>0.24199999999999999</v>
      </c>
    </row>
    <row r="376" spans="1:3">
      <c r="A376" s="253" t="s">
        <v>11</v>
      </c>
      <c r="B376" s="270" t="s">
        <v>35</v>
      </c>
      <c r="C376" s="322">
        <f>C372*C375</f>
        <v>21211.611696036885</v>
      </c>
    </row>
    <row r="377" spans="1:3">
      <c r="A377" s="281" t="s">
        <v>355</v>
      </c>
      <c r="B377" s="278" t="s">
        <v>24</v>
      </c>
      <c r="C377" s="318">
        <f>C315</f>
        <v>0.41</v>
      </c>
    </row>
    <row r="378" spans="1:3">
      <c r="A378" s="281" t="s">
        <v>421</v>
      </c>
      <c r="B378" s="278" t="s">
        <v>35</v>
      </c>
      <c r="C378" s="289">
        <f>C376*C377</f>
        <v>8696.7607953751231</v>
      </c>
    </row>
    <row r="379" spans="1:3">
      <c r="A379" s="281" t="s">
        <v>132</v>
      </c>
      <c r="B379" s="278" t="s">
        <v>24</v>
      </c>
      <c r="C379" s="318">
        <f>1-C377</f>
        <v>0.59000000000000008</v>
      </c>
    </row>
    <row r="380" spans="1:3" ht="14.65" thickBot="1">
      <c r="A380" s="319" t="s">
        <v>340</v>
      </c>
      <c r="B380" s="320" t="s">
        <v>35</v>
      </c>
      <c r="C380" s="321">
        <f>C376*C379</f>
        <v>12514.850900661764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1727.9999999999998</v>
      </c>
    </row>
    <row r="386" spans="1:3">
      <c r="A386" s="257" t="s">
        <v>428</v>
      </c>
      <c r="B386" s="278" t="s">
        <v>35</v>
      </c>
      <c r="C386" s="295">
        <f>$C$30</f>
        <v>9024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891.28800015241927</v>
      </c>
    </row>
    <row r="389" spans="1:3">
      <c r="A389" s="257" t="s">
        <v>429</v>
      </c>
      <c r="B389" s="278" t="s">
        <v>35</v>
      </c>
      <c r="C389" s="295">
        <f>C388*C387</f>
        <v>44.564400007620968</v>
      </c>
    </row>
    <row r="390" spans="1:3">
      <c r="A390" s="281" t="s">
        <v>421</v>
      </c>
      <c r="B390" s="278" t="s">
        <v>35</v>
      </c>
      <c r="C390" s="289">
        <f>$C$378</f>
        <v>8696.7607953751231</v>
      </c>
    </row>
    <row r="391" spans="1:3">
      <c r="A391" s="257" t="s">
        <v>341</v>
      </c>
      <c r="B391" s="278" t="s">
        <v>35</v>
      </c>
      <c r="C391" s="279">
        <f>C384+C385+C386+C389-C390</f>
        <v>14099.803604632498</v>
      </c>
    </row>
    <row r="392" spans="1:3">
      <c r="A392" s="257" t="s">
        <v>9</v>
      </c>
      <c r="B392" s="278" t="s">
        <v>35</v>
      </c>
      <c r="C392" s="279">
        <f>$C$374</f>
        <v>66439.676304115535</v>
      </c>
    </row>
    <row r="393" spans="1:3">
      <c r="A393" s="299" t="s">
        <v>64</v>
      </c>
      <c r="B393" s="260" t="s">
        <v>24</v>
      </c>
      <c r="C393" s="300">
        <f>C391/C392</f>
        <v>0.21221963123500498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891.28800015241927</v>
      </c>
    </row>
    <row r="397" spans="1:3">
      <c r="A397" s="257" t="s">
        <v>356</v>
      </c>
      <c r="B397" s="278" t="s">
        <v>35</v>
      </c>
      <c r="C397" s="279">
        <f>C395*C396</f>
        <v>846.7236001447983</v>
      </c>
    </row>
    <row r="398" spans="1:3">
      <c r="A398" s="257" t="s">
        <v>338</v>
      </c>
      <c r="B398" s="278" t="s">
        <v>35</v>
      </c>
      <c r="C398" s="279">
        <f>$C$322</f>
        <v>30000</v>
      </c>
    </row>
    <row r="399" spans="1:3">
      <c r="A399" s="281" t="s">
        <v>340</v>
      </c>
      <c r="B399" s="278" t="s">
        <v>35</v>
      </c>
      <c r="C399" s="289">
        <f>$C$380</f>
        <v>12514.850900661764</v>
      </c>
    </row>
    <row r="400" spans="1:3">
      <c r="A400" s="257" t="s">
        <v>342</v>
      </c>
      <c r="B400" s="278" t="s">
        <v>35</v>
      </c>
      <c r="C400" s="279">
        <f>C394+C397+C398-C399</f>
        <v>52339.872699483036</v>
      </c>
    </row>
    <row r="401" spans="1:8">
      <c r="A401" s="257" t="s">
        <v>9</v>
      </c>
      <c r="B401" s="278" t="s">
        <v>35</v>
      </c>
      <c r="C401" s="279">
        <f>$C$374</f>
        <v>66439.676304115535</v>
      </c>
    </row>
    <row r="402" spans="1:8" ht="14.65" thickBot="1">
      <c r="A402" s="301" t="s">
        <v>66</v>
      </c>
      <c r="B402" s="277" t="s">
        <v>24</v>
      </c>
      <c r="C402" s="303">
        <f>C400/C401</f>
        <v>0.78778036876499502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280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269.75360507251344</v>
      </c>
      <c r="C408" s="160">
        <f>$C$391</f>
        <v>14099.803604632498</v>
      </c>
      <c r="D408" s="467">
        <f>$C$374</f>
        <v>66439.676304115535</v>
      </c>
      <c r="E408" s="465">
        <f>B408/C408*1000000</f>
        <v>19131.727833704419</v>
      </c>
      <c r="F408" s="560">
        <f>E408/1000000</f>
        <v>1.9131727833704419E-2</v>
      </c>
      <c r="G408" s="443">
        <f>B408/D408*1000000</f>
        <v>4060.128225757232</v>
      </c>
      <c r="H408" s="460">
        <f>G408/1000000</f>
        <v>4.060128225757232E-3</v>
      </c>
    </row>
    <row r="409" spans="1:8">
      <c r="A409" s="112" t="s">
        <v>73</v>
      </c>
      <c r="B409" s="461">
        <f>C290</f>
        <v>2.9790586337607339E-2</v>
      </c>
      <c r="C409" s="119">
        <f t="shared" ref="C409:C429" si="28">$C$391</f>
        <v>14099.803604632498</v>
      </c>
      <c r="D409" s="468">
        <f t="shared" ref="D409:D429" si="29">$C$374</f>
        <v>66439.676304115535</v>
      </c>
      <c r="E409" s="331">
        <f t="shared" ref="E409:E429" si="30">B409/C409*1000000</f>
        <v>2.1128369708511134</v>
      </c>
      <c r="F409" s="561">
        <f t="shared" ref="F409:F429" si="31">E409/1000000</f>
        <v>2.1128369708511135E-6</v>
      </c>
      <c r="G409" s="444">
        <f t="shared" ref="G409:G429" si="32">B409/D409*1000000</f>
        <v>0.44838548281370832</v>
      </c>
      <c r="H409" s="462">
        <f t="shared" ref="H409:H429" si="33">G409/1000000</f>
        <v>4.4838548281370832E-7</v>
      </c>
    </row>
    <row r="410" spans="1:8">
      <c r="A410" s="112" t="s">
        <v>74</v>
      </c>
      <c r="B410" s="461">
        <f t="shared" ref="B410:B412" si="34">C291</f>
        <v>749.15968299412248</v>
      </c>
      <c r="C410" s="119">
        <f t="shared" si="28"/>
        <v>14099.803604632498</v>
      </c>
      <c r="D410" s="468">
        <f t="shared" si="29"/>
        <v>66439.676304115535</v>
      </c>
      <c r="E410" s="331">
        <f t="shared" si="30"/>
        <v>53132.632482057103</v>
      </c>
      <c r="F410" s="561">
        <f t="shared" si="31"/>
        <v>5.3132632482057102E-2</v>
      </c>
      <c r="G410" s="444">
        <f t="shared" si="32"/>
        <v>11275.787671887207</v>
      </c>
      <c r="H410" s="462">
        <f t="shared" si="33"/>
        <v>1.1275787671887206E-2</v>
      </c>
    </row>
    <row r="411" spans="1:8">
      <c r="A411" s="112" t="s">
        <v>75</v>
      </c>
      <c r="B411" s="461">
        <f t="shared" si="34"/>
        <v>6.0759995876356887E-3</v>
      </c>
      <c r="C411" s="119">
        <f t="shared" si="28"/>
        <v>14099.803604632498</v>
      </c>
      <c r="D411" s="468">
        <f t="shared" si="29"/>
        <v>66439.676304115535</v>
      </c>
      <c r="E411" s="331">
        <f t="shared" si="30"/>
        <v>0.43092795885748475</v>
      </c>
      <c r="F411" s="561">
        <f t="shared" si="31"/>
        <v>4.3092795885748476E-7</v>
      </c>
      <c r="G411" s="444">
        <f t="shared" si="32"/>
        <v>9.1451372517588822E-2</v>
      </c>
      <c r="H411" s="462">
        <f t="shared" si="33"/>
        <v>9.1451372517588828E-8</v>
      </c>
    </row>
    <row r="412" spans="1:8">
      <c r="A412" s="112" t="s">
        <v>76</v>
      </c>
      <c r="B412" s="461">
        <f t="shared" si="34"/>
        <v>0.71395501907232317</v>
      </c>
      <c r="C412" s="119">
        <f t="shared" si="28"/>
        <v>14099.803604632498</v>
      </c>
      <c r="D412" s="468">
        <f t="shared" si="29"/>
        <v>66439.676304115535</v>
      </c>
      <c r="E412" s="331">
        <f t="shared" si="30"/>
        <v>50.635813029179566</v>
      </c>
      <c r="F412" s="561">
        <f t="shared" si="31"/>
        <v>5.0635813029179563E-5</v>
      </c>
      <c r="G412" s="444">
        <f t="shared" si="32"/>
        <v>10.745913568337148</v>
      </c>
      <c r="H412" s="462">
        <f t="shared" si="33"/>
        <v>1.0745913568337148E-5</v>
      </c>
    </row>
    <row r="413" spans="1:8">
      <c r="A413" s="113" t="s">
        <v>77</v>
      </c>
      <c r="B413" s="461">
        <f>C294</f>
        <v>2.542762593785497E-2</v>
      </c>
      <c r="C413" s="119">
        <f t="shared" si="28"/>
        <v>14099.803604632498</v>
      </c>
      <c r="D413" s="468">
        <f t="shared" si="29"/>
        <v>66439.676304115535</v>
      </c>
      <c r="E413" s="331">
        <f t="shared" si="30"/>
        <v>1.8034028452354265</v>
      </c>
      <c r="F413" s="561">
        <f t="shared" si="31"/>
        <v>1.8034028452354265E-6</v>
      </c>
      <c r="G413" s="444">
        <f t="shared" si="32"/>
        <v>0.38271748678402095</v>
      </c>
      <c r="H413" s="462">
        <f t="shared" si="33"/>
        <v>3.8271748678402096E-7</v>
      </c>
    </row>
    <row r="414" spans="1:8">
      <c r="A414" s="113" t="s">
        <v>78</v>
      </c>
      <c r="B414" s="461">
        <f>C295</f>
        <v>464.59251491218674</v>
      </c>
      <c r="C414" s="119">
        <f t="shared" si="28"/>
        <v>14099.803604632498</v>
      </c>
      <c r="D414" s="468">
        <f t="shared" si="29"/>
        <v>66439.676304115535</v>
      </c>
      <c r="E414" s="331">
        <f t="shared" si="30"/>
        <v>32950.282708870123</v>
      </c>
      <c r="F414" s="561">
        <f t="shared" si="31"/>
        <v>3.2950282708870127E-2</v>
      </c>
      <c r="G414" s="444">
        <f t="shared" si="32"/>
        <v>6992.696845565577</v>
      </c>
      <c r="H414" s="462">
        <f t="shared" si="33"/>
        <v>6.9926968455655773E-3</v>
      </c>
    </row>
    <row r="415" spans="1:8">
      <c r="A415" s="113" t="s">
        <v>79</v>
      </c>
      <c r="B415" s="461">
        <f>C296</f>
        <v>75.786881294874391</v>
      </c>
      <c r="C415" s="119">
        <f t="shared" si="28"/>
        <v>14099.803604632498</v>
      </c>
      <c r="D415" s="468">
        <f t="shared" si="29"/>
        <v>66439.676304115535</v>
      </c>
      <c r="E415" s="331">
        <f t="shared" si="30"/>
        <v>5375.0309876638685</v>
      </c>
      <c r="F415" s="561">
        <f t="shared" si="31"/>
        <v>5.3750309876638685E-3</v>
      </c>
      <c r="G415" s="444">
        <f t="shared" si="32"/>
        <v>1140.687094078751</v>
      </c>
      <c r="H415" s="462">
        <f t="shared" si="33"/>
        <v>1.1406870940787509E-3</v>
      </c>
    </row>
    <row r="416" spans="1:8">
      <c r="A416" s="113" t="s">
        <v>80</v>
      </c>
      <c r="B416" s="461">
        <f>C297</f>
        <v>116.41994544804768</v>
      </c>
      <c r="C416" s="119">
        <f t="shared" si="28"/>
        <v>14099.803604632498</v>
      </c>
      <c r="D416" s="468">
        <f t="shared" si="29"/>
        <v>66439.676304115535</v>
      </c>
      <c r="E416" s="331">
        <f t="shared" si="30"/>
        <v>8256.8487272970124</v>
      </c>
      <c r="F416" s="561">
        <f t="shared" si="31"/>
        <v>8.2568487272970132E-3</v>
      </c>
      <c r="G416" s="444">
        <f t="shared" si="32"/>
        <v>1752.2653920701925</v>
      </c>
      <c r="H416" s="462">
        <f t="shared" si="33"/>
        <v>1.7522653920701925E-3</v>
      </c>
    </row>
    <row r="417" spans="1:8">
      <c r="A417" s="113" t="s">
        <v>81</v>
      </c>
      <c r="B417" s="461">
        <f t="shared" ref="B417:B422" si="35">C298</f>
        <v>78.972959802912385</v>
      </c>
      <c r="C417" s="119">
        <f t="shared" si="28"/>
        <v>14099.803604632498</v>
      </c>
      <c r="D417" s="468">
        <f t="shared" si="29"/>
        <v>66439.676304115535</v>
      </c>
      <c r="E417" s="331">
        <f t="shared" si="30"/>
        <v>5600.9971498443983</v>
      </c>
      <c r="F417" s="561">
        <f t="shared" si="31"/>
        <v>5.6009971498443981E-3</v>
      </c>
      <c r="G417" s="444">
        <f t="shared" si="32"/>
        <v>1188.6415496882921</v>
      </c>
      <c r="H417" s="462">
        <f t="shared" si="33"/>
        <v>1.1886415496882921E-3</v>
      </c>
    </row>
    <row r="418" spans="1:8">
      <c r="A418" s="113" t="s">
        <v>82</v>
      </c>
      <c r="B418" s="461">
        <f t="shared" si="35"/>
        <v>0.69618699044882704</v>
      </c>
      <c r="C418" s="119">
        <f t="shared" si="28"/>
        <v>14099.803604632498</v>
      </c>
      <c r="D418" s="468">
        <f t="shared" si="29"/>
        <v>66439.676304115535</v>
      </c>
      <c r="E418" s="331">
        <f t="shared" si="30"/>
        <v>49.375651602699946</v>
      </c>
      <c r="F418" s="561">
        <f t="shared" si="31"/>
        <v>4.9375651602699946E-5</v>
      </c>
      <c r="G418" s="444">
        <f t="shared" si="32"/>
        <v>10.478482575113064</v>
      </c>
      <c r="H418" s="462">
        <f t="shared" si="33"/>
        <v>1.0478482575113064E-5</v>
      </c>
    </row>
    <row r="419" spans="1:8">
      <c r="A419" s="113" t="s">
        <v>213</v>
      </c>
      <c r="B419" s="461">
        <f t="shared" si="35"/>
        <v>770.34510357671684</v>
      </c>
      <c r="C419" s="119">
        <f t="shared" si="28"/>
        <v>14099.803604632498</v>
      </c>
      <c r="D419" s="468">
        <f t="shared" si="29"/>
        <v>66439.676304115535</v>
      </c>
      <c r="E419" s="331">
        <f t="shared" si="30"/>
        <v>54635.165508519531</v>
      </c>
      <c r="F419" s="561">
        <f t="shared" si="31"/>
        <v>5.4635165508519531E-2</v>
      </c>
      <c r="G419" s="444">
        <f t="shared" si="32"/>
        <v>11594.654676681479</v>
      </c>
      <c r="H419" s="462">
        <f t="shared" si="33"/>
        <v>1.1594654676681479E-2</v>
      </c>
    </row>
    <row r="420" spans="1:8">
      <c r="A420" s="113" t="s">
        <v>96</v>
      </c>
      <c r="B420" s="461">
        <f t="shared" si="35"/>
        <v>2783.1673469387756</v>
      </c>
      <c r="C420" s="119">
        <f t="shared" si="28"/>
        <v>14099.803604632498</v>
      </c>
      <c r="D420" s="468">
        <f t="shared" si="29"/>
        <v>66439.676304115535</v>
      </c>
      <c r="E420" s="331">
        <f t="shared" si="30"/>
        <v>197390.50450492548</v>
      </c>
      <c r="F420" s="561">
        <f t="shared" si="31"/>
        <v>0.19739050450492548</v>
      </c>
      <c r="G420" s="444">
        <f t="shared" si="32"/>
        <v>41890.140075326875</v>
      </c>
      <c r="H420" s="462">
        <f t="shared" si="33"/>
        <v>4.1890140075326876E-2</v>
      </c>
    </row>
    <row r="421" spans="1:8">
      <c r="A421" s="113" t="s">
        <v>97</v>
      </c>
      <c r="B421" s="461">
        <f t="shared" si="35"/>
        <v>3553.5124505154922</v>
      </c>
      <c r="C421" s="119">
        <f t="shared" si="28"/>
        <v>14099.803604632498</v>
      </c>
      <c r="D421" s="468">
        <f t="shared" si="29"/>
        <v>66439.676304115535</v>
      </c>
      <c r="E421" s="331">
        <f t="shared" si="30"/>
        <v>252025.67001344499</v>
      </c>
      <c r="F421" s="561">
        <f t="shared" si="31"/>
        <v>0.252025670013445</v>
      </c>
      <c r="G421" s="444">
        <f t="shared" si="32"/>
        <v>53484.794752008354</v>
      </c>
      <c r="H421" s="462">
        <f t="shared" si="33"/>
        <v>5.3484794752008354E-2</v>
      </c>
    </row>
    <row r="422" spans="1:8">
      <c r="A422" s="113" t="s">
        <v>84</v>
      </c>
      <c r="B422" s="461">
        <f t="shared" si="35"/>
        <v>0.49728528379323345</v>
      </c>
      <c r="C422" s="119">
        <f t="shared" si="28"/>
        <v>14099.803604632498</v>
      </c>
      <c r="D422" s="468">
        <f t="shared" si="29"/>
        <v>66439.676304115535</v>
      </c>
      <c r="E422" s="331">
        <f t="shared" si="30"/>
        <v>35.268951095875558</v>
      </c>
      <c r="F422" s="561">
        <f t="shared" si="31"/>
        <v>3.5268951095875561E-5</v>
      </c>
      <c r="G422" s="444">
        <f t="shared" si="32"/>
        <v>7.4847637956121353</v>
      </c>
      <c r="H422" s="462">
        <f t="shared" si="33"/>
        <v>7.4847637956121354E-6</v>
      </c>
    </row>
    <row r="423" spans="1:8">
      <c r="A423" s="113" t="s">
        <v>249</v>
      </c>
      <c r="B423" s="461">
        <f t="shared" ref="B423:B429" si="36">C304</f>
        <v>0</v>
      </c>
      <c r="C423" s="119">
        <f t="shared" si="28"/>
        <v>14099.803604632498</v>
      </c>
      <c r="D423" s="468">
        <f t="shared" si="29"/>
        <v>66439.676304115535</v>
      </c>
      <c r="E423" s="331">
        <f t="shared" si="30"/>
        <v>0</v>
      </c>
      <c r="F423" s="561">
        <f t="shared" si="31"/>
        <v>0</v>
      </c>
      <c r="G423" s="444">
        <f t="shared" si="32"/>
        <v>0</v>
      </c>
      <c r="H423" s="462">
        <f t="shared" si="33"/>
        <v>0</v>
      </c>
    </row>
    <row r="424" spans="1:8">
      <c r="A424" s="113" t="s">
        <v>250</v>
      </c>
      <c r="B424" s="461">
        <f t="shared" si="36"/>
        <v>0</v>
      </c>
      <c r="C424" s="119">
        <f t="shared" si="28"/>
        <v>14099.803604632498</v>
      </c>
      <c r="D424" s="468">
        <f t="shared" si="29"/>
        <v>66439.676304115535</v>
      </c>
      <c r="E424" s="331">
        <f t="shared" si="30"/>
        <v>0</v>
      </c>
      <c r="F424" s="561">
        <f t="shared" si="31"/>
        <v>0</v>
      </c>
      <c r="G424" s="444">
        <f t="shared" si="32"/>
        <v>0</v>
      </c>
      <c r="H424" s="462">
        <f t="shared" si="33"/>
        <v>0</v>
      </c>
    </row>
    <row r="425" spans="1:8">
      <c r="A425" s="113" t="s">
        <v>251</v>
      </c>
      <c r="B425" s="461">
        <f t="shared" si="36"/>
        <v>0</v>
      </c>
      <c r="C425" s="119">
        <f t="shared" si="28"/>
        <v>14099.803604632498</v>
      </c>
      <c r="D425" s="468">
        <f t="shared" si="29"/>
        <v>66439.676304115535</v>
      </c>
      <c r="E425" s="331">
        <f t="shared" si="30"/>
        <v>0</v>
      </c>
      <c r="F425" s="561">
        <f t="shared" si="31"/>
        <v>0</v>
      </c>
      <c r="G425" s="444">
        <f t="shared" si="32"/>
        <v>0</v>
      </c>
      <c r="H425" s="462">
        <f t="shared" si="33"/>
        <v>0</v>
      </c>
    </row>
    <row r="426" spans="1:8">
      <c r="A426" s="394" t="s">
        <v>238</v>
      </c>
      <c r="B426" s="461">
        <f t="shared" si="36"/>
        <v>0</v>
      </c>
      <c r="C426" s="119">
        <f t="shared" si="28"/>
        <v>14099.803604632498</v>
      </c>
      <c r="D426" s="468">
        <f t="shared" si="29"/>
        <v>66439.676304115535</v>
      </c>
      <c r="E426" s="331">
        <f t="shared" si="30"/>
        <v>0</v>
      </c>
      <c r="F426" s="561">
        <f t="shared" si="31"/>
        <v>0</v>
      </c>
      <c r="G426" s="444">
        <f t="shared" si="32"/>
        <v>0</v>
      </c>
      <c r="H426" s="462">
        <f t="shared" si="33"/>
        <v>0</v>
      </c>
    </row>
    <row r="427" spans="1:8">
      <c r="A427" s="394" t="s">
        <v>239</v>
      </c>
      <c r="B427" s="461">
        <f t="shared" si="36"/>
        <v>0</v>
      </c>
      <c r="C427" s="119">
        <f t="shared" si="28"/>
        <v>14099.803604632498</v>
      </c>
      <c r="D427" s="468">
        <f t="shared" si="29"/>
        <v>66439.676304115535</v>
      </c>
      <c r="E427" s="331">
        <f t="shared" si="30"/>
        <v>0</v>
      </c>
      <c r="F427" s="561">
        <f t="shared" si="31"/>
        <v>0</v>
      </c>
      <c r="G427" s="444">
        <f t="shared" si="32"/>
        <v>0</v>
      </c>
      <c r="H427" s="462">
        <f t="shared" si="33"/>
        <v>0</v>
      </c>
    </row>
    <row r="428" spans="1:8">
      <c r="A428" s="394" t="s">
        <v>248</v>
      </c>
      <c r="B428" s="461">
        <f t="shared" si="36"/>
        <v>0</v>
      </c>
      <c r="C428" s="119">
        <f t="shared" si="28"/>
        <v>14099.803604632498</v>
      </c>
      <c r="D428" s="468">
        <f t="shared" si="29"/>
        <v>66439.676304115535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6"/>
        <v>0.58885934189016353</v>
      </c>
      <c r="C429" s="135">
        <f t="shared" si="28"/>
        <v>14099.803604632498</v>
      </c>
      <c r="D429" s="469">
        <f t="shared" si="29"/>
        <v>66439.676304115535</v>
      </c>
      <c r="E429" s="466">
        <f t="shared" si="30"/>
        <v>41.763655608415249</v>
      </c>
      <c r="F429" s="562">
        <f t="shared" si="31"/>
        <v>4.1763655608415246E-5</v>
      </c>
      <c r="G429" s="445">
        <f t="shared" si="32"/>
        <v>8.8630675922436328</v>
      </c>
      <c r="H429" s="464">
        <f t="shared" si="33"/>
        <v>8.8630675922436322E-6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283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198.27039492748659</v>
      </c>
      <c r="C435" s="160">
        <f>$C$378</f>
        <v>8696.7607953751231</v>
      </c>
      <c r="D435" s="440">
        <f>$C$376</f>
        <v>21211.611696036885</v>
      </c>
      <c r="E435" s="443">
        <f>B435/C435*1000000</f>
        <v>22798.188842094565</v>
      </c>
      <c r="F435" s="560">
        <f>E435/1000000</f>
        <v>2.2798188842094565E-2</v>
      </c>
      <c r="G435" s="443">
        <f>B435/D435*1000000</f>
        <v>9347.2574252587729</v>
      </c>
      <c r="H435" s="460">
        <f>G435/1000000</f>
        <v>9.3472574252587721E-3</v>
      </c>
    </row>
    <row r="436" spans="1:8">
      <c r="A436" s="112" t="s">
        <v>73</v>
      </c>
      <c r="B436" s="461">
        <f>D290</f>
        <v>0.31340941366239267</v>
      </c>
      <c r="C436" s="119">
        <f t="shared" ref="C436:C456" si="37">$C$378</f>
        <v>8696.7607953751231</v>
      </c>
      <c r="D436" s="441">
        <f t="shared" ref="D436:D456" si="38">$C$376</f>
        <v>21211.611696036885</v>
      </c>
      <c r="E436" s="444">
        <f t="shared" ref="E436:E456" si="39">B436/C436*1000000</f>
        <v>36.037488098909378</v>
      </c>
      <c r="F436" s="561">
        <f t="shared" ref="F436:F456" si="40">E436/1000000</f>
        <v>3.6037488098909381E-5</v>
      </c>
      <c r="G436" s="444">
        <f t="shared" ref="G436:G456" si="41">B436/D436*1000000</f>
        <v>14.775370120552845</v>
      </c>
      <c r="H436" s="462">
        <f t="shared" ref="H436:H456" si="42">G436/1000000</f>
        <v>1.4775370120552845E-5</v>
      </c>
    </row>
    <row r="437" spans="1:8">
      <c r="A437" s="112" t="s">
        <v>74</v>
      </c>
      <c r="B437" s="461">
        <f t="shared" ref="B437:B450" si="43">D291</f>
        <v>1158.8403170058775</v>
      </c>
      <c r="C437" s="119">
        <f t="shared" si="37"/>
        <v>8696.7607953751231</v>
      </c>
      <c r="D437" s="441">
        <f t="shared" si="38"/>
        <v>21211.611696036885</v>
      </c>
      <c r="E437" s="444">
        <f t="shared" si="39"/>
        <v>133249.64826238991</v>
      </c>
      <c r="F437" s="561">
        <f t="shared" si="40"/>
        <v>0.13324964826238991</v>
      </c>
      <c r="G437" s="444">
        <f t="shared" si="41"/>
        <v>54632.355787579872</v>
      </c>
      <c r="H437" s="462">
        <f t="shared" si="42"/>
        <v>5.463235578757987E-2</v>
      </c>
    </row>
    <row r="438" spans="1:8">
      <c r="A438" s="112" t="s">
        <v>75</v>
      </c>
      <c r="B438" s="461">
        <f t="shared" si="43"/>
        <v>3.5924000412364314E-2</v>
      </c>
      <c r="C438" s="119">
        <f t="shared" si="37"/>
        <v>8696.7607953751231</v>
      </c>
      <c r="D438" s="441">
        <f t="shared" si="38"/>
        <v>21211.611696036885</v>
      </c>
      <c r="E438" s="444">
        <f t="shared" si="39"/>
        <v>4.1307334141544336</v>
      </c>
      <c r="F438" s="561">
        <f t="shared" si="40"/>
        <v>4.130733414154434E-6</v>
      </c>
      <c r="G438" s="444">
        <f t="shared" si="41"/>
        <v>1.6936006998033182</v>
      </c>
      <c r="H438" s="462">
        <f t="shared" si="42"/>
        <v>1.6936006998033181E-6</v>
      </c>
    </row>
    <row r="439" spans="1:8">
      <c r="A439" s="112" t="s">
        <v>76</v>
      </c>
      <c r="B439" s="461">
        <f t="shared" si="43"/>
        <v>0.91804498092767672</v>
      </c>
      <c r="C439" s="119">
        <f t="shared" si="37"/>
        <v>8696.7607953751231</v>
      </c>
      <c r="D439" s="441">
        <f t="shared" si="38"/>
        <v>21211.611696036885</v>
      </c>
      <c r="E439" s="444">
        <f t="shared" si="39"/>
        <v>105.56171458871061</v>
      </c>
      <c r="F439" s="561">
        <f t="shared" si="40"/>
        <v>1.0556171458871062E-4</v>
      </c>
      <c r="G439" s="444">
        <f t="shared" si="41"/>
        <v>43.280302981371356</v>
      </c>
      <c r="H439" s="462">
        <f t="shared" si="42"/>
        <v>4.3280302981371355E-5</v>
      </c>
    </row>
    <row r="440" spans="1:8">
      <c r="A440" s="113" t="s">
        <v>77</v>
      </c>
      <c r="B440" s="461">
        <f t="shared" si="43"/>
        <v>7.8465723740621449</v>
      </c>
      <c r="C440" s="119">
        <f t="shared" si="37"/>
        <v>8696.7607953751231</v>
      </c>
      <c r="D440" s="441">
        <f t="shared" si="38"/>
        <v>21211.611696036885</v>
      </c>
      <c r="E440" s="444">
        <f t="shared" si="39"/>
        <v>902.24079501357539</v>
      </c>
      <c r="F440" s="561">
        <f t="shared" si="40"/>
        <v>9.0224079501357538E-4</v>
      </c>
      <c r="G440" s="444">
        <f t="shared" si="41"/>
        <v>369.91872595556589</v>
      </c>
      <c r="H440" s="462">
        <f t="shared" si="42"/>
        <v>3.699187259555659E-4</v>
      </c>
    </row>
    <row r="441" spans="1:8">
      <c r="A441" s="113" t="s">
        <v>78</v>
      </c>
      <c r="B441" s="461">
        <f t="shared" si="43"/>
        <v>586.33148508781323</v>
      </c>
      <c r="C441" s="119">
        <f t="shared" si="37"/>
        <v>8696.7607953751231</v>
      </c>
      <c r="D441" s="441">
        <f t="shared" si="38"/>
        <v>21211.611696036885</v>
      </c>
      <c r="E441" s="444">
        <f t="shared" si="39"/>
        <v>67419.525370827745</v>
      </c>
      <c r="F441" s="561">
        <f t="shared" si="40"/>
        <v>6.7419525370827751E-2</v>
      </c>
      <c r="G441" s="444">
        <f t="shared" si="41"/>
        <v>27642.00540203938</v>
      </c>
      <c r="H441" s="462">
        <f t="shared" si="42"/>
        <v>2.7642005402039382E-2</v>
      </c>
    </row>
    <row r="442" spans="1:8">
      <c r="A442" s="113" t="s">
        <v>79</v>
      </c>
      <c r="B442" s="461">
        <f t="shared" si="43"/>
        <v>22.973118705125611</v>
      </c>
      <c r="C442" s="119">
        <f t="shared" si="37"/>
        <v>8696.7607953751231</v>
      </c>
      <c r="D442" s="441">
        <f t="shared" si="38"/>
        <v>21211.611696036885</v>
      </c>
      <c r="E442" s="444">
        <f t="shared" si="39"/>
        <v>2641.5718732131345</v>
      </c>
      <c r="F442" s="561">
        <f t="shared" si="40"/>
        <v>2.6415718732131343E-3</v>
      </c>
      <c r="G442" s="444">
        <f t="shared" si="41"/>
        <v>1083.044468017385</v>
      </c>
      <c r="H442" s="462">
        <f t="shared" si="42"/>
        <v>1.0830444680173851E-3</v>
      </c>
    </row>
    <row r="443" spans="1:8">
      <c r="A443" s="113" t="s">
        <v>80</v>
      </c>
      <c r="B443" s="461">
        <f t="shared" si="43"/>
        <v>38.38005455195232</v>
      </c>
      <c r="C443" s="119">
        <f t="shared" si="37"/>
        <v>8696.7607953751231</v>
      </c>
      <c r="D443" s="441">
        <f t="shared" si="38"/>
        <v>21211.611696036885</v>
      </c>
      <c r="E443" s="444">
        <f t="shared" si="39"/>
        <v>4413.1436353133413</v>
      </c>
      <c r="F443" s="561">
        <f t="shared" si="40"/>
        <v>4.4131436353133414E-3</v>
      </c>
      <c r="G443" s="444">
        <f t="shared" si="41"/>
        <v>1809.3888904784701</v>
      </c>
      <c r="H443" s="462">
        <f t="shared" si="42"/>
        <v>1.8093888904784701E-3</v>
      </c>
    </row>
    <row r="444" spans="1:8">
      <c r="A444" s="113" t="s">
        <v>81</v>
      </c>
      <c r="B444" s="461">
        <f t="shared" si="43"/>
        <v>18.227040197087611</v>
      </c>
      <c r="C444" s="119">
        <f t="shared" si="37"/>
        <v>8696.7607953751231</v>
      </c>
      <c r="D444" s="441">
        <f t="shared" si="38"/>
        <v>21211.611696036885</v>
      </c>
      <c r="E444" s="444">
        <f t="shared" si="39"/>
        <v>2095.8424206378795</v>
      </c>
      <c r="F444" s="561">
        <f t="shared" si="40"/>
        <v>2.0958424206378797E-3</v>
      </c>
      <c r="G444" s="444">
        <f t="shared" si="41"/>
        <v>859.29539246153081</v>
      </c>
      <c r="H444" s="462">
        <f t="shared" si="42"/>
        <v>8.5929539246153077E-4</v>
      </c>
    </row>
    <row r="445" spans="1:8">
      <c r="A445" s="113" t="s">
        <v>82</v>
      </c>
      <c r="B445" s="461">
        <f t="shared" si="43"/>
        <v>0.80381300955117296</v>
      </c>
      <c r="C445" s="119">
        <f t="shared" si="37"/>
        <v>8696.7607953751231</v>
      </c>
      <c r="D445" s="441">
        <f t="shared" si="38"/>
        <v>21211.611696036885</v>
      </c>
      <c r="E445" s="444">
        <f t="shared" si="39"/>
        <v>92.426712481115388</v>
      </c>
      <c r="F445" s="561">
        <f t="shared" si="40"/>
        <v>9.2426712481115392E-5</v>
      </c>
      <c r="G445" s="444">
        <f t="shared" si="41"/>
        <v>37.894952117257318</v>
      </c>
      <c r="H445" s="462">
        <f t="shared" si="42"/>
        <v>3.7894952117257316E-5</v>
      </c>
    </row>
    <row r="446" spans="1:8">
      <c r="A446" s="113" t="s">
        <v>213</v>
      </c>
      <c r="B446" s="461">
        <f t="shared" si="43"/>
        <v>209.07089642328322</v>
      </c>
      <c r="C446" s="119">
        <f t="shared" si="37"/>
        <v>8696.7607953751231</v>
      </c>
      <c r="D446" s="441">
        <f t="shared" si="38"/>
        <v>21211.611696036885</v>
      </c>
      <c r="E446" s="444">
        <f t="shared" si="39"/>
        <v>24040.088182540985</v>
      </c>
      <c r="F446" s="561">
        <f t="shared" si="40"/>
        <v>2.4040088182540983E-2</v>
      </c>
      <c r="G446" s="444">
        <f t="shared" si="41"/>
        <v>9856.4361548418019</v>
      </c>
      <c r="H446" s="462">
        <f t="shared" si="42"/>
        <v>9.8564361548418022E-3</v>
      </c>
    </row>
    <row r="447" spans="1:8">
      <c r="A447" s="113" t="s">
        <v>96</v>
      </c>
      <c r="B447" s="461">
        <f t="shared" si="43"/>
        <v>71.363265306122443</v>
      </c>
      <c r="C447" s="119">
        <f t="shared" si="37"/>
        <v>8696.7607953751231</v>
      </c>
      <c r="D447" s="441">
        <f t="shared" si="38"/>
        <v>21211.611696036885</v>
      </c>
      <c r="E447" s="444">
        <f t="shared" si="39"/>
        <v>8205.7293497221308</v>
      </c>
      <c r="F447" s="561">
        <f t="shared" si="40"/>
        <v>8.2057293497221316E-3</v>
      </c>
      <c r="G447" s="444">
        <f t="shared" si="41"/>
        <v>3364.3490333860741</v>
      </c>
      <c r="H447" s="462">
        <f t="shared" si="42"/>
        <v>3.3643490333860743E-3</v>
      </c>
    </row>
    <row r="448" spans="1:8">
      <c r="A448" s="113" t="s">
        <v>97</v>
      </c>
      <c r="B448" s="461">
        <f t="shared" si="43"/>
        <v>280.43416172940567</v>
      </c>
      <c r="C448" s="119">
        <f t="shared" si="37"/>
        <v>8696.7607953751231</v>
      </c>
      <c r="D448" s="441">
        <f t="shared" si="38"/>
        <v>21211.611696036885</v>
      </c>
      <c r="E448" s="444">
        <f t="shared" si="39"/>
        <v>32245.817532263118</v>
      </c>
      <c r="F448" s="561">
        <f t="shared" si="40"/>
        <v>3.2245817532263119E-2</v>
      </c>
      <c r="G448" s="444">
        <f t="shared" si="41"/>
        <v>13220.785188227877</v>
      </c>
      <c r="H448" s="462">
        <f t="shared" si="42"/>
        <v>1.3220785188227877E-2</v>
      </c>
    </row>
    <row r="449" spans="1:8">
      <c r="A449" s="113" t="s">
        <v>84</v>
      </c>
      <c r="B449" s="461">
        <f t="shared" si="43"/>
        <v>0.99071471620676654</v>
      </c>
      <c r="C449" s="119">
        <f t="shared" si="37"/>
        <v>8696.7607953751231</v>
      </c>
      <c r="D449" s="441">
        <f t="shared" si="38"/>
        <v>21211.611696036885</v>
      </c>
      <c r="E449" s="444">
        <f t="shared" si="39"/>
        <v>113.91766883293165</v>
      </c>
      <c r="F449" s="561">
        <f t="shared" si="40"/>
        <v>1.1391766883293165E-4</v>
      </c>
      <c r="G449" s="444">
        <f t="shared" si="41"/>
        <v>46.706244221501976</v>
      </c>
      <c r="H449" s="462">
        <f t="shared" si="42"/>
        <v>4.6706244221501972E-5</v>
      </c>
    </row>
    <row r="450" spans="1:8">
      <c r="A450" s="113" t="s">
        <v>249</v>
      </c>
      <c r="B450" s="461">
        <f t="shared" si="43"/>
        <v>226.8</v>
      </c>
      <c r="C450" s="119">
        <f t="shared" si="37"/>
        <v>8696.7607953751231</v>
      </c>
      <c r="D450" s="441">
        <f t="shared" si="38"/>
        <v>21211.611696036885</v>
      </c>
      <c r="E450" s="444">
        <f t="shared" si="39"/>
        <v>26078.675191412724</v>
      </c>
      <c r="F450" s="561">
        <f t="shared" si="40"/>
        <v>2.6078675191412725E-2</v>
      </c>
      <c r="G450" s="444">
        <f t="shared" si="41"/>
        <v>10692.256828479216</v>
      </c>
      <c r="H450" s="462">
        <f t="shared" si="42"/>
        <v>1.0692256828479216E-2</v>
      </c>
    </row>
    <row r="451" spans="1:8">
      <c r="A451" s="113" t="s">
        <v>250</v>
      </c>
      <c r="B451" s="461">
        <f t="shared" ref="B451:B456" si="44">D305</f>
        <v>564.24489795918362</v>
      </c>
      <c r="C451" s="119">
        <f t="shared" si="37"/>
        <v>8696.7607953751231</v>
      </c>
      <c r="D451" s="441">
        <f t="shared" si="38"/>
        <v>21211.611696036885</v>
      </c>
      <c r="E451" s="444">
        <f t="shared" si="39"/>
        <v>64879.891632669161</v>
      </c>
      <c r="F451" s="561">
        <f t="shared" si="40"/>
        <v>6.4879891632669162E-2</v>
      </c>
      <c r="G451" s="444">
        <f t="shared" si="41"/>
        <v>26600.755569394354</v>
      </c>
      <c r="H451" s="462">
        <f t="shared" si="42"/>
        <v>2.6600755569394355E-2</v>
      </c>
    </row>
    <row r="452" spans="1:8">
      <c r="A452" s="113" t="s">
        <v>251</v>
      </c>
      <c r="B452" s="461">
        <f t="shared" si="44"/>
        <v>791.04489795918357</v>
      </c>
      <c r="C452" s="119">
        <f t="shared" si="37"/>
        <v>8696.7607953751231</v>
      </c>
      <c r="D452" s="441">
        <f t="shared" si="38"/>
        <v>21211.611696036885</v>
      </c>
      <c r="E452" s="444">
        <f t="shared" si="39"/>
        <v>90958.566824081878</v>
      </c>
      <c r="F452" s="561">
        <f t="shared" si="40"/>
        <v>9.0958566824081877E-2</v>
      </c>
      <c r="G452" s="444">
        <f t="shared" si="41"/>
        <v>37293.012397873565</v>
      </c>
      <c r="H452" s="462">
        <f t="shared" si="42"/>
        <v>3.7293012397873568E-2</v>
      </c>
    </row>
    <row r="453" spans="1:8">
      <c r="A453" s="394" t="s">
        <v>238</v>
      </c>
      <c r="B453" s="461">
        <f t="shared" si="44"/>
        <v>2373.1346938775505</v>
      </c>
      <c r="C453" s="119">
        <f t="shared" si="37"/>
        <v>8696.7607953751231</v>
      </c>
      <c r="D453" s="441">
        <f t="shared" si="38"/>
        <v>21211.611696036885</v>
      </c>
      <c r="E453" s="444">
        <f t="shared" si="39"/>
        <v>272875.70047224557</v>
      </c>
      <c r="F453" s="561">
        <f t="shared" si="40"/>
        <v>0.27287570047224557</v>
      </c>
      <c r="G453" s="444">
        <f t="shared" si="41"/>
        <v>111879.03719362071</v>
      </c>
      <c r="H453" s="462">
        <f t="shared" si="42"/>
        <v>0.1118790371936207</v>
      </c>
    </row>
    <row r="454" spans="1:8">
      <c r="A454" s="394" t="s">
        <v>239</v>
      </c>
      <c r="B454" s="461">
        <f t="shared" si="44"/>
        <v>3361.9408163265302</v>
      </c>
      <c r="C454" s="119">
        <f t="shared" si="37"/>
        <v>8696.7607953751231</v>
      </c>
      <c r="D454" s="441">
        <f t="shared" si="38"/>
        <v>21211.611696036885</v>
      </c>
      <c r="E454" s="444">
        <f t="shared" si="39"/>
        <v>386573.90900234802</v>
      </c>
      <c r="F454" s="561">
        <f t="shared" si="40"/>
        <v>0.386573909002348</v>
      </c>
      <c r="G454" s="444">
        <f t="shared" si="41"/>
        <v>158495.30269096268</v>
      </c>
      <c r="H454" s="462">
        <f t="shared" si="42"/>
        <v>0.15849530269096268</v>
      </c>
    </row>
    <row r="455" spans="1:8">
      <c r="A455" s="394" t="s">
        <v>248</v>
      </c>
      <c r="B455" s="461">
        <f t="shared" si="44"/>
        <v>18.282830772357322</v>
      </c>
      <c r="C455" s="119">
        <f t="shared" si="37"/>
        <v>8696.7607953751231</v>
      </c>
      <c r="D455" s="441">
        <f t="shared" si="38"/>
        <v>21211.611696036885</v>
      </c>
      <c r="E455" s="444">
        <f>B455/C455*1000000</f>
        <v>2102.2575189235977</v>
      </c>
      <c r="F455" s="561">
        <f>E455/1000000</f>
        <v>2.1022575189235978E-3</v>
      </c>
      <c r="G455" s="444">
        <f>B455/D455*1000000</f>
        <v>861.92558275867509</v>
      </c>
      <c r="H455" s="462">
        <f>G455/1000000</f>
        <v>8.6192558275867512E-4</v>
      </c>
    </row>
    <row r="456" spans="1:8" ht="14.65" thickBot="1">
      <c r="A456" s="114" t="s">
        <v>86</v>
      </c>
      <c r="B456" s="463">
        <f t="shared" si="44"/>
        <v>27.647140658109837</v>
      </c>
      <c r="C456" s="135">
        <f t="shared" si="37"/>
        <v>8696.7607953751231</v>
      </c>
      <c r="D456" s="442">
        <f t="shared" si="38"/>
        <v>21211.611696036885</v>
      </c>
      <c r="E456" s="445">
        <f t="shared" si="39"/>
        <v>3179.0158782810713</v>
      </c>
      <c r="F456" s="562">
        <f t="shared" si="40"/>
        <v>3.1790158782810714E-3</v>
      </c>
      <c r="G456" s="445">
        <f t="shared" si="41"/>
        <v>1303.3965100952394</v>
      </c>
      <c r="H456" s="464">
        <f t="shared" si="42"/>
        <v>1.3033965100952393E-3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5">$B$462*B469/1000000</f>
        <v>0.54249999999999998</v>
      </c>
      <c r="E469" s="136">
        <f t="shared" ref="E469:E482" si="46">$C$462*C469/1000000</f>
        <v>7.0000000000000007E-2</v>
      </c>
      <c r="F469" s="473">
        <f t="shared" ref="F469:F482" si="47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5"/>
        <v>1494.9375</v>
      </c>
      <c r="E470" s="136">
        <f t="shared" si="46"/>
        <v>780.17240000000004</v>
      </c>
      <c r="F470" s="473">
        <f t="shared" si="47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5"/>
        <v>3.85E-2</v>
      </c>
      <c r="E471" s="136">
        <f t="shared" si="46"/>
        <v>1.4E-2</v>
      </c>
      <c r="F471" s="473">
        <f t="shared" si="47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5"/>
        <v>1.5925</v>
      </c>
      <c r="E472" s="136">
        <f t="shared" si="46"/>
        <v>0.37730000000000002</v>
      </c>
      <c r="F472" s="473">
        <f t="shared" si="47"/>
        <v>1.9698</v>
      </c>
    </row>
    <row r="473" spans="1:6">
      <c r="A473" s="232" t="s">
        <v>77</v>
      </c>
      <c r="B473" s="356">
        <v>663</v>
      </c>
      <c r="C473" s="408">
        <v>1099</v>
      </c>
      <c r="D473" s="228">
        <f t="shared" si="45"/>
        <v>11.602499999999999</v>
      </c>
      <c r="E473" s="136">
        <f t="shared" si="46"/>
        <v>7.6929999999999996</v>
      </c>
      <c r="F473" s="473">
        <f t="shared" si="47"/>
        <v>19.295499999999997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5"/>
        <v>1907.5</v>
      </c>
      <c r="E474" s="136">
        <f t="shared" si="46"/>
        <v>170.20500000000001</v>
      </c>
      <c r="F474" s="473">
        <f t="shared" si="47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5"/>
        <v>164.0625</v>
      </c>
      <c r="E475" s="136">
        <f t="shared" si="46"/>
        <v>68.936700000000002</v>
      </c>
      <c r="F475" s="473">
        <f t="shared" si="47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5"/>
        <v>213.35708333333335</v>
      </c>
      <c r="E476" s="136">
        <f t="shared" si="46"/>
        <v>88.942700000000002</v>
      </c>
      <c r="F476" s="473">
        <f t="shared" si="47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5"/>
        <v>44.274999999999999</v>
      </c>
      <c r="E477" s="136">
        <f t="shared" si="46"/>
        <v>23.422699999999999</v>
      </c>
      <c r="F477" s="473">
        <f t="shared" si="47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5"/>
        <v>1.1287499999999999</v>
      </c>
      <c r="E478" s="136">
        <f t="shared" si="46"/>
        <v>0.3332</v>
      </c>
      <c r="F478" s="473">
        <f t="shared" si="47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5"/>
        <v>1237.25</v>
      </c>
      <c r="E479" s="136">
        <f t="shared" si="46"/>
        <v>591.96900000000005</v>
      </c>
      <c r="F479" s="473">
        <f t="shared" si="47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5"/>
        <v>2.0474999999999999</v>
      </c>
      <c r="E480" s="136">
        <f t="shared" si="46"/>
        <v>0.56140000000000001</v>
      </c>
      <c r="F480" s="473">
        <f t="shared" si="47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5"/>
        <v>102.51305555555555</v>
      </c>
      <c r="E481" s="136">
        <f t="shared" si="46"/>
        <v>21.7959</v>
      </c>
      <c r="F481" s="473">
        <f t="shared" si="47"/>
        <v>124.30895555555556</v>
      </c>
    </row>
    <row r="482" spans="1:7" ht="14.65" thickBot="1">
      <c r="A482" s="233" t="s">
        <v>86</v>
      </c>
      <c r="B482" s="358">
        <v>2260</v>
      </c>
      <c r="C482" s="409">
        <v>1989</v>
      </c>
      <c r="D482" s="727">
        <f t="shared" si="45"/>
        <v>39.549999999999997</v>
      </c>
      <c r="E482" s="728">
        <f t="shared" si="46"/>
        <v>13.923</v>
      </c>
      <c r="F482" s="474">
        <f t="shared" si="47"/>
        <v>53.472999999999999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269.75360507251344</v>
      </c>
      <c r="C488" s="428">
        <f>F468</f>
        <v>1547.5740000000001</v>
      </c>
      <c r="D488" s="428">
        <f>B488+C488</f>
        <v>1817.3276050725135</v>
      </c>
      <c r="E488" s="382">
        <f>$C$391+$D$462</f>
        <v>38599.8036046325</v>
      </c>
      <c r="F488" s="557">
        <f>D488/E488*1000000</f>
        <v>47081.265585880072</v>
      </c>
      <c r="G488" s="460">
        <f>F488/1000000</f>
        <v>4.7081265585880071E-2</v>
      </c>
    </row>
    <row r="489" spans="1:7">
      <c r="A489" s="149" t="s">
        <v>73</v>
      </c>
      <c r="B489" s="541">
        <f>B409</f>
        <v>2.9790586337607339E-2</v>
      </c>
      <c r="C489" s="235">
        <f>F469</f>
        <v>0.61250000000000004</v>
      </c>
      <c r="D489" s="235">
        <f t="shared" ref="D489:D504" si="48">B489+C489</f>
        <v>0.64229058633760738</v>
      </c>
      <c r="E489" s="82">
        <f>$C$391+$D$462</f>
        <v>38599.8036046325</v>
      </c>
      <c r="F489" s="558">
        <f t="shared" ref="F489:F504" si="49">D489/E489*1000000</f>
        <v>16.639737158158074</v>
      </c>
      <c r="G489" s="462">
        <f t="shared" ref="G489:G504" si="50">F489/1000000</f>
        <v>1.6639737158158074E-5</v>
      </c>
    </row>
    <row r="490" spans="1:7">
      <c r="A490" s="232" t="s">
        <v>74</v>
      </c>
      <c r="B490" s="541">
        <f t="shared" ref="B490:B497" si="51">B410</f>
        <v>749.15968299412248</v>
      </c>
      <c r="C490" s="235">
        <f t="shared" ref="C490:C498" si="52">F470</f>
        <v>2275.1098999999999</v>
      </c>
      <c r="D490" s="235">
        <f t="shared" si="48"/>
        <v>3024.2695829941222</v>
      </c>
      <c r="E490" s="82">
        <f t="shared" ref="E490:E503" si="53">$C$391+$D$462</f>
        <v>38599.8036046325</v>
      </c>
      <c r="F490" s="558">
        <f t="shared" si="49"/>
        <v>78349.351565901976</v>
      </c>
      <c r="G490" s="462">
        <f t="shared" si="50"/>
        <v>7.8349351565901976E-2</v>
      </c>
    </row>
    <row r="491" spans="1:7">
      <c r="A491" s="232" t="s">
        <v>75</v>
      </c>
      <c r="B491" s="541">
        <f t="shared" si="51"/>
        <v>6.0759995876356887E-3</v>
      </c>
      <c r="C491" s="235">
        <f t="shared" si="52"/>
        <v>5.2499999999999998E-2</v>
      </c>
      <c r="D491" s="235">
        <f t="shared" si="48"/>
        <v>5.8575999587635687E-2</v>
      </c>
      <c r="E491" s="82">
        <f t="shared" si="53"/>
        <v>38599.8036046325</v>
      </c>
      <c r="F491" s="558">
        <f t="shared" si="49"/>
        <v>1.5175206637736824</v>
      </c>
      <c r="G491" s="462">
        <f t="shared" si="50"/>
        <v>1.5175206637736824E-6</v>
      </c>
    </row>
    <row r="492" spans="1:7">
      <c r="A492" s="232" t="s">
        <v>76</v>
      </c>
      <c r="B492" s="541">
        <f t="shared" si="51"/>
        <v>0.71395501907232317</v>
      </c>
      <c r="C492" s="235">
        <f t="shared" si="52"/>
        <v>1.9698</v>
      </c>
      <c r="D492" s="235">
        <f t="shared" si="48"/>
        <v>2.6837550190723229</v>
      </c>
      <c r="E492" s="82">
        <f t="shared" si="53"/>
        <v>38599.8036046325</v>
      </c>
      <c r="F492" s="558">
        <f t="shared" si="49"/>
        <v>69.527685854604613</v>
      </c>
      <c r="G492" s="462">
        <f t="shared" si="50"/>
        <v>6.9527685854604609E-5</v>
      </c>
    </row>
    <row r="493" spans="1:7">
      <c r="A493" s="150" t="s">
        <v>77</v>
      </c>
      <c r="B493" s="541">
        <f t="shared" si="51"/>
        <v>2.542762593785497E-2</v>
      </c>
      <c r="C493" s="235">
        <f t="shared" si="52"/>
        <v>19.295499999999997</v>
      </c>
      <c r="D493" s="235">
        <f t="shared" si="48"/>
        <v>19.320927625937852</v>
      </c>
      <c r="E493" s="82">
        <f t="shared" si="53"/>
        <v>38599.8036046325</v>
      </c>
      <c r="F493" s="558">
        <f t="shared" si="49"/>
        <v>500.5447132279989</v>
      </c>
      <c r="G493" s="462">
        <f t="shared" si="50"/>
        <v>5.0054471322799892E-4</v>
      </c>
    </row>
    <row r="494" spans="1:7">
      <c r="A494" s="150" t="s">
        <v>78</v>
      </c>
      <c r="B494" s="541">
        <f t="shared" si="51"/>
        <v>464.59251491218674</v>
      </c>
      <c r="C494" s="235">
        <f t="shared" si="52"/>
        <v>2077.7049999999999</v>
      </c>
      <c r="D494" s="235">
        <f t="shared" si="48"/>
        <v>2542.2975149121867</v>
      </c>
      <c r="E494" s="82">
        <f t="shared" si="53"/>
        <v>38599.8036046325</v>
      </c>
      <c r="F494" s="558">
        <f t="shared" si="49"/>
        <v>65862.965028326624</v>
      </c>
      <c r="G494" s="462">
        <f t="shared" si="50"/>
        <v>6.5862965028326628E-2</v>
      </c>
    </row>
    <row r="495" spans="1:7">
      <c r="A495" s="150" t="s">
        <v>79</v>
      </c>
      <c r="B495" s="541">
        <f t="shared" si="51"/>
        <v>75.786881294874391</v>
      </c>
      <c r="C495" s="235">
        <f t="shared" si="52"/>
        <v>232.9992</v>
      </c>
      <c r="D495" s="235">
        <f t="shared" si="48"/>
        <v>308.78608129487441</v>
      </c>
      <c r="E495" s="82">
        <f t="shared" si="53"/>
        <v>38599.8036046325</v>
      </c>
      <c r="F495" s="558">
        <f t="shared" si="49"/>
        <v>7999.6801138598503</v>
      </c>
      <c r="G495" s="462">
        <f t="shared" si="50"/>
        <v>7.9996801138598507E-3</v>
      </c>
    </row>
    <row r="496" spans="1:7">
      <c r="A496" s="150" t="s">
        <v>80</v>
      </c>
      <c r="B496" s="541">
        <f t="shared" si="51"/>
        <v>116.41994544804768</v>
      </c>
      <c r="C496" s="235">
        <f t="shared" si="52"/>
        <v>302.29978333333338</v>
      </c>
      <c r="D496" s="235">
        <f t="shared" si="48"/>
        <v>418.71972878138104</v>
      </c>
      <c r="E496" s="82">
        <f t="shared" si="53"/>
        <v>38599.8036046325</v>
      </c>
      <c r="F496" s="558">
        <f t="shared" si="49"/>
        <v>10847.716560172576</v>
      </c>
      <c r="G496" s="462">
        <f t="shared" si="50"/>
        <v>1.0847716560172575E-2</v>
      </c>
    </row>
    <row r="497" spans="1:7">
      <c r="A497" s="150" t="s">
        <v>81</v>
      </c>
      <c r="B497" s="541">
        <f t="shared" si="51"/>
        <v>78.972959802912385</v>
      </c>
      <c r="C497" s="235">
        <f t="shared" si="52"/>
        <v>67.697699999999998</v>
      </c>
      <c r="D497" s="235">
        <f t="shared" si="48"/>
        <v>146.67065980291238</v>
      </c>
      <c r="E497" s="82">
        <f t="shared" si="53"/>
        <v>38599.8036046325</v>
      </c>
      <c r="F497" s="558">
        <f t="shared" si="49"/>
        <v>3799.7773591083742</v>
      </c>
      <c r="G497" s="462">
        <f t="shared" si="50"/>
        <v>3.7997773591083744E-3</v>
      </c>
    </row>
    <row r="498" spans="1:7">
      <c r="A498" s="150" t="s">
        <v>82</v>
      </c>
      <c r="B498" s="541">
        <f t="shared" ref="B498:B503" si="54">B418</f>
        <v>0.69618699044882704</v>
      </c>
      <c r="C498" s="235">
        <f t="shared" si="52"/>
        <v>1.4619499999999999</v>
      </c>
      <c r="D498" s="235">
        <f t="shared" si="48"/>
        <v>2.1581369904488268</v>
      </c>
      <c r="E498" s="82">
        <f t="shared" si="53"/>
        <v>38599.8036046325</v>
      </c>
      <c r="F498" s="558">
        <f t="shared" si="49"/>
        <v>55.9105691975547</v>
      </c>
      <c r="G498" s="462">
        <f t="shared" si="50"/>
        <v>5.5910569197554702E-5</v>
      </c>
    </row>
    <row r="499" spans="1:7">
      <c r="A499" s="150" t="s">
        <v>213</v>
      </c>
      <c r="B499" s="541">
        <f t="shared" si="54"/>
        <v>770.34510357671684</v>
      </c>
      <c r="C499" s="235">
        <f>$F$479</f>
        <v>1829.2190000000001</v>
      </c>
      <c r="D499" s="235">
        <f t="shared" si="48"/>
        <v>2599.5641035767167</v>
      </c>
      <c r="E499" s="82">
        <f t="shared" si="53"/>
        <v>38599.8036046325</v>
      </c>
      <c r="F499" s="558">
        <f t="shared" si="49"/>
        <v>67346.562956727939</v>
      </c>
      <c r="G499" s="462">
        <f t="shared" si="50"/>
        <v>6.7346562956727946E-2</v>
      </c>
    </row>
    <row r="500" spans="1:7">
      <c r="A500" s="150" t="s">
        <v>96</v>
      </c>
      <c r="B500" s="541">
        <f t="shared" si="54"/>
        <v>2783.1673469387756</v>
      </c>
      <c r="C500" s="235">
        <v>0</v>
      </c>
      <c r="D500" s="235">
        <f t="shared" si="48"/>
        <v>2783.1673469387756</v>
      </c>
      <c r="E500" s="82">
        <f t="shared" si="53"/>
        <v>38599.8036046325</v>
      </c>
      <c r="F500" s="558">
        <f t="shared" si="49"/>
        <v>72103.147866917076</v>
      </c>
      <c r="G500" s="462">
        <f t="shared" si="50"/>
        <v>7.2103147866917072E-2</v>
      </c>
    </row>
    <row r="501" spans="1:7">
      <c r="A501" s="582" t="s">
        <v>97</v>
      </c>
      <c r="B501" s="541">
        <f t="shared" si="54"/>
        <v>3553.5124505154922</v>
      </c>
      <c r="C501" s="235">
        <f>C499+C500</f>
        <v>1829.2190000000001</v>
      </c>
      <c r="D501" s="235">
        <f t="shared" si="48"/>
        <v>5382.7314505154918</v>
      </c>
      <c r="E501" s="82">
        <f t="shared" si="53"/>
        <v>38599.8036046325</v>
      </c>
      <c r="F501" s="597">
        <f t="shared" si="49"/>
        <v>139449.710823645</v>
      </c>
      <c r="G501" s="583">
        <f t="shared" si="50"/>
        <v>0.13944971082364499</v>
      </c>
    </row>
    <row r="502" spans="1:7">
      <c r="A502" s="186" t="s">
        <v>84</v>
      </c>
      <c r="B502" s="541">
        <f t="shared" si="54"/>
        <v>0.49728528379323345</v>
      </c>
      <c r="C502" s="235">
        <f>F480</f>
        <v>2.6088999999999998</v>
      </c>
      <c r="D502" s="235">
        <f t="shared" si="48"/>
        <v>3.1061852837932333</v>
      </c>
      <c r="E502" s="82">
        <f t="shared" si="53"/>
        <v>38599.8036046325</v>
      </c>
      <c r="F502" s="558">
        <f t="shared" si="49"/>
        <v>80.471530777955806</v>
      </c>
      <c r="G502" s="462">
        <f t="shared" si="50"/>
        <v>8.0471530777955803E-5</v>
      </c>
    </row>
    <row r="503" spans="1:7">
      <c r="A503" s="150" t="s">
        <v>85</v>
      </c>
      <c r="B503" s="541">
        <f t="shared" si="54"/>
        <v>0</v>
      </c>
      <c r="C503" s="235">
        <f>F481</f>
        <v>124.30895555555556</v>
      </c>
      <c r="D503" s="235">
        <f t="shared" si="48"/>
        <v>124.30895555555556</v>
      </c>
      <c r="E503" s="82">
        <f t="shared" si="53"/>
        <v>38599.8036046325</v>
      </c>
      <c r="F503" s="558">
        <f t="shared" si="49"/>
        <v>3220.4556486561191</v>
      </c>
      <c r="G503" s="462">
        <f t="shared" si="50"/>
        <v>3.2204556486561189E-3</v>
      </c>
    </row>
    <row r="504" spans="1:7" ht="14.65" thickBot="1">
      <c r="A504" s="152" t="s">
        <v>86</v>
      </c>
      <c r="B504" s="542">
        <f>B429</f>
        <v>0.58885934189016353</v>
      </c>
      <c r="C504" s="236">
        <f>F482</f>
        <v>53.472999999999999</v>
      </c>
      <c r="D504" s="236">
        <f t="shared" si="48"/>
        <v>54.061859341890163</v>
      </c>
      <c r="E504" s="237">
        <f>$C$391+$D$462</f>
        <v>38599.8036046325</v>
      </c>
      <c r="F504" s="559">
        <f t="shared" si="49"/>
        <v>1400.5734302596816</v>
      </c>
      <c r="G504" s="464">
        <f t="shared" si="50"/>
        <v>1.4005734302596816E-3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3553.5124505154922</v>
      </c>
      <c r="C512" s="501">
        <f>$C$391</f>
        <v>14099.803604632498</v>
      </c>
      <c r="D512" s="227">
        <f>B512/C512*1000000</f>
        <v>252025.67001344499</v>
      </c>
      <c r="E512" s="475">
        <f>D512/1000000</f>
        <v>0.252025670013445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5">D513/1000000</f>
        <v>7.4662000000000006E-2</v>
      </c>
    </row>
    <row r="514" spans="1:5">
      <c r="A514" s="478" t="s">
        <v>150</v>
      </c>
      <c r="B514" s="480">
        <f>C514*31/98</f>
        <v>2156.5241776909456</v>
      </c>
      <c r="C514" s="587">
        <v>6817.39901334557</v>
      </c>
      <c r="D514" s="229">
        <f>B514/C514*1000000</f>
        <v>316326.53061224491</v>
      </c>
      <c r="E514" s="476">
        <f t="shared" si="55"/>
        <v>0.31632653061224492</v>
      </c>
    </row>
    <row r="515" spans="1:5" ht="14.65" thickBot="1">
      <c r="A515" s="479" t="s">
        <v>306</v>
      </c>
      <c r="B515" s="162">
        <f>SUM($B$512:$B$514)</f>
        <v>7539.2556282064379</v>
      </c>
      <c r="C515" s="503">
        <f>SUM($C$512:$C$514)</f>
        <v>45417.202617978066</v>
      </c>
      <c r="D515" s="588">
        <f>B515/C515*1000000</f>
        <v>165999.99985957038</v>
      </c>
      <c r="E515" s="584">
        <f t="shared" si="55"/>
        <v>0.16599999985957037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6817.39901334557</v>
      </c>
    </row>
    <row r="520" spans="1:5">
      <c r="A520" s="257" t="s">
        <v>436</v>
      </c>
      <c r="B520" s="178" t="s">
        <v>35</v>
      </c>
      <c r="C520" s="84">
        <f>C519/75%*25%</f>
        <v>2272.4663377818565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9089.865351127426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14099.803604632498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6817.39901334557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45417.202617978066</v>
      </c>
    </row>
    <row r="537" spans="1:3">
      <c r="A537" s="276" t="s">
        <v>345</v>
      </c>
      <c r="B537" s="296" t="s">
        <v>35</v>
      </c>
      <c r="C537" s="342">
        <f>C536/C527*C528</f>
        <v>55509.914310862085</v>
      </c>
    </row>
    <row r="538" spans="1:3">
      <c r="A538" s="257" t="s">
        <v>342</v>
      </c>
      <c r="B538" s="278" t="s">
        <v>35</v>
      </c>
      <c r="C538" s="347">
        <f>$C$400</f>
        <v>52339.872699483036</v>
      </c>
    </row>
    <row r="539" spans="1:3">
      <c r="A539" s="257" t="s">
        <v>436</v>
      </c>
      <c r="B539" s="278" t="s">
        <v>35</v>
      </c>
      <c r="C539" s="347">
        <f>$C$520</f>
        <v>2272.4663377818565</v>
      </c>
    </row>
    <row r="540" spans="1:3" ht="14.65" thickBot="1">
      <c r="A540" s="670" t="s">
        <v>363</v>
      </c>
      <c r="B540" s="713" t="s">
        <v>35</v>
      </c>
      <c r="C540" s="671">
        <f>C537-C538-C539</f>
        <v>897.57527359719234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3170.0416113790488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66439.676304115535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9089.865351127426</v>
      </c>
    </row>
    <row r="549" spans="1:3" ht="14.65" thickBot="1">
      <c r="A549" s="339" t="s">
        <v>363</v>
      </c>
      <c r="B549" s="271" t="s">
        <v>35</v>
      </c>
      <c r="C549" s="340">
        <f>$C$540</f>
        <v>897.57527359719234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66439.676304115535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9089.865351127426</v>
      </c>
    </row>
    <row r="557" spans="1:3">
      <c r="A557" s="375" t="s">
        <v>363</v>
      </c>
      <c r="B557" s="287" t="s">
        <v>35</v>
      </c>
      <c r="C557" s="279">
        <f>$C$540</f>
        <v>897.57527359719234</v>
      </c>
    </row>
    <row r="558" spans="1:3" ht="14.65" thickBot="1">
      <c r="A558" s="689" t="s">
        <v>305</v>
      </c>
      <c r="B558" s="677" t="s">
        <v>35</v>
      </c>
      <c r="C558" s="256">
        <f>SUM(C553:C557)</f>
        <v>100927.11692884016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14099.803604632498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6817.39901334557</v>
      </c>
    </row>
    <row r="566" spans="1:3">
      <c r="A566" s="257" t="s">
        <v>309</v>
      </c>
      <c r="B566" s="287" t="s">
        <v>35</v>
      </c>
      <c r="C566" s="279">
        <f>C562+C563+C564+C565</f>
        <v>45417.202617978066</v>
      </c>
    </row>
    <row r="567" spans="1:3">
      <c r="A567" s="257" t="s">
        <v>305</v>
      </c>
      <c r="B567" s="287" t="s">
        <v>35</v>
      </c>
      <c r="C567" s="279">
        <f>$C$558</f>
        <v>100927.11692884016</v>
      </c>
    </row>
    <row r="568" spans="1:3">
      <c r="A568" s="299" t="s">
        <v>64</v>
      </c>
      <c r="B568" s="258" t="s">
        <v>24</v>
      </c>
      <c r="C568" s="300">
        <f>C566/C567</f>
        <v>0.44999999999999996</v>
      </c>
    </row>
    <row r="569" spans="1:3">
      <c r="A569" s="68" t="s">
        <v>436</v>
      </c>
      <c r="B569" s="287" t="s">
        <v>35</v>
      </c>
      <c r="C569" s="279">
        <f>C539</f>
        <v>2272.4663377818565</v>
      </c>
    </row>
    <row r="570" spans="1:3">
      <c r="A570" s="375" t="s">
        <v>363</v>
      </c>
      <c r="B570" s="287" t="s">
        <v>35</v>
      </c>
      <c r="C570" s="279">
        <f>$C$540</f>
        <v>897.57527359719234</v>
      </c>
    </row>
    <row r="571" spans="1:3">
      <c r="A571" s="257" t="s">
        <v>342</v>
      </c>
      <c r="B571" s="287" t="s">
        <v>35</v>
      </c>
      <c r="C571" s="279">
        <f>$C$400</f>
        <v>52339.872699483036</v>
      </c>
    </row>
    <row r="572" spans="1:3">
      <c r="A572" s="257" t="s">
        <v>345</v>
      </c>
      <c r="B572" s="287" t="s">
        <v>35</v>
      </c>
      <c r="C572" s="279">
        <f>C569+C570+C571</f>
        <v>55509.914310862085</v>
      </c>
    </row>
    <row r="573" spans="1:3">
      <c r="A573" s="257" t="s">
        <v>305</v>
      </c>
      <c r="B573" s="287" t="s">
        <v>35</v>
      </c>
      <c r="C573" s="279">
        <f>$C$558</f>
        <v>100927.11692884016</v>
      </c>
    </row>
    <row r="574" spans="1:3" ht="14.65" thickBot="1">
      <c r="A574" s="301" t="s">
        <v>66</v>
      </c>
      <c r="B574" s="259" t="s">
        <v>24</v>
      </c>
      <c r="C574" s="303">
        <f>C572/C573</f>
        <v>0.54999999999999993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269.75360507251344</v>
      </c>
      <c r="C580" s="378">
        <f>F468</f>
        <v>1547.5740000000001</v>
      </c>
      <c r="D580" s="378">
        <v>0</v>
      </c>
      <c r="E580" s="378">
        <f>B580+C580+D580</f>
        <v>1817.3276050725135</v>
      </c>
      <c r="F580" s="657">
        <f t="shared" ref="F580:F594" si="56">$C$566</f>
        <v>45417.202617978066</v>
      </c>
      <c r="G580" s="634">
        <f>E580/F580*1000000</f>
        <v>40014.080575564505</v>
      </c>
      <c r="H580" s="481">
        <f>G580/1000000</f>
        <v>4.0014080575564506E-2</v>
      </c>
    </row>
    <row r="581" spans="1:8">
      <c r="A581" s="149" t="s">
        <v>73</v>
      </c>
      <c r="B581" s="592">
        <f>B489</f>
        <v>2.9790586337607339E-2</v>
      </c>
      <c r="C581" s="364">
        <f>F469</f>
        <v>0.61250000000000004</v>
      </c>
      <c r="D581" s="364">
        <v>0</v>
      </c>
      <c r="E581" s="364">
        <f t="shared" ref="E581:E594" si="57">B581+C581+D581</f>
        <v>0.64229058633760738</v>
      </c>
      <c r="F581" s="658">
        <f t="shared" si="56"/>
        <v>45417.202617978066</v>
      </c>
      <c r="G581" s="558">
        <f t="shared" ref="G581:G593" si="58">E581/F581*1000000</f>
        <v>14.142011161281021</v>
      </c>
      <c r="H581" s="462">
        <f t="shared" ref="H581:H594" si="59">G581/1000000</f>
        <v>1.4142011161281021E-5</v>
      </c>
    </row>
    <row r="582" spans="1:8">
      <c r="A582" s="149" t="s">
        <v>74</v>
      </c>
      <c r="B582" s="592">
        <f t="shared" ref="B582:B584" si="60">B490</f>
        <v>749.15968299412248</v>
      </c>
      <c r="C582" s="364">
        <f t="shared" ref="C582:C593" si="61">F470</f>
        <v>2275.1098999999999</v>
      </c>
      <c r="D582" s="364">
        <v>0</v>
      </c>
      <c r="E582" s="364">
        <f t="shared" si="57"/>
        <v>3024.2695829941222</v>
      </c>
      <c r="F582" s="658">
        <f t="shared" si="56"/>
        <v>45417.202617978066</v>
      </c>
      <c r="G582" s="558">
        <f t="shared" si="58"/>
        <v>66588.636214177299</v>
      </c>
      <c r="H582" s="462">
        <f t="shared" si="59"/>
        <v>6.6588636214177294E-2</v>
      </c>
    </row>
    <row r="583" spans="1:8">
      <c r="A583" s="149" t="s">
        <v>75</v>
      </c>
      <c r="B583" s="592">
        <f t="shared" si="60"/>
        <v>6.0759995876356887E-3</v>
      </c>
      <c r="C583" s="364">
        <f t="shared" si="61"/>
        <v>5.2499999999999998E-2</v>
      </c>
      <c r="D583" s="364">
        <v>0</v>
      </c>
      <c r="E583" s="364">
        <f t="shared" si="57"/>
        <v>5.8575999587635687E-2</v>
      </c>
      <c r="F583" s="658">
        <f t="shared" si="56"/>
        <v>45417.202617978066</v>
      </c>
      <c r="G583" s="558">
        <f t="shared" si="58"/>
        <v>1.2897315600950026</v>
      </c>
      <c r="H583" s="462">
        <f t="shared" si="59"/>
        <v>1.2897315600950026E-6</v>
      </c>
    </row>
    <row r="584" spans="1:8">
      <c r="A584" s="149" t="s">
        <v>76</v>
      </c>
      <c r="B584" s="592">
        <f t="shared" si="60"/>
        <v>0.71395501907232317</v>
      </c>
      <c r="C584" s="364">
        <f t="shared" si="61"/>
        <v>1.9698</v>
      </c>
      <c r="D584" s="364">
        <v>0</v>
      </c>
      <c r="E584" s="364">
        <f t="shared" si="57"/>
        <v>2.6837550190723229</v>
      </c>
      <c r="F584" s="658">
        <f t="shared" si="56"/>
        <v>45417.202617978066</v>
      </c>
      <c r="G584" s="558">
        <f t="shared" si="58"/>
        <v>59.091156310229863</v>
      </c>
      <c r="H584" s="462">
        <f t="shared" si="59"/>
        <v>5.9091156310229863E-5</v>
      </c>
    </row>
    <row r="585" spans="1:8">
      <c r="A585" s="150" t="s">
        <v>77</v>
      </c>
      <c r="B585" s="592">
        <f>B493</f>
        <v>2.542762593785497E-2</v>
      </c>
      <c r="C585" s="364">
        <f t="shared" si="61"/>
        <v>19.295499999999997</v>
      </c>
      <c r="D585" s="364">
        <v>0</v>
      </c>
      <c r="E585" s="364">
        <f t="shared" si="57"/>
        <v>19.320927625937852</v>
      </c>
      <c r="F585" s="658">
        <f t="shared" si="56"/>
        <v>45417.202617978066</v>
      </c>
      <c r="G585" s="558">
        <f t="shared" si="58"/>
        <v>425.40990004280457</v>
      </c>
      <c r="H585" s="462">
        <f t="shared" si="59"/>
        <v>4.2540990004280457E-4</v>
      </c>
    </row>
    <row r="586" spans="1:8">
      <c r="A586" s="150" t="s">
        <v>78</v>
      </c>
      <c r="B586" s="592">
        <f>B494</f>
        <v>464.59251491218674</v>
      </c>
      <c r="C586" s="364">
        <f t="shared" si="61"/>
        <v>2077.7049999999999</v>
      </c>
      <c r="D586" s="364">
        <v>0</v>
      </c>
      <c r="E586" s="364">
        <f t="shared" si="57"/>
        <v>2542.2975149121867</v>
      </c>
      <c r="F586" s="658">
        <f t="shared" si="56"/>
        <v>45417.202617978066</v>
      </c>
      <c r="G586" s="558">
        <f t="shared" si="58"/>
        <v>55976.532423109587</v>
      </c>
      <c r="H586" s="462">
        <f t="shared" si="59"/>
        <v>5.5976532423109585E-2</v>
      </c>
    </row>
    <row r="587" spans="1:8">
      <c r="A587" s="150" t="s">
        <v>79</v>
      </c>
      <c r="B587" s="592">
        <f>B495</f>
        <v>75.786881294874391</v>
      </c>
      <c r="C587" s="364">
        <f t="shared" si="61"/>
        <v>232.9992</v>
      </c>
      <c r="D587" s="364">
        <v>0</v>
      </c>
      <c r="E587" s="364">
        <f t="shared" si="57"/>
        <v>308.78608129487441</v>
      </c>
      <c r="F587" s="658">
        <f t="shared" si="56"/>
        <v>45417.202617978066</v>
      </c>
      <c r="G587" s="558">
        <f t="shared" si="58"/>
        <v>6798.8793561813018</v>
      </c>
      <c r="H587" s="462">
        <f t="shared" si="59"/>
        <v>6.7988793561813022E-3</v>
      </c>
    </row>
    <row r="588" spans="1:8">
      <c r="A588" s="150" t="s">
        <v>80</v>
      </c>
      <c r="B588" s="592">
        <f>B496</f>
        <v>116.41994544804768</v>
      </c>
      <c r="C588" s="364">
        <f t="shared" si="61"/>
        <v>302.29978333333338</v>
      </c>
      <c r="D588" s="364">
        <v>0</v>
      </c>
      <c r="E588" s="364">
        <f t="shared" si="57"/>
        <v>418.71972878138104</v>
      </c>
      <c r="F588" s="658">
        <f t="shared" si="56"/>
        <v>45417.202617978066</v>
      </c>
      <c r="G588" s="558">
        <f t="shared" si="58"/>
        <v>9219.4081679445826</v>
      </c>
      <c r="H588" s="462">
        <f t="shared" si="59"/>
        <v>9.219408167944582E-3</v>
      </c>
    </row>
    <row r="589" spans="1:8">
      <c r="A589" s="150" t="s">
        <v>81</v>
      </c>
      <c r="B589" s="592">
        <f>B497</f>
        <v>78.972959802912385</v>
      </c>
      <c r="C589" s="364">
        <f t="shared" si="61"/>
        <v>67.697699999999998</v>
      </c>
      <c r="D589" s="364">
        <v>0</v>
      </c>
      <c r="E589" s="364">
        <f t="shared" si="57"/>
        <v>146.67065980291238</v>
      </c>
      <c r="F589" s="658">
        <f t="shared" si="56"/>
        <v>45417.202617978066</v>
      </c>
      <c r="G589" s="558">
        <f t="shared" si="58"/>
        <v>3229.4076109578332</v>
      </c>
      <c r="H589" s="462">
        <f t="shared" si="59"/>
        <v>3.229407610957833E-3</v>
      </c>
    </row>
    <row r="590" spans="1:8">
      <c r="A590" s="150" t="s">
        <v>82</v>
      </c>
      <c r="B590" s="592">
        <f t="shared" ref="B590" si="62">B498</f>
        <v>0.69618699044882704</v>
      </c>
      <c r="C590" s="364">
        <f t="shared" si="61"/>
        <v>1.4619499999999999</v>
      </c>
      <c r="D590" s="364">
        <v>0</v>
      </c>
      <c r="E590" s="364">
        <f t="shared" si="57"/>
        <v>2.1581369904488268</v>
      </c>
      <c r="F590" s="658">
        <f t="shared" si="56"/>
        <v>45417.202617978066</v>
      </c>
      <c r="G590" s="558">
        <f t="shared" si="58"/>
        <v>47.518051884475689</v>
      </c>
      <c r="H590" s="462">
        <f t="shared" si="59"/>
        <v>4.7518051884475687E-5</v>
      </c>
    </row>
    <row r="591" spans="1:8">
      <c r="A591" s="350" t="s">
        <v>154</v>
      </c>
      <c r="B591" s="592">
        <f>B501</f>
        <v>3553.5124505154922</v>
      </c>
      <c r="C591" s="364">
        <f t="shared" si="61"/>
        <v>1829.2190000000001</v>
      </c>
      <c r="D591" s="364">
        <f>$B$514</f>
        <v>2156.5241776909456</v>
      </c>
      <c r="E591" s="364">
        <f t="shared" si="57"/>
        <v>7539.2556282064379</v>
      </c>
      <c r="F591" s="658">
        <f t="shared" si="56"/>
        <v>45417.202617978066</v>
      </c>
      <c r="G591" s="597">
        <f t="shared" si="58"/>
        <v>165999.99985957038</v>
      </c>
      <c r="H591" s="583">
        <f t="shared" si="59"/>
        <v>0.16599999985957037</v>
      </c>
    </row>
    <row r="592" spans="1:8">
      <c r="A592" s="398" t="s">
        <v>84</v>
      </c>
      <c r="B592" s="592">
        <f>B502</f>
        <v>0.49728528379323345</v>
      </c>
      <c r="C592" s="364">
        <f t="shared" si="61"/>
        <v>2.6088999999999998</v>
      </c>
      <c r="D592" s="364">
        <v>0</v>
      </c>
      <c r="E592" s="364">
        <f t="shared" si="57"/>
        <v>3.1061852837932333</v>
      </c>
      <c r="F592" s="658">
        <f t="shared" si="56"/>
        <v>45417.202617978066</v>
      </c>
      <c r="G592" s="558">
        <f t="shared" si="58"/>
        <v>68.392263387962885</v>
      </c>
      <c r="H592" s="462">
        <f t="shared" si="59"/>
        <v>6.839226338796288E-5</v>
      </c>
    </row>
    <row r="593" spans="1:8">
      <c r="A593" s="398" t="s">
        <v>85</v>
      </c>
      <c r="B593" s="592">
        <f t="shared" ref="B593:B594" si="63">B503</f>
        <v>0</v>
      </c>
      <c r="C593" s="364">
        <f t="shared" si="61"/>
        <v>124.30895555555556</v>
      </c>
      <c r="D593" s="364">
        <v>0</v>
      </c>
      <c r="E593" s="364">
        <f t="shared" si="57"/>
        <v>124.30895555555556</v>
      </c>
      <c r="F593" s="658">
        <f t="shared" si="56"/>
        <v>45417.202617978066</v>
      </c>
      <c r="G593" s="558">
        <f t="shared" si="58"/>
        <v>2737.0456212630929</v>
      </c>
      <c r="H593" s="462">
        <f t="shared" si="59"/>
        <v>2.7370456212630931E-3</v>
      </c>
    </row>
    <row r="594" spans="1:8" ht="14.65" thickBot="1">
      <c r="A594" s="152" t="s">
        <v>86</v>
      </c>
      <c r="B594" s="659">
        <f t="shared" si="63"/>
        <v>0.58885934189016353</v>
      </c>
      <c r="C594" s="379">
        <f>F482</f>
        <v>53.472999999999999</v>
      </c>
      <c r="D594" s="379">
        <v>0</v>
      </c>
      <c r="E594" s="379">
        <f t="shared" si="57"/>
        <v>54.061859341890163</v>
      </c>
      <c r="F594" s="660">
        <f t="shared" si="56"/>
        <v>45417.202617978066</v>
      </c>
      <c r="G594" s="559">
        <f>E594/F594*1000000</f>
        <v>1190.338819337371</v>
      </c>
      <c r="H594" s="464">
        <f t="shared" si="59"/>
        <v>1.1903388193373709E-3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100927.11692884016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45417.202617978066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47807.581703134805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2390.3790851567423</v>
      </c>
    </row>
    <row r="610" spans="1:5" ht="14.65" thickBot="1">
      <c r="A610" s="689" t="s">
        <v>16</v>
      </c>
      <c r="B610" s="163" t="s">
        <v>35</v>
      </c>
      <c r="C610" s="690">
        <f>$C$572-C609</f>
        <v>53119.535225705346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231</v>
      </c>
      <c r="C613" s="1061"/>
      <c r="D613" s="1061"/>
      <c r="E613" s="1009"/>
    </row>
    <row r="614" spans="1:5" hidden="1">
      <c r="A614" s="487" t="s">
        <v>217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218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idden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6.2317944488571152E-3</v>
      </c>
      <c r="E616" s="507">
        <f>SUM(B616:D616)</f>
        <v>5.8731794448857115E-2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0.51003618850588051</v>
      </c>
      <c r="E617" s="508">
        <f>SUM(B617:D617)</f>
        <v>3.1189361885058804</v>
      </c>
    </row>
    <row r="618" spans="1:5" ht="14.65" hidden="1" thickBot="1"/>
    <row r="619" spans="1:5" ht="14.65" thickBot="1">
      <c r="A619" s="512"/>
      <c r="B619" s="249" t="s">
        <v>218</v>
      </c>
      <c r="C619" s="249" t="s">
        <v>234</v>
      </c>
    </row>
    <row r="620" spans="1:5">
      <c r="A620" s="134" t="s">
        <v>232</v>
      </c>
      <c r="B620" s="509" t="s">
        <v>233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45417.202617978066</v>
      </c>
    </row>
    <row r="622" spans="1:5">
      <c r="A622" s="68" t="s">
        <v>349</v>
      </c>
      <c r="B622" s="510" t="s">
        <v>35</v>
      </c>
      <c r="C622" s="245">
        <f>C621*C620</f>
        <v>17258.536994831666</v>
      </c>
    </row>
    <row r="623" spans="1:5">
      <c r="A623" s="68" t="s">
        <v>350</v>
      </c>
      <c r="B623" s="510" t="s">
        <v>35</v>
      </c>
      <c r="C623" s="246">
        <f>E583</f>
        <v>5.8575999587635687E-2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3.3940304213026384</v>
      </c>
    </row>
    <row r="625" spans="1:4" ht="14.65" thickBot="1"/>
    <row r="626" spans="1:4" ht="14.65" thickBot="1">
      <c r="A626" s="212"/>
      <c r="B626" s="1010" t="s">
        <v>216</v>
      </c>
      <c r="C626" s="1005" t="s">
        <v>219</v>
      </c>
      <c r="D626" s="1012"/>
    </row>
    <row r="627" spans="1:4">
      <c r="A627" s="487" t="s">
        <v>217</v>
      </c>
      <c r="B627" s="1011"/>
      <c r="C627" s="3" t="s">
        <v>220</v>
      </c>
      <c r="D627" s="15" t="s">
        <v>221</v>
      </c>
    </row>
    <row r="628" spans="1:4" ht="14.65" thickBot="1">
      <c r="A628" s="133" t="s">
        <v>218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14.142011161281021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3.3940304213026384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425.40990004280457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47.518051884475689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G592</f>
        <v>68.392263387962885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1190.338819337371</v>
      </c>
      <c r="C634" s="486">
        <f>Rohdaten!$F$25</f>
        <v>5000</v>
      </c>
      <c r="D634" s="237">
        <f>Rohdaten!$H$25</f>
        <v>1500</v>
      </c>
    </row>
  </sheetData>
  <mergeCells count="45">
    <mergeCell ref="B465:C465"/>
    <mergeCell ref="D465:F465"/>
    <mergeCell ref="B626:B627"/>
    <mergeCell ref="B199:C199"/>
    <mergeCell ref="B200:C200"/>
    <mergeCell ref="C626:D626"/>
    <mergeCell ref="B613:E613"/>
    <mergeCell ref="B285:F285"/>
    <mergeCell ref="B432:D432"/>
    <mergeCell ref="B405:D405"/>
    <mergeCell ref="E405:H405"/>
    <mergeCell ref="E406:F406"/>
    <mergeCell ref="G406:H406"/>
    <mergeCell ref="G285:L285"/>
    <mergeCell ref="B286:B287"/>
    <mergeCell ref="C286:C287"/>
    <mergeCell ref="D286:D287"/>
    <mergeCell ref="D63:F63"/>
    <mergeCell ref="I120:L120"/>
    <mergeCell ref="I121:J121"/>
    <mergeCell ref="K121:L121"/>
    <mergeCell ref="G120:H121"/>
    <mergeCell ref="B119:F119"/>
    <mergeCell ref="G119:L119"/>
    <mergeCell ref="B120:B121"/>
    <mergeCell ref="E120:E121"/>
    <mergeCell ref="D120:D121"/>
    <mergeCell ref="F120:F121"/>
    <mergeCell ref="C120:C121"/>
    <mergeCell ref="E286:E287"/>
    <mergeCell ref="F286:F287"/>
    <mergeCell ref="G286:H287"/>
    <mergeCell ref="I286:L286"/>
    <mergeCell ref="I287:J287"/>
    <mergeCell ref="K287:L287"/>
    <mergeCell ref="E432:H432"/>
    <mergeCell ref="E433:F433"/>
    <mergeCell ref="G433:H433"/>
    <mergeCell ref="B485:E485"/>
    <mergeCell ref="F485:G485"/>
    <mergeCell ref="F486:G486"/>
    <mergeCell ref="D510:E510"/>
    <mergeCell ref="G578:H578"/>
    <mergeCell ref="B577:F577"/>
    <mergeCell ref="G577:H577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E4193-AE40-4485-8864-74AE06CA5A2F}">
  <sheetPr codeName="Tabelle14"/>
  <dimension ref="A1:L634"/>
  <sheetViews>
    <sheetView topLeftCell="A212" zoomScale="58" zoomScaleNormal="50" workbookViewId="0">
      <selection activeCell="A509" sqref="A509"/>
    </sheetView>
  </sheetViews>
  <sheetFormatPr baseColWidth="10" defaultColWidth="8.86328125" defaultRowHeight="14.25"/>
  <cols>
    <col min="1" max="1" width="44.332031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0.2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2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0.2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2400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9.0538705296514255E-2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26508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9900</v>
      </c>
    </row>
    <row r="34" spans="1:3" ht="14.65" thickBot="1">
      <c r="A34" s="680" t="s">
        <v>427</v>
      </c>
      <c r="B34" s="694" t="s">
        <v>35</v>
      </c>
      <c r="C34" s="725">
        <f>C30+C33</f>
        <v>16500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2400</v>
      </c>
    </row>
    <row r="40" spans="1:3" hidden="1">
      <c r="A40" s="257" t="s">
        <v>33</v>
      </c>
      <c r="B40" s="287" t="s">
        <v>35</v>
      </c>
      <c r="C40" s="295">
        <f>$C$30</f>
        <v>6600.0000000000009</v>
      </c>
    </row>
    <row r="41" spans="1:3" hidden="1">
      <c r="A41" s="257" t="s">
        <v>57</v>
      </c>
      <c r="B41" s="287" t="s">
        <v>35</v>
      </c>
      <c r="C41" s="279">
        <f>C38+C39+C40</f>
        <v>21000</v>
      </c>
    </row>
    <row r="42" spans="1:3" hidden="1">
      <c r="A42" s="257" t="s">
        <v>58</v>
      </c>
      <c r="B42" s="287" t="s">
        <v>35</v>
      </c>
      <c r="C42" s="279">
        <f>$C$22+$C$25+$C$30+$C$24</f>
        <v>55008</v>
      </c>
    </row>
    <row r="43" spans="1:3" hidden="1">
      <c r="A43" s="299" t="s">
        <v>59</v>
      </c>
      <c r="B43" s="258" t="s">
        <v>24</v>
      </c>
      <c r="C43" s="300">
        <f>C41/C42</f>
        <v>0.3817626527050611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55008</v>
      </c>
    </row>
    <row r="47" spans="1:3" ht="14.65" hidden="1" thickBot="1">
      <c r="A47" s="301" t="s">
        <v>61</v>
      </c>
      <c r="B47" s="259" t="s">
        <v>24</v>
      </c>
      <c r="C47" s="302">
        <f>C44/C46</f>
        <v>0.61823734729493895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2400</v>
      </c>
    </row>
    <row r="53" spans="1:6" hidden="1">
      <c r="A53" s="257" t="s">
        <v>33</v>
      </c>
      <c r="B53" s="287" t="s">
        <v>35</v>
      </c>
      <c r="C53" s="295">
        <f>$C$30</f>
        <v>6600.0000000000009</v>
      </c>
    </row>
    <row r="54" spans="1:6" hidden="1">
      <c r="A54" s="257" t="s">
        <v>430</v>
      </c>
      <c r="B54" s="287" t="s">
        <v>35</v>
      </c>
      <c r="C54" s="279">
        <f>C51+C52+C53</f>
        <v>21000</v>
      </c>
    </row>
    <row r="55" spans="1:6" hidden="1">
      <c r="A55" s="257" t="s">
        <v>58</v>
      </c>
      <c r="B55" s="287" t="s">
        <v>35</v>
      </c>
      <c r="C55" s="279">
        <f>$C$22+$C$25+$C$30+$C$24</f>
        <v>55008</v>
      </c>
    </row>
    <row r="56" spans="1:6" hidden="1">
      <c r="A56" s="299" t="s">
        <v>64</v>
      </c>
      <c r="B56" s="258" t="s">
        <v>24</v>
      </c>
      <c r="C56" s="300">
        <f>C54/C88</f>
        <v>0.3817626527050611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55008</v>
      </c>
    </row>
    <row r="60" spans="1:6" ht="14.65" hidden="1" thickBot="1">
      <c r="A60" s="301" t="s">
        <v>66</v>
      </c>
      <c r="B60" s="259" t="s">
        <v>24</v>
      </c>
      <c r="C60" s="303">
        <f>C58/C88</f>
        <v>0.61823734729493895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0.6191868864567116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289.79432334701602</v>
      </c>
      <c r="F66" s="467">
        <f t="shared" ref="F66:F78" si="2">D66*(1-B66)</f>
        <v>178.22967665298401</v>
      </c>
    </row>
    <row r="67" spans="1:7">
      <c r="A67" s="107" t="s">
        <v>73</v>
      </c>
      <c r="B67" s="448">
        <v>0.82923397414839517</v>
      </c>
      <c r="C67" s="413">
        <v>28.6</v>
      </c>
      <c r="D67" s="229">
        <f t="shared" si="0"/>
        <v>0.34320000000000001</v>
      </c>
      <c r="E67" s="424">
        <f t="shared" si="1"/>
        <v>0.28459309992772924</v>
      </c>
      <c r="F67" s="468">
        <f t="shared" si="2"/>
        <v>5.8606900072270776E-2</v>
      </c>
    </row>
    <row r="68" spans="1:7">
      <c r="A68" s="108" t="s">
        <v>74</v>
      </c>
      <c r="B68" s="448">
        <v>0.25071918088306311</v>
      </c>
      <c r="C68" s="413">
        <v>159000</v>
      </c>
      <c r="D68" s="229">
        <f t="shared" si="0"/>
        <v>1908</v>
      </c>
      <c r="E68" s="424">
        <f t="shared" si="1"/>
        <v>478.37219712488439</v>
      </c>
      <c r="F68" s="468">
        <f t="shared" si="2"/>
        <v>1429.6278028751155</v>
      </c>
      <c r="G68" s="710"/>
    </row>
    <row r="69" spans="1:7">
      <c r="A69" s="108" t="s">
        <v>75</v>
      </c>
      <c r="B69" s="448">
        <v>9.452344167988902E-3</v>
      </c>
      <c r="C69" s="413">
        <v>3.5</v>
      </c>
      <c r="D69" s="229">
        <f t="shared" si="0"/>
        <v>4.2000000000000003E-2</v>
      </c>
      <c r="E69" s="424">
        <f t="shared" si="1"/>
        <v>3.9699845505553391E-4</v>
      </c>
      <c r="F69" s="468">
        <f t="shared" si="2"/>
        <v>4.1603001544944472E-2</v>
      </c>
    </row>
    <row r="70" spans="1:7">
      <c r="A70" s="108" t="s">
        <v>76</v>
      </c>
      <c r="B70" s="448">
        <v>0.35199415966469738</v>
      </c>
      <c r="C70" s="413">
        <v>136</v>
      </c>
      <c r="D70" s="229">
        <f t="shared" si="0"/>
        <v>1.6319999999999999</v>
      </c>
      <c r="E70" s="424">
        <f t="shared" si="1"/>
        <v>0.57445446857278604</v>
      </c>
      <c r="F70" s="468">
        <f t="shared" si="2"/>
        <v>1.0575455314272137</v>
      </c>
    </row>
    <row r="71" spans="1:7">
      <c r="A71" s="108" t="s">
        <v>77</v>
      </c>
      <c r="B71" s="448">
        <v>0.2172265378030338</v>
      </c>
      <c r="C71" s="413">
        <v>656</v>
      </c>
      <c r="D71" s="229">
        <f t="shared" si="0"/>
        <v>7.8719999999999999</v>
      </c>
      <c r="E71" s="424">
        <f t="shared" si="1"/>
        <v>1.7100073055854821</v>
      </c>
      <c r="F71" s="468">
        <f t="shared" si="2"/>
        <v>6.1619926944145176</v>
      </c>
    </row>
    <row r="72" spans="1:7">
      <c r="A72" s="108" t="s">
        <v>78</v>
      </c>
      <c r="B72" s="448">
        <v>0.55056776383895401</v>
      </c>
      <c r="C72" s="413">
        <v>87577</v>
      </c>
      <c r="D72" s="229">
        <f t="shared" si="0"/>
        <v>1050.924</v>
      </c>
      <c r="E72" s="424">
        <f t="shared" si="1"/>
        <v>578.60487664468894</v>
      </c>
      <c r="F72" s="468">
        <f t="shared" si="2"/>
        <v>472.31912335531109</v>
      </c>
    </row>
    <row r="73" spans="1:7">
      <c r="A73" s="108" t="s">
        <v>79</v>
      </c>
      <c r="B73" s="448">
        <v>0.75314377887939554</v>
      </c>
      <c r="C73" s="413">
        <v>8230</v>
      </c>
      <c r="D73" s="229">
        <f t="shared" si="0"/>
        <v>98.76</v>
      </c>
      <c r="E73" s="424">
        <f t="shared" si="1"/>
        <v>74.380479602129114</v>
      </c>
      <c r="F73" s="468">
        <f t="shared" si="2"/>
        <v>24.379520397870898</v>
      </c>
    </row>
    <row r="74" spans="1:7">
      <c r="A74" s="108" t="s">
        <v>80</v>
      </c>
      <c r="B74" s="448">
        <v>0.73139026270014895</v>
      </c>
      <c r="C74" s="413">
        <v>12900</v>
      </c>
      <c r="D74" s="229">
        <f t="shared" si="0"/>
        <v>154.80000000000001</v>
      </c>
      <c r="E74" s="424">
        <f t="shared" si="1"/>
        <v>113.21921266598306</v>
      </c>
      <c r="F74" s="468">
        <f t="shared" si="2"/>
        <v>41.580787334016946</v>
      </c>
    </row>
    <row r="75" spans="1:7">
      <c r="A75" s="108" t="s">
        <v>81</v>
      </c>
      <c r="B75" s="448">
        <v>0.79070236683757267</v>
      </c>
      <c r="C75" s="413">
        <v>8100</v>
      </c>
      <c r="D75" s="229">
        <f t="shared" si="0"/>
        <v>97.2</v>
      </c>
      <c r="E75" s="424">
        <f t="shared" si="1"/>
        <v>76.856270056612061</v>
      </c>
      <c r="F75" s="468">
        <f t="shared" si="2"/>
        <v>20.343729943387938</v>
      </c>
    </row>
    <row r="76" spans="1:7">
      <c r="A76" s="108" t="s">
        <v>82</v>
      </c>
      <c r="B76" s="448">
        <v>0.36220437228606051</v>
      </c>
      <c r="C76" s="413">
        <v>125</v>
      </c>
      <c r="D76" s="229">
        <f t="shared" si="0"/>
        <v>1.5</v>
      </c>
      <c r="E76" s="424">
        <f t="shared" si="1"/>
        <v>0.54330655842909081</v>
      </c>
      <c r="F76" s="468">
        <f t="shared" si="2"/>
        <v>0.95669344157090919</v>
      </c>
    </row>
    <row r="77" spans="1:7">
      <c r="A77" s="108" t="s">
        <v>83</v>
      </c>
      <c r="B77" s="448">
        <v>0.80053901992478527</v>
      </c>
      <c r="C77" s="413">
        <v>81618</v>
      </c>
      <c r="D77" s="229">
        <f t="shared" si="0"/>
        <v>979.41600000000005</v>
      </c>
      <c r="E77" s="424">
        <f t="shared" si="1"/>
        <v>784.06072473865356</v>
      </c>
      <c r="F77" s="468">
        <f t="shared" si="2"/>
        <v>195.35527526134652</v>
      </c>
    </row>
    <row r="78" spans="1:7">
      <c r="A78" s="108" t="s">
        <v>84</v>
      </c>
      <c r="B78" s="448">
        <v>0.21059846402677285</v>
      </c>
      <c r="C78" s="413">
        <v>124</v>
      </c>
      <c r="D78" s="229">
        <f t="shared" si="0"/>
        <v>1.488</v>
      </c>
      <c r="E78" s="424">
        <f t="shared" si="1"/>
        <v>0.313370514471838</v>
      </c>
      <c r="F78" s="468">
        <f t="shared" si="2"/>
        <v>1.174629485528162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0.37290206744084387</v>
      </c>
      <c r="C80" s="414">
        <v>2353</v>
      </c>
      <c r="D80" s="230">
        <f t="shared" si="0"/>
        <v>28.236000000000001</v>
      </c>
      <c r="E80" s="435">
        <f>B80*D80</f>
        <v>10.529262776259667</v>
      </c>
      <c r="F80" s="469">
        <f>D80*(1-B80)</f>
        <v>17.706737223740333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2400</v>
      </c>
    </row>
    <row r="87" spans="1:3">
      <c r="A87" s="257" t="s">
        <v>428</v>
      </c>
      <c r="B87" s="278" t="s">
        <v>35</v>
      </c>
      <c r="C87" s="289">
        <f>C30</f>
        <v>6600.0000000000009</v>
      </c>
    </row>
    <row r="88" spans="1:3" ht="14.65" thickBot="1">
      <c r="A88" s="255" t="s">
        <v>4</v>
      </c>
      <c r="B88" s="271" t="s">
        <v>35</v>
      </c>
      <c r="C88" s="256">
        <f>C84+C85+C86+C87</f>
        <v>55008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2409.2434759016687</v>
      </c>
    </row>
    <row r="94" spans="1:3" hidden="1">
      <c r="A94" s="257" t="s">
        <v>57</v>
      </c>
      <c r="B94" s="278" t="s">
        <v>35</v>
      </c>
      <c r="C94" s="279">
        <f>C92-C93</f>
        <v>9590.7565240983313</v>
      </c>
    </row>
    <row r="95" spans="1:3" hidden="1">
      <c r="A95" s="257" t="s">
        <v>4</v>
      </c>
      <c r="B95" s="278" t="s">
        <v>35</v>
      </c>
      <c r="C95" s="279">
        <f>$C$88</f>
        <v>55008</v>
      </c>
    </row>
    <row r="96" spans="1:3" hidden="1">
      <c r="A96" s="299" t="s">
        <v>59</v>
      </c>
      <c r="B96" s="260" t="s">
        <v>24</v>
      </c>
      <c r="C96" s="300">
        <f>C94/C95</f>
        <v>0.17435203105181668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2400</v>
      </c>
    </row>
    <row r="99" spans="1:3" hidden="1">
      <c r="A99" s="257" t="s">
        <v>33</v>
      </c>
      <c r="B99" s="278" t="s">
        <v>35</v>
      </c>
      <c r="C99" s="295">
        <f>$C$30</f>
        <v>6600.0000000000009</v>
      </c>
    </row>
    <row r="100" spans="1:3" hidden="1">
      <c r="A100" s="257" t="s">
        <v>87</v>
      </c>
      <c r="B100" s="278" t="s">
        <v>35</v>
      </c>
      <c r="C100" s="295">
        <f>SUM($E$66:$E$80)</f>
        <v>2409.2434759016687</v>
      </c>
    </row>
    <row r="101" spans="1:3" hidden="1">
      <c r="A101" s="257" t="s">
        <v>60</v>
      </c>
      <c r="B101" s="278" t="s">
        <v>35</v>
      </c>
      <c r="C101" s="279">
        <f>SUM(C97:C100)</f>
        <v>45417.243475901669</v>
      </c>
    </row>
    <row r="102" spans="1:3" hidden="1">
      <c r="A102" s="257" t="s">
        <v>4</v>
      </c>
      <c r="B102" s="278" t="s">
        <v>35</v>
      </c>
      <c r="C102" s="279">
        <f>$C$88</f>
        <v>55008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0.82564796894818338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2400</v>
      </c>
    </row>
    <row r="109" spans="1:3">
      <c r="A109" s="257" t="s">
        <v>428</v>
      </c>
      <c r="B109" s="278" t="s">
        <v>35</v>
      </c>
      <c r="C109" s="295">
        <f>$C$30</f>
        <v>6600.0000000000009</v>
      </c>
    </row>
    <row r="110" spans="1:3">
      <c r="A110" s="257" t="s">
        <v>336</v>
      </c>
      <c r="B110" s="278" t="s">
        <v>35</v>
      </c>
      <c r="C110" s="279">
        <f>C107+C108+C109</f>
        <v>21000</v>
      </c>
    </row>
    <row r="111" spans="1:3">
      <c r="A111" s="257" t="s">
        <v>4</v>
      </c>
      <c r="B111" s="278" t="s">
        <v>35</v>
      </c>
      <c r="C111" s="279">
        <f>$C$88</f>
        <v>55008</v>
      </c>
    </row>
    <row r="112" spans="1:3">
      <c r="A112" s="299" t="s">
        <v>64</v>
      </c>
      <c r="B112" s="260" t="s">
        <v>24</v>
      </c>
      <c r="C112" s="300">
        <f>C110/C111</f>
        <v>0.3817626527050611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55008</v>
      </c>
    </row>
    <row r="116" spans="1:12" ht="14.65" thickBot="1">
      <c r="A116" s="301" t="s">
        <v>66</v>
      </c>
      <c r="B116" s="277" t="s">
        <v>24</v>
      </c>
      <c r="C116" s="303">
        <f>C114/C115</f>
        <v>0.61823734729493895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289.79432334701602</v>
      </c>
      <c r="D123" s="428">
        <f t="shared" ref="D123:D134" si="5">F66</f>
        <v>178.22967665298401</v>
      </c>
      <c r="E123" s="160">
        <f>$C$110</f>
        <v>21000</v>
      </c>
      <c r="F123" s="440">
        <f>$C$88</f>
        <v>55008</v>
      </c>
      <c r="G123" s="443">
        <f t="shared" ref="G123:G143" si="6">B123/E123*1000000</f>
        <v>22286.857142857141</v>
      </c>
      <c r="H123" s="554">
        <f>G123/1000000</f>
        <v>2.2286857142857143E-2</v>
      </c>
      <c r="I123" s="557">
        <f t="shared" ref="I123:I143" si="7">C123/F123*1000000</f>
        <v>5268.2214104678596</v>
      </c>
      <c r="J123" s="432">
        <f>I123/1000000</f>
        <v>5.2682214104678594E-3</v>
      </c>
      <c r="K123" s="431">
        <f t="shared" ref="K123:K143" si="8">D123/F123*1000000</f>
        <v>3240.0682928480223</v>
      </c>
      <c r="L123" s="433">
        <f>K123/1000000</f>
        <v>3.2400682928480223E-3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0.28459309992772924</v>
      </c>
      <c r="D124" s="235">
        <f t="shared" si="5"/>
        <v>5.8606900072270776E-2</v>
      </c>
      <c r="E124" s="119">
        <f t="shared" ref="E124:E143" si="9">$C$110</f>
        <v>21000</v>
      </c>
      <c r="F124" s="441">
        <f t="shared" ref="F124:F143" si="10">$C$88</f>
        <v>55008</v>
      </c>
      <c r="G124" s="444">
        <f t="shared" si="6"/>
        <v>16.342857142857142</v>
      </c>
      <c r="H124" s="555">
        <f t="shared" ref="H124:H143" si="11">G124/1000000</f>
        <v>1.6342857142857143E-5</v>
      </c>
      <c r="I124" s="558">
        <f t="shared" si="7"/>
        <v>5.1736674652364973</v>
      </c>
      <c r="J124" s="427">
        <f t="shared" ref="J124:J143" si="12">I124/1000000</f>
        <v>5.1736674652364977E-6</v>
      </c>
      <c r="K124" s="426">
        <f t="shared" si="8"/>
        <v>1.0654250304005013</v>
      </c>
      <c r="L124" s="434">
        <f t="shared" ref="L124:L143" si="13">K124/1000000</f>
        <v>1.0654250304005013E-6</v>
      </c>
    </row>
    <row r="125" spans="1:12">
      <c r="A125" s="149" t="s">
        <v>74</v>
      </c>
      <c r="B125" s="161">
        <f t="shared" si="3"/>
        <v>1908</v>
      </c>
      <c r="C125" s="235">
        <f t="shared" si="4"/>
        <v>478.37219712488439</v>
      </c>
      <c r="D125" s="235">
        <f t="shared" si="5"/>
        <v>1429.6278028751155</v>
      </c>
      <c r="E125" s="119">
        <f t="shared" si="9"/>
        <v>21000</v>
      </c>
      <c r="F125" s="441">
        <f t="shared" si="10"/>
        <v>55008</v>
      </c>
      <c r="G125" s="444">
        <f t="shared" si="6"/>
        <v>90857.142857142855</v>
      </c>
      <c r="H125" s="555">
        <f t="shared" si="11"/>
        <v>9.0857142857142859E-2</v>
      </c>
      <c r="I125" s="558">
        <f t="shared" si="7"/>
        <v>8696.4113787973456</v>
      </c>
      <c r="J125" s="427">
        <f t="shared" si="12"/>
        <v>8.6964113787973453E-3</v>
      </c>
      <c r="K125" s="426">
        <f t="shared" si="8"/>
        <v>25989.452495548201</v>
      </c>
      <c r="L125" s="434">
        <f t="shared" si="13"/>
        <v>2.5989452495548199E-2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3.9699845505553391E-4</v>
      </c>
      <c r="D126" s="235">
        <f t="shared" si="5"/>
        <v>4.1603001544944472E-2</v>
      </c>
      <c r="E126" s="119">
        <f t="shared" si="9"/>
        <v>21000</v>
      </c>
      <c r="F126" s="441">
        <f t="shared" si="10"/>
        <v>55008</v>
      </c>
      <c r="G126" s="444">
        <f t="shared" si="6"/>
        <v>2.0000000000000004</v>
      </c>
      <c r="H126" s="555">
        <f t="shared" si="11"/>
        <v>2.0000000000000003E-6</v>
      </c>
      <c r="I126" s="558">
        <f t="shared" si="7"/>
        <v>7.2171039677053142E-3</v>
      </c>
      <c r="J126" s="427">
        <f t="shared" si="12"/>
        <v>7.2171039677053141E-9</v>
      </c>
      <c r="K126" s="426">
        <f t="shared" si="8"/>
        <v>0.75630820144241695</v>
      </c>
      <c r="L126" s="434">
        <f t="shared" si="13"/>
        <v>7.5630820144241692E-7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0.57445446857278604</v>
      </c>
      <c r="D127" s="235">
        <f t="shared" si="5"/>
        <v>1.0575455314272137</v>
      </c>
      <c r="E127" s="119">
        <f t="shared" si="9"/>
        <v>21000</v>
      </c>
      <c r="F127" s="441">
        <f t="shared" si="10"/>
        <v>55008</v>
      </c>
      <c r="G127" s="444">
        <f t="shared" si="6"/>
        <v>77.714285714285708</v>
      </c>
      <c r="H127" s="555">
        <f t="shared" si="11"/>
        <v>7.7714285714285708E-5</v>
      </c>
      <c r="I127" s="558">
        <f t="shared" si="7"/>
        <v>10.443107703839187</v>
      </c>
      <c r="J127" s="427">
        <f t="shared" si="12"/>
        <v>1.0443107703839187E-5</v>
      </c>
      <c r="K127" s="426">
        <f t="shared" si="8"/>
        <v>19.225304163525557</v>
      </c>
      <c r="L127" s="434">
        <f t="shared" si="13"/>
        <v>1.9225304163525556E-5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1.7100073055854821</v>
      </c>
      <c r="D128" s="235">
        <f t="shared" si="5"/>
        <v>6.1619926944145176</v>
      </c>
      <c r="E128" s="119">
        <f t="shared" si="9"/>
        <v>21000</v>
      </c>
      <c r="F128" s="441">
        <f t="shared" si="10"/>
        <v>55008</v>
      </c>
      <c r="G128" s="444">
        <f t="shared" si="6"/>
        <v>374.85714285714289</v>
      </c>
      <c r="H128" s="555">
        <f t="shared" si="11"/>
        <v>3.7485714285714287E-4</v>
      </c>
      <c r="I128" s="558">
        <f t="shared" si="7"/>
        <v>31.086520244064172</v>
      </c>
      <c r="J128" s="427">
        <f t="shared" si="12"/>
        <v>3.1086520244064171E-5</v>
      </c>
      <c r="K128" s="426">
        <f t="shared" si="8"/>
        <v>112.01993699851872</v>
      </c>
      <c r="L128" s="434">
        <f t="shared" si="13"/>
        <v>1.1201993699851872E-4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578.60487664468894</v>
      </c>
      <c r="D129" s="235">
        <f t="shared" si="5"/>
        <v>472.31912335531109</v>
      </c>
      <c r="E129" s="119">
        <f t="shared" si="9"/>
        <v>21000</v>
      </c>
      <c r="F129" s="441">
        <f t="shared" si="10"/>
        <v>55008</v>
      </c>
      <c r="G129" s="444">
        <f t="shared" si="6"/>
        <v>50044</v>
      </c>
      <c r="H129" s="555">
        <f t="shared" si="11"/>
        <v>5.0043999999999998E-2</v>
      </c>
      <c r="I129" s="558">
        <f t="shared" si="7"/>
        <v>10518.558694093386</v>
      </c>
      <c r="J129" s="427">
        <f t="shared" si="12"/>
        <v>1.0518558694093386E-2</v>
      </c>
      <c r="K129" s="426">
        <f t="shared" si="8"/>
        <v>8586.371497878692</v>
      </c>
      <c r="L129" s="434">
        <f t="shared" si="13"/>
        <v>8.586371497878692E-3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74.380479602129114</v>
      </c>
      <c r="D130" s="235">
        <f t="shared" si="5"/>
        <v>24.379520397870898</v>
      </c>
      <c r="E130" s="119">
        <f t="shared" si="9"/>
        <v>21000</v>
      </c>
      <c r="F130" s="441">
        <f t="shared" si="10"/>
        <v>55008</v>
      </c>
      <c r="G130" s="444">
        <f t="shared" si="6"/>
        <v>4702.8571428571431</v>
      </c>
      <c r="H130" s="555">
        <f t="shared" si="11"/>
        <v>4.7028571428571432E-3</v>
      </c>
      <c r="I130" s="558">
        <f t="shared" si="7"/>
        <v>1352.1756763039762</v>
      </c>
      <c r="J130" s="427">
        <f t="shared" si="12"/>
        <v>1.3521756763039761E-3</v>
      </c>
      <c r="K130" s="426">
        <f t="shared" si="8"/>
        <v>443.19954184611146</v>
      </c>
      <c r="L130" s="434">
        <f t="shared" si="13"/>
        <v>4.4319954184611146E-4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113.21921266598306</v>
      </c>
      <c r="D131" s="235">
        <f t="shared" si="5"/>
        <v>41.580787334016946</v>
      </c>
      <c r="E131" s="119">
        <f t="shared" si="9"/>
        <v>21000</v>
      </c>
      <c r="F131" s="441">
        <f t="shared" si="10"/>
        <v>55008</v>
      </c>
      <c r="G131" s="444">
        <f t="shared" si="6"/>
        <v>7371.4285714285725</v>
      </c>
      <c r="H131" s="555">
        <f t="shared" si="11"/>
        <v>7.3714285714285722E-3</v>
      </c>
      <c r="I131" s="558">
        <f t="shared" si="7"/>
        <v>2058.231760216388</v>
      </c>
      <c r="J131" s="427">
        <f t="shared" si="12"/>
        <v>2.0582317602163879E-3</v>
      </c>
      <c r="K131" s="426">
        <f t="shared" si="8"/>
        <v>755.90436543806254</v>
      </c>
      <c r="L131" s="434">
        <f t="shared" si="13"/>
        <v>7.5590436543806257E-4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76.856270056612061</v>
      </c>
      <c r="D132" s="235">
        <f t="shared" si="5"/>
        <v>20.343729943387938</v>
      </c>
      <c r="E132" s="119">
        <f t="shared" si="9"/>
        <v>21000</v>
      </c>
      <c r="F132" s="441">
        <f t="shared" si="10"/>
        <v>55008</v>
      </c>
      <c r="G132" s="444">
        <f t="shared" si="6"/>
        <v>4628.5714285714294</v>
      </c>
      <c r="H132" s="555">
        <f t="shared" si="11"/>
        <v>4.6285714285714289E-3</v>
      </c>
      <c r="I132" s="558">
        <f t="shared" si="7"/>
        <v>1397.1835016108942</v>
      </c>
      <c r="J132" s="427">
        <f t="shared" si="12"/>
        <v>1.3971835016108941E-3</v>
      </c>
      <c r="K132" s="426">
        <f t="shared" si="8"/>
        <v>369.83220519538861</v>
      </c>
      <c r="L132" s="434">
        <f t="shared" si="13"/>
        <v>3.6983220519538863E-4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0.54330655842909081</v>
      </c>
      <c r="D133" s="235">
        <f t="shared" si="5"/>
        <v>0.95669344157090919</v>
      </c>
      <c r="E133" s="119">
        <f t="shared" si="9"/>
        <v>21000</v>
      </c>
      <c r="F133" s="441">
        <f t="shared" si="10"/>
        <v>55008</v>
      </c>
      <c r="G133" s="444">
        <f t="shared" si="6"/>
        <v>71.428571428571431</v>
      </c>
      <c r="H133" s="555">
        <f t="shared" si="11"/>
        <v>7.1428571428571434E-5</v>
      </c>
      <c r="I133" s="558">
        <f t="shared" si="7"/>
        <v>9.8768644275212854</v>
      </c>
      <c r="J133" s="427">
        <f t="shared" si="12"/>
        <v>9.8768644275212862E-6</v>
      </c>
      <c r="K133" s="426">
        <f t="shared" si="8"/>
        <v>17.391896479983078</v>
      </c>
      <c r="L133" s="434">
        <f t="shared" si="13"/>
        <v>1.7391896479983079E-5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784.06072473865356</v>
      </c>
      <c r="D134" s="235">
        <f t="shared" si="5"/>
        <v>195.35527526134652</v>
      </c>
      <c r="E134" s="119">
        <f t="shared" si="9"/>
        <v>21000</v>
      </c>
      <c r="F134" s="441">
        <f t="shared" si="10"/>
        <v>55008</v>
      </c>
      <c r="G134" s="444">
        <f t="shared" si="6"/>
        <v>46638.857142857145</v>
      </c>
      <c r="H134" s="555">
        <f t="shared" si="11"/>
        <v>4.6638857142857142E-2</v>
      </c>
      <c r="I134" s="558">
        <f t="shared" si="7"/>
        <v>14253.576293241957</v>
      </c>
      <c r="J134" s="427">
        <f t="shared" si="12"/>
        <v>1.4253576293241957E-2</v>
      </c>
      <c r="K134" s="426">
        <f t="shared" si="8"/>
        <v>3551.3975287475737</v>
      </c>
      <c r="L134" s="434">
        <f t="shared" si="13"/>
        <v>3.5513975287475735E-3</v>
      </c>
    </row>
    <row r="135" spans="1:12">
      <c r="A135" s="150" t="s">
        <v>96</v>
      </c>
      <c r="B135" s="161">
        <f>$C$30*31/98</f>
        <v>2087.7551020408168</v>
      </c>
      <c r="C135" s="235">
        <f>$C$30*31/98</f>
        <v>2087.7551020408168</v>
      </c>
      <c r="D135" s="235">
        <v>0</v>
      </c>
      <c r="E135" s="119">
        <f t="shared" si="9"/>
        <v>21000</v>
      </c>
      <c r="F135" s="441">
        <f t="shared" si="10"/>
        <v>55008</v>
      </c>
      <c r="G135" s="444">
        <f t="shared" si="6"/>
        <v>99416.909620991282</v>
      </c>
      <c r="H135" s="555">
        <f t="shared" si="11"/>
        <v>9.9416909620991284E-2</v>
      </c>
      <c r="I135" s="558">
        <f t="shared" si="7"/>
        <v>37953.66314064894</v>
      </c>
      <c r="J135" s="427">
        <f t="shared" si="12"/>
        <v>3.7953663140648942E-2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3067.171102040817</v>
      </c>
      <c r="C136" s="235">
        <f>C134+C135</f>
        <v>2871.8158267794706</v>
      </c>
      <c r="D136" s="235">
        <f>D134+D135</f>
        <v>195.35527526134652</v>
      </c>
      <c r="E136" s="119">
        <f t="shared" si="9"/>
        <v>21000</v>
      </c>
      <c r="F136" s="441">
        <f t="shared" si="10"/>
        <v>55008</v>
      </c>
      <c r="G136" s="444">
        <f t="shared" si="6"/>
        <v>146055.76676384843</v>
      </c>
      <c r="H136" s="555">
        <f t="shared" si="11"/>
        <v>0.14605576676384843</v>
      </c>
      <c r="I136" s="558">
        <f t="shared" si="7"/>
        <v>52207.2394338909</v>
      </c>
      <c r="J136" s="427">
        <f t="shared" si="12"/>
        <v>5.2207239433890898E-2</v>
      </c>
      <c r="K136" s="426">
        <f t="shared" si="8"/>
        <v>3551.3975287475737</v>
      </c>
      <c r="L136" s="434">
        <f t="shared" si="13"/>
        <v>3.5513975287475735E-3</v>
      </c>
    </row>
    <row r="137" spans="1:12">
      <c r="A137" s="150" t="s">
        <v>84</v>
      </c>
      <c r="B137" s="161">
        <f>D78</f>
        <v>1.488</v>
      </c>
      <c r="C137" s="235">
        <f>E78</f>
        <v>0.313370514471838</v>
      </c>
      <c r="D137" s="235">
        <f>F78</f>
        <v>1.174629485528162</v>
      </c>
      <c r="E137" s="119">
        <f t="shared" si="9"/>
        <v>21000</v>
      </c>
      <c r="F137" s="441">
        <f t="shared" si="10"/>
        <v>55008</v>
      </c>
      <c r="G137" s="444">
        <f t="shared" si="6"/>
        <v>70.857142857142847</v>
      </c>
      <c r="H137" s="555">
        <f t="shared" si="11"/>
        <v>7.0857142857142852E-5</v>
      </c>
      <c r="I137" s="558">
        <f t="shared" si="7"/>
        <v>5.6968170897294579</v>
      </c>
      <c r="J137" s="427">
        <f t="shared" si="12"/>
        <v>5.6968170897294579E-6</v>
      </c>
      <c r="K137" s="426">
        <f t="shared" si="8"/>
        <v>21.35379373051487</v>
      </c>
      <c r="L137" s="434">
        <f t="shared" si="13"/>
        <v>2.1353793730514871E-5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21000</v>
      </c>
      <c r="F138" s="441">
        <f t="shared" si="10"/>
        <v>55008</v>
      </c>
      <c r="G138" s="444">
        <f t="shared" si="6"/>
        <v>10800</v>
      </c>
      <c r="H138" s="555">
        <f t="shared" si="11"/>
        <v>1.0800000000000001E-2</v>
      </c>
      <c r="I138" s="558">
        <f t="shared" si="7"/>
        <v>0</v>
      </c>
      <c r="J138" s="427">
        <f t="shared" si="12"/>
        <v>0</v>
      </c>
      <c r="K138" s="426">
        <f t="shared" si="8"/>
        <v>4123.0366492146595</v>
      </c>
      <c r="L138" s="434">
        <f t="shared" si="13"/>
        <v>4.1230366492146595E-3</v>
      </c>
    </row>
    <row r="139" spans="1:12">
      <c r="A139" s="150" t="s">
        <v>250</v>
      </c>
      <c r="B139" s="161">
        <f>$C$25*32/98</f>
        <v>783.67346938775506</v>
      </c>
      <c r="C139" s="235">
        <v>0</v>
      </c>
      <c r="D139" s="235">
        <f>$C$25*32/98</f>
        <v>783.67346938775506</v>
      </c>
      <c r="E139" s="119">
        <f t="shared" si="9"/>
        <v>21000</v>
      </c>
      <c r="F139" s="441">
        <f t="shared" si="10"/>
        <v>55008</v>
      </c>
      <c r="G139" s="444">
        <f t="shared" si="6"/>
        <v>37317.784256559768</v>
      </c>
      <c r="H139" s="555">
        <f t="shared" si="11"/>
        <v>3.7317784256559766E-2</v>
      </c>
      <c r="I139" s="558">
        <f t="shared" si="7"/>
        <v>0</v>
      </c>
      <c r="J139" s="427">
        <f t="shared" si="12"/>
        <v>0</v>
      </c>
      <c r="K139" s="426">
        <f t="shared" si="8"/>
        <v>14246.536310859423</v>
      </c>
      <c r="L139" s="434">
        <f t="shared" si="13"/>
        <v>1.4246536310859422E-2</v>
      </c>
    </row>
    <row r="140" spans="1:12">
      <c r="A140" s="150" t="s">
        <v>251</v>
      </c>
      <c r="B140" s="161">
        <f>B138+B139</f>
        <v>1010.4734693877551</v>
      </c>
      <c r="C140" s="235">
        <v>0</v>
      </c>
      <c r="D140" s="235">
        <f>D138+D139</f>
        <v>1010.4734693877551</v>
      </c>
      <c r="E140" s="119">
        <f t="shared" si="9"/>
        <v>21000</v>
      </c>
      <c r="F140" s="441">
        <f t="shared" si="10"/>
        <v>55008</v>
      </c>
      <c r="G140" s="444">
        <f t="shared" si="6"/>
        <v>48117.784256559768</v>
      </c>
      <c r="H140" s="555">
        <f t="shared" si="11"/>
        <v>4.811778425655977E-2</v>
      </c>
      <c r="I140" s="558">
        <f t="shared" si="7"/>
        <v>0</v>
      </c>
      <c r="J140" s="427">
        <f t="shared" si="12"/>
        <v>0</v>
      </c>
      <c r="K140" s="426">
        <f t="shared" si="8"/>
        <v>18369.572960074085</v>
      </c>
      <c r="L140" s="434">
        <f t="shared" si="13"/>
        <v>1.8369572960074083E-2</v>
      </c>
    </row>
    <row r="141" spans="1:12">
      <c r="A141" s="151" t="s">
        <v>238</v>
      </c>
      <c r="B141" s="161">
        <f>B140/32*96</f>
        <v>3031.4204081632652</v>
      </c>
      <c r="C141" s="235">
        <v>0</v>
      </c>
      <c r="D141" s="235">
        <f>D140/32*96</f>
        <v>3031.4204081632652</v>
      </c>
      <c r="E141" s="119">
        <f t="shared" si="9"/>
        <v>21000</v>
      </c>
      <c r="F141" s="441">
        <f t="shared" si="10"/>
        <v>55008</v>
      </c>
      <c r="G141" s="444">
        <f t="shared" si="6"/>
        <v>144353.35276967927</v>
      </c>
      <c r="H141" s="555">
        <f t="shared" si="11"/>
        <v>0.14435335276967928</v>
      </c>
      <c r="I141" s="558">
        <f t="shared" si="7"/>
        <v>0</v>
      </c>
      <c r="J141" s="427">
        <f t="shared" si="12"/>
        <v>0</v>
      </c>
      <c r="K141" s="426">
        <f t="shared" si="8"/>
        <v>55108.718880222244</v>
      </c>
      <c r="L141" s="434">
        <f t="shared" si="13"/>
        <v>5.5108718880222243E-2</v>
      </c>
    </row>
    <row r="142" spans="1:12">
      <c r="A142" s="151" t="s">
        <v>239</v>
      </c>
      <c r="B142" s="161">
        <f>B140/32*136</f>
        <v>4294.5122448979591</v>
      </c>
      <c r="C142" s="235">
        <v>0</v>
      </c>
      <c r="D142" s="235">
        <f>D140/32*136</f>
        <v>4294.5122448979591</v>
      </c>
      <c r="E142" s="119">
        <f t="shared" si="9"/>
        <v>21000</v>
      </c>
      <c r="F142" s="441">
        <f t="shared" si="10"/>
        <v>55008</v>
      </c>
      <c r="G142" s="444">
        <f t="shared" si="6"/>
        <v>204500.58309037899</v>
      </c>
      <c r="H142" s="555">
        <f t="shared" si="11"/>
        <v>0.204500583090379</v>
      </c>
      <c r="I142" s="558">
        <f t="shared" si="7"/>
        <v>0</v>
      </c>
      <c r="J142" s="427">
        <f t="shared" si="12"/>
        <v>0</v>
      </c>
      <c r="K142" s="426">
        <f t="shared" si="8"/>
        <v>78070.685080314855</v>
      </c>
      <c r="L142" s="434">
        <f t="shared" si="13"/>
        <v>7.8070685080314853E-2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10.529262776259667</v>
      </c>
      <c r="D143" s="236">
        <f>F80</f>
        <v>17.706737223740333</v>
      </c>
      <c r="E143" s="135">
        <f t="shared" si="9"/>
        <v>21000</v>
      </c>
      <c r="F143" s="442">
        <f t="shared" si="10"/>
        <v>55008</v>
      </c>
      <c r="G143" s="445">
        <f t="shared" si="6"/>
        <v>1344.5714285714287</v>
      </c>
      <c r="H143" s="556">
        <f t="shared" si="11"/>
        <v>1.3445714285714287E-3</v>
      </c>
      <c r="I143" s="559">
        <f t="shared" si="7"/>
        <v>191.41329945207366</v>
      </c>
      <c r="J143" s="438">
        <f t="shared" si="12"/>
        <v>1.9141329945207366E-4</v>
      </c>
      <c r="K143" s="437">
        <f t="shared" si="8"/>
        <v>321.89385587078846</v>
      </c>
      <c r="L143" s="439">
        <f t="shared" si="13"/>
        <v>3.2189385587078848E-4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55008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42313.846153846149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111</v>
      </c>
      <c r="B159" s="278" t="s">
        <v>110</v>
      </c>
      <c r="C159" s="289">
        <f>C157*C158</f>
        <v>846.27692307692303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863.77678492572716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2409.2434759016687</v>
      </c>
    </row>
    <row r="167" spans="1:3" hidden="1">
      <c r="A167" s="257" t="s">
        <v>57</v>
      </c>
      <c r="B167" s="278" t="s">
        <v>35</v>
      </c>
      <c r="C167" s="279">
        <f>C165-C166</f>
        <v>9590.7565240983313</v>
      </c>
    </row>
    <row r="168" spans="1:3" hidden="1">
      <c r="A168" s="257" t="s">
        <v>114</v>
      </c>
      <c r="B168" s="278" t="s">
        <v>35</v>
      </c>
      <c r="C168" s="279">
        <f>$C$88+$C$161</f>
        <v>55871.776784925729</v>
      </c>
    </row>
    <row r="169" spans="1:3" hidden="1">
      <c r="A169" s="299" t="s">
        <v>59</v>
      </c>
      <c r="B169" s="260" t="s">
        <v>24</v>
      </c>
      <c r="C169" s="300">
        <f>C167/C168</f>
        <v>0.17165655141087136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2400</v>
      </c>
    </row>
    <row r="172" spans="1:3" hidden="1">
      <c r="A172" s="257" t="s">
        <v>33</v>
      </c>
      <c r="B172" s="278" t="s">
        <v>35</v>
      </c>
      <c r="C172" s="295">
        <f>$C$30</f>
        <v>6600.0000000000009</v>
      </c>
    </row>
    <row r="173" spans="1:3" hidden="1">
      <c r="A173" s="257" t="s">
        <v>87</v>
      </c>
      <c r="B173" s="278" t="s">
        <v>35</v>
      </c>
      <c r="C173" s="295">
        <f>SUM($E$66:$E$80)</f>
        <v>2409.2434759016687</v>
      </c>
    </row>
    <row r="174" spans="1:3" hidden="1">
      <c r="A174" s="257" t="s">
        <v>113</v>
      </c>
      <c r="B174" s="278" t="s">
        <v>35</v>
      </c>
      <c r="C174" s="295">
        <f>$C$161</f>
        <v>863.77678492572716</v>
      </c>
    </row>
    <row r="175" spans="1:3" hidden="1">
      <c r="A175" s="257" t="s">
        <v>60</v>
      </c>
      <c r="B175" s="278" t="s">
        <v>35</v>
      </c>
      <c r="C175" s="279">
        <f>C170+C171+C172+C173+C174</f>
        <v>46281.020260827398</v>
      </c>
    </row>
    <row r="176" spans="1:3" hidden="1">
      <c r="A176" s="257" t="s">
        <v>114</v>
      </c>
      <c r="B176" s="278" t="s">
        <v>35</v>
      </c>
      <c r="C176" s="279">
        <f>$C$88+$C$161</f>
        <v>55871.776784925729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0.82834344858912867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12000</v>
      </c>
    </row>
    <row r="182" spans="1:3" hidden="1">
      <c r="A182" s="282" t="s">
        <v>32</v>
      </c>
      <c r="B182" s="288" t="s">
        <v>35</v>
      </c>
      <c r="C182" s="295">
        <f>$C$25</f>
        <v>2400</v>
      </c>
    </row>
    <row r="183" spans="1:3" hidden="1">
      <c r="A183" s="282" t="s">
        <v>33</v>
      </c>
      <c r="B183" s="288" t="s">
        <v>35</v>
      </c>
      <c r="C183" s="295">
        <f>$C$30</f>
        <v>6600.0000000000009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863.77678492572716</v>
      </c>
    </row>
    <row r="186" spans="1:3" hidden="1">
      <c r="A186" s="282" t="s">
        <v>116</v>
      </c>
      <c r="B186" s="288" t="s">
        <v>35</v>
      </c>
      <c r="C186" s="295">
        <f>C185*C184</f>
        <v>43.188839246286364</v>
      </c>
    </row>
    <row r="187" spans="1:3" hidden="1">
      <c r="A187" s="282" t="s">
        <v>430</v>
      </c>
      <c r="B187" s="288" t="s">
        <v>35</v>
      </c>
      <c r="C187" s="279">
        <f>C181+C182+C183+C186</f>
        <v>21043.188839246286</v>
      </c>
    </row>
    <row r="188" spans="1:3" hidden="1">
      <c r="A188" s="282" t="s">
        <v>114</v>
      </c>
      <c r="B188" s="288" t="s">
        <v>35</v>
      </c>
      <c r="C188" s="279">
        <f>$C$88+$C$161</f>
        <v>55871.776784925729</v>
      </c>
    </row>
    <row r="189" spans="1:3" hidden="1">
      <c r="A189" s="310" t="s">
        <v>64</v>
      </c>
      <c r="B189" s="283" t="s">
        <v>24</v>
      </c>
      <c r="C189" s="300">
        <f>C187/C188</f>
        <v>0.37663360734437507</v>
      </c>
    </row>
    <row r="190" spans="1:3" hidden="1">
      <c r="A190" s="282" t="s">
        <v>34</v>
      </c>
      <c r="B190" s="288" t="s">
        <v>35</v>
      </c>
      <c r="C190" s="279">
        <f>$C$24</f>
        <v>34008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863.77678492572716</v>
      </c>
    </row>
    <row r="193" spans="1:3" hidden="1">
      <c r="A193" s="282" t="s">
        <v>118</v>
      </c>
      <c r="B193" s="81" t="s">
        <v>35</v>
      </c>
      <c r="C193" s="84">
        <f>C191*C192</f>
        <v>820.58794567944074</v>
      </c>
    </row>
    <row r="194" spans="1:3" hidden="1">
      <c r="A194" s="282" t="s">
        <v>65</v>
      </c>
      <c r="B194" s="81" t="s">
        <v>35</v>
      </c>
      <c r="C194" s="84">
        <f>C190+C193</f>
        <v>34828.587945679443</v>
      </c>
    </row>
    <row r="195" spans="1:3" hidden="1">
      <c r="A195" s="282" t="s">
        <v>114</v>
      </c>
      <c r="B195" s="81" t="s">
        <v>35</v>
      </c>
      <c r="C195" s="84">
        <f>$C$88+$C$161</f>
        <v>55871.776784925729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0.62336639265562499</v>
      </c>
    </row>
    <row r="197" spans="1:3" hidden="1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68">
        <v>2</v>
      </c>
      <c r="C199" s="1069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6">
        <v>2.5000000000000001E-2</v>
      </c>
    </row>
    <row r="205" spans="1:3">
      <c r="A205" s="232" t="s">
        <v>72</v>
      </c>
      <c r="B205" s="704" t="s">
        <v>160</v>
      </c>
      <c r="C205" s="706">
        <v>2.5000000000000001E-2</v>
      </c>
    </row>
    <row r="206" spans="1:3">
      <c r="A206" s="232" t="s">
        <v>78</v>
      </c>
      <c r="B206" s="704" t="s">
        <v>160</v>
      </c>
      <c r="C206" s="706">
        <v>2.5000000000000001E-2</v>
      </c>
    </row>
    <row r="207" spans="1:3">
      <c r="A207" s="232" t="s">
        <v>80</v>
      </c>
      <c r="B207" s="704" t="s">
        <v>160</v>
      </c>
      <c r="C207" s="706">
        <v>2.5000000000000001E-2</v>
      </c>
    </row>
    <row r="208" spans="1:3">
      <c r="A208" s="232" t="s">
        <v>83</v>
      </c>
      <c r="B208" s="704" t="s">
        <v>160</v>
      </c>
      <c r="C208" s="706">
        <v>2.5000000000000001E-2</v>
      </c>
    </row>
    <row r="209" spans="1:4">
      <c r="A209" s="232" t="s">
        <v>79</v>
      </c>
      <c r="B209" s="704" t="s">
        <v>160</v>
      </c>
      <c r="C209" s="706">
        <v>2.5000000000000001E-2</v>
      </c>
    </row>
    <row r="210" spans="1:4">
      <c r="A210" s="232" t="s">
        <v>75</v>
      </c>
      <c r="B210" s="704" t="s">
        <v>322</v>
      </c>
      <c r="C210" s="740">
        <v>2.5000000000000001E-2</v>
      </c>
    </row>
    <row r="211" spans="1:4" ht="14.65" thickBot="1">
      <c r="A211" s="233" t="s">
        <v>84</v>
      </c>
      <c r="B211" s="708" t="s">
        <v>323</v>
      </c>
      <c r="C211" s="741">
        <v>2.5000000000000001E-2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2.5000000000000001E-2</v>
      </c>
      <c r="C216" s="428">
        <f>E66</f>
        <v>289.79432334701602</v>
      </c>
      <c r="D216" s="122">
        <f>C216*B216</f>
        <v>7.2448580836754006</v>
      </c>
    </row>
    <row r="217" spans="1:4">
      <c r="A217" s="185" t="s">
        <v>73</v>
      </c>
      <c r="B217" s="352">
        <f>C202</f>
        <v>0.9</v>
      </c>
      <c r="C217" s="235">
        <f>E67</f>
        <v>0.28459309992772924</v>
      </c>
      <c r="D217" s="87">
        <f>C217*B217</f>
        <v>0.25613378993495634</v>
      </c>
    </row>
    <row r="218" spans="1:4">
      <c r="A218" s="185" t="s">
        <v>75</v>
      </c>
      <c r="B218" s="400">
        <f>C210</f>
        <v>2.5000000000000001E-2</v>
      </c>
      <c r="C218" s="235">
        <f>E69</f>
        <v>3.9699845505553391E-4</v>
      </c>
      <c r="D218" s="739">
        <f t="shared" ref="D218:D234" si="14">C218*B218</f>
        <v>9.9249613763883489E-6</v>
      </c>
    </row>
    <row r="219" spans="1:4">
      <c r="A219" s="186" t="s">
        <v>77</v>
      </c>
      <c r="B219" s="352">
        <f>C201</f>
        <v>0.99</v>
      </c>
      <c r="C219" s="235">
        <f>E71</f>
        <v>1.7100073055854821</v>
      </c>
      <c r="D219" s="87">
        <f t="shared" si="14"/>
        <v>1.6929072325296273</v>
      </c>
    </row>
    <row r="220" spans="1:4">
      <c r="A220" s="186" t="s">
        <v>78</v>
      </c>
      <c r="B220" s="400">
        <f>C206</f>
        <v>2.5000000000000001E-2</v>
      </c>
      <c r="C220" s="235">
        <f>E72</f>
        <v>578.60487664468894</v>
      </c>
      <c r="D220" s="87">
        <f t="shared" si="14"/>
        <v>14.465121916117225</v>
      </c>
    </row>
    <row r="221" spans="1:4">
      <c r="A221" s="186" t="s">
        <v>79</v>
      </c>
      <c r="B221" s="400">
        <f>C209</f>
        <v>2.5000000000000001E-2</v>
      </c>
      <c r="C221" s="235">
        <f>E73</f>
        <v>74.380479602129114</v>
      </c>
      <c r="D221" s="87">
        <f t="shared" si="14"/>
        <v>1.859511990053228</v>
      </c>
    </row>
    <row r="222" spans="1:4">
      <c r="A222" s="186" t="s">
        <v>80</v>
      </c>
      <c r="B222" s="400">
        <f>C207</f>
        <v>2.5000000000000001E-2</v>
      </c>
      <c r="C222" s="235">
        <f>E74</f>
        <v>113.21921266598306</v>
      </c>
      <c r="D222" s="87">
        <f t="shared" si="14"/>
        <v>2.8304803166495769</v>
      </c>
    </row>
    <row r="223" spans="1:4">
      <c r="A223" s="186" t="s">
        <v>82</v>
      </c>
      <c r="B223" s="400">
        <f>C204</f>
        <v>2.5000000000000001E-2</v>
      </c>
      <c r="C223" s="235">
        <f>E76</f>
        <v>0.54330655842909081</v>
      </c>
      <c r="D223" s="87">
        <f t="shared" si="14"/>
        <v>1.358266396072727E-2</v>
      </c>
    </row>
    <row r="224" spans="1:4">
      <c r="A224" s="186" t="s">
        <v>213</v>
      </c>
      <c r="B224" s="400">
        <f>C208</f>
        <v>2.5000000000000001E-2</v>
      </c>
      <c r="C224" s="235">
        <f>E77</f>
        <v>784.06072473865356</v>
      </c>
      <c r="D224" s="87">
        <f t="shared" si="14"/>
        <v>19.601518118466341</v>
      </c>
    </row>
    <row r="225" spans="1:4">
      <c r="A225" s="406" t="s">
        <v>96</v>
      </c>
      <c r="B225" s="400">
        <f>C208</f>
        <v>2.5000000000000001E-2</v>
      </c>
      <c r="C225" s="235">
        <f>B135</f>
        <v>2087.7551020408168</v>
      </c>
      <c r="D225" s="87">
        <f t="shared" si="14"/>
        <v>52.193877551020421</v>
      </c>
    </row>
    <row r="226" spans="1:4">
      <c r="A226" s="406" t="s">
        <v>274</v>
      </c>
      <c r="B226" s="400">
        <f>C208</f>
        <v>2.5000000000000001E-2</v>
      </c>
      <c r="C226" s="235">
        <f>C224+C225</f>
        <v>2871.8158267794706</v>
      </c>
      <c r="D226" s="87">
        <f t="shared" si="14"/>
        <v>71.795395669486766</v>
      </c>
    </row>
    <row r="227" spans="1:4">
      <c r="A227" s="406" t="s">
        <v>84</v>
      </c>
      <c r="B227" s="400">
        <f>C211</f>
        <v>2.5000000000000001E-2</v>
      </c>
      <c r="C227" s="235">
        <f>E78</f>
        <v>0.313370514471838</v>
      </c>
      <c r="D227" s="87">
        <f t="shared" si="14"/>
        <v>7.8342628617959504E-3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4"/>
        <v>226.8</v>
      </c>
    </row>
    <row r="229" spans="1:4">
      <c r="A229" s="186" t="s">
        <v>250</v>
      </c>
      <c r="B229" s="396">
        <v>1</v>
      </c>
      <c r="C229" s="235">
        <f>B139</f>
        <v>783.67346938775506</v>
      </c>
      <c r="D229" s="87">
        <f t="shared" si="14"/>
        <v>783.67346938775506</v>
      </c>
    </row>
    <row r="230" spans="1:4">
      <c r="A230" s="186" t="s">
        <v>251</v>
      </c>
      <c r="B230" s="397">
        <v>1</v>
      </c>
      <c r="C230" s="573">
        <f>C228+C229</f>
        <v>1010.4734693877551</v>
      </c>
      <c r="D230" s="87">
        <f>C230*B230</f>
        <v>1010.4734693877551</v>
      </c>
    </row>
    <row r="231" spans="1:4">
      <c r="A231" s="406" t="s">
        <v>238</v>
      </c>
      <c r="B231" s="397">
        <v>1</v>
      </c>
      <c r="C231" s="573">
        <f>C230/32*96</f>
        <v>3031.4204081632652</v>
      </c>
      <c r="D231" s="87">
        <f>C231*B231</f>
        <v>3031.4204081632652</v>
      </c>
    </row>
    <row r="232" spans="1:4">
      <c r="A232" s="406" t="s">
        <v>239</v>
      </c>
      <c r="B232" s="397">
        <v>1</v>
      </c>
      <c r="C232" s="573">
        <f>C230/32*136</f>
        <v>4294.5122448979591</v>
      </c>
      <c r="D232" s="87">
        <f>C232*B232</f>
        <v>4294.5122448979591</v>
      </c>
    </row>
    <row r="233" spans="1:4">
      <c r="A233" s="406" t="s">
        <v>248</v>
      </c>
      <c r="B233" s="396">
        <v>1</v>
      </c>
      <c r="C233" s="235">
        <f>C161*B147*32/78</f>
        <v>17.71849815232261</v>
      </c>
      <c r="D233" s="87">
        <f>C233*B233</f>
        <v>17.71849815232261</v>
      </c>
    </row>
    <row r="234" spans="1:4" ht="14.65" thickBot="1">
      <c r="A234" s="187" t="s">
        <v>86</v>
      </c>
      <c r="B234" s="353">
        <f>C203</f>
        <v>0.95</v>
      </c>
      <c r="C234" s="236">
        <f>E80</f>
        <v>10.529262776259667</v>
      </c>
      <c r="D234" s="88">
        <f t="shared" si="14"/>
        <v>10.002799637446683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55008</v>
      </c>
    </row>
    <row r="239" spans="1:4">
      <c r="A239" s="281" t="s">
        <v>334</v>
      </c>
      <c r="B239" s="278" t="s">
        <v>35</v>
      </c>
      <c r="C239" s="289">
        <f>C161</f>
        <v>863.77678492572716</v>
      </c>
    </row>
    <row r="240" spans="1:4" ht="14.65" thickBot="1">
      <c r="A240" s="255" t="s">
        <v>6</v>
      </c>
      <c r="B240" s="271" t="s">
        <v>35</v>
      </c>
      <c r="C240" s="280">
        <f>C238+C239</f>
        <v>55871.776784925729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2409.2434759016687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863.77678492572716</v>
      </c>
    </row>
    <row r="248" spans="1:4" hidden="1">
      <c r="A248" s="287" t="s">
        <v>122</v>
      </c>
      <c r="B248" s="288" t="s">
        <v>35</v>
      </c>
      <c r="C248" s="289">
        <f>C247*C246</f>
        <v>43.188839246286364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9546.5621211462203</v>
      </c>
    </row>
    <row r="250" spans="1:4" hidden="1">
      <c r="A250" s="282" t="s">
        <v>57</v>
      </c>
      <c r="B250" s="288" t="s">
        <v>35</v>
      </c>
      <c r="C250" s="279">
        <f>C244-C245+C248+C249</f>
        <v>19180.507484490838</v>
      </c>
    </row>
    <row r="251" spans="1:4" hidden="1">
      <c r="A251" s="282" t="s">
        <v>6</v>
      </c>
      <c r="B251" s="288" t="s">
        <v>35</v>
      </c>
      <c r="C251" s="289">
        <f>$C$240</f>
        <v>55871.776784925729</v>
      </c>
    </row>
    <row r="252" spans="1:4" hidden="1">
      <c r="A252" s="310" t="s">
        <v>59</v>
      </c>
      <c r="B252" s="283" t="s">
        <v>24</v>
      </c>
      <c r="C252" s="300">
        <f>C250/C251</f>
        <v>0.34329510511764788</v>
      </c>
    </row>
    <row r="253" spans="1:4" hidden="1">
      <c r="A253" s="282" t="s">
        <v>32</v>
      </c>
      <c r="B253" s="288" t="s">
        <v>35</v>
      </c>
      <c r="C253" s="279">
        <f>$C$25</f>
        <v>2400</v>
      </c>
    </row>
    <row r="254" spans="1:4" hidden="1">
      <c r="A254" s="282" t="s">
        <v>33</v>
      </c>
      <c r="B254" s="288" t="s">
        <v>35</v>
      </c>
      <c r="C254" s="279">
        <f>$C$30</f>
        <v>6600.0000000000009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2409.2434759016687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863.77678492572716</v>
      </c>
    </row>
    <row r="259" spans="1:4" hidden="1">
      <c r="A259" s="287" t="s">
        <v>123</v>
      </c>
      <c r="B259" s="288" t="s">
        <v>35</v>
      </c>
      <c r="C259" s="289">
        <f>C239*C257</f>
        <v>820.58794567944074</v>
      </c>
    </row>
    <row r="260" spans="1:4" hidden="1">
      <c r="A260" s="282" t="s">
        <v>121</v>
      </c>
      <c r="B260" s="288" t="s">
        <v>35</v>
      </c>
      <c r="C260" s="295">
        <f>SUM($D$216:$D$234)</f>
        <v>9546.5621211462203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55871.776784925729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2400</v>
      </c>
      <c r="D268" s="99"/>
    </row>
    <row r="269" spans="1:4">
      <c r="A269" s="282" t="s">
        <v>428</v>
      </c>
      <c r="B269" s="288" t="s">
        <v>35</v>
      </c>
      <c r="C269" s="295">
        <f>C30</f>
        <v>6600.0000000000009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863.77678492572716</v>
      </c>
      <c r="D271" s="99"/>
    </row>
    <row r="272" spans="1:4">
      <c r="A272" s="282" t="s">
        <v>429</v>
      </c>
      <c r="B272" s="288" t="s">
        <v>35</v>
      </c>
      <c r="C272" s="295">
        <f>C271*C270</f>
        <v>43.188839246286364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21043.188839246286</v>
      </c>
      <c r="D273" s="99"/>
    </row>
    <row r="274" spans="1:12">
      <c r="A274" s="282" t="s">
        <v>6</v>
      </c>
      <c r="B274" s="288" t="s">
        <v>35</v>
      </c>
      <c r="C274" s="289">
        <f>C240</f>
        <v>55871.776784925729</v>
      </c>
    </row>
    <row r="275" spans="1:12">
      <c r="A275" s="310" t="s">
        <v>64</v>
      </c>
      <c r="B275" s="283" t="s">
        <v>24</v>
      </c>
      <c r="C275" s="300">
        <f>C273/C274</f>
        <v>0.37663360734437507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863.77678492572716</v>
      </c>
    </row>
    <row r="279" spans="1:12">
      <c r="A279" s="282" t="s">
        <v>356</v>
      </c>
      <c r="B279" s="288" t="s">
        <v>35</v>
      </c>
      <c r="C279" s="279">
        <f>C277*C278</f>
        <v>820.58794567944074</v>
      </c>
    </row>
    <row r="280" spans="1:12">
      <c r="A280" s="282" t="s">
        <v>335</v>
      </c>
      <c r="B280" s="288" t="s">
        <v>35</v>
      </c>
      <c r="C280" s="279">
        <f>C276+C279</f>
        <v>34828.587945679443</v>
      </c>
    </row>
    <row r="281" spans="1:12">
      <c r="A281" s="282" t="s">
        <v>6</v>
      </c>
      <c r="B281" s="288" t="s">
        <v>35</v>
      </c>
      <c r="C281" s="289">
        <f>C240</f>
        <v>55871.776784925729</v>
      </c>
    </row>
    <row r="282" spans="1:12" ht="14.65" thickBot="1">
      <c r="A282" s="311" t="s">
        <v>66</v>
      </c>
      <c r="B282" s="284" t="s">
        <v>24</v>
      </c>
      <c r="C282" s="303">
        <f>C280/C281</f>
        <v>0.62336639265562499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282.54946526334061</v>
      </c>
      <c r="D289" s="428">
        <f>D123+D216</f>
        <v>185.47453473665942</v>
      </c>
      <c r="E289" s="160">
        <f>$C$273</f>
        <v>21043.188839246286</v>
      </c>
      <c r="F289" s="429">
        <f>$C$240</f>
        <v>55871.776784925729</v>
      </c>
      <c r="G289" s="404">
        <f t="shared" ref="G289:G308" si="15">B289/E289*1000000</f>
        <v>22241.115810694948</v>
      </c>
      <c r="H289" s="560">
        <f>G289/1000000</f>
        <v>2.2241115810694947E-2</v>
      </c>
      <c r="I289" s="557">
        <f>C289/F289*1000000</f>
        <v>5057.1054210606881</v>
      </c>
      <c r="J289" s="430">
        <f>I289/1000000</f>
        <v>5.0571054210606882E-3</v>
      </c>
      <c r="K289" s="431">
        <f>D289/F289*1000000</f>
        <v>3319.646258085364</v>
      </c>
      <c r="L289" s="433">
        <f>K289/1000000</f>
        <v>3.3196462580853642E-3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6">B290-D290</f>
        <v>2.8459309992772908E-2</v>
      </c>
      <c r="D290" s="235">
        <f>D124+D217</f>
        <v>0.3147406900072271</v>
      </c>
      <c r="E290" s="119">
        <f t="shared" ref="E290:E310" si="17">$C$273</f>
        <v>21043.188839246286</v>
      </c>
      <c r="F290" s="424">
        <f t="shared" ref="F290:F310" si="18">$C$240</f>
        <v>55871.776784925729</v>
      </c>
      <c r="G290" s="395">
        <f t="shared" si="15"/>
        <v>16.309315219370173</v>
      </c>
      <c r="H290" s="561">
        <f t="shared" ref="H290:H310" si="19">G290/1000000</f>
        <v>1.6309315219370174E-5</v>
      </c>
      <c r="I290" s="558">
        <f t="shared" ref="I290:I310" si="20">C290/F290*1000000</f>
        <v>0.50936826480970732</v>
      </c>
      <c r="J290" s="425">
        <f t="shared" ref="J290:J310" si="21">I290/1000000</f>
        <v>5.0936826480970729E-7</v>
      </c>
      <c r="K290" s="426">
        <f t="shared" ref="K290:K310" si="22">D290/F290*1000000</f>
        <v>5.6332679595781983</v>
      </c>
      <c r="L290" s="434">
        <f t="shared" ref="L290:L310" si="23">K290/1000000</f>
        <v>5.6332679595781985E-6</v>
      </c>
    </row>
    <row r="291" spans="1:12">
      <c r="A291" s="149" t="s">
        <v>74</v>
      </c>
      <c r="B291" s="161">
        <f t="shared" ref="B291:B305" si="24">B125</f>
        <v>1908</v>
      </c>
      <c r="C291" s="424">
        <f t="shared" si="16"/>
        <v>478.37219712488445</v>
      </c>
      <c r="D291" s="235">
        <f>D125</f>
        <v>1429.6278028751155</v>
      </c>
      <c r="E291" s="119">
        <f t="shared" si="17"/>
        <v>21043.188839246286</v>
      </c>
      <c r="F291" s="424">
        <f t="shared" si="18"/>
        <v>55871.776784925729</v>
      </c>
      <c r="G291" s="395">
        <f t="shared" si="15"/>
        <v>90670.668527267742</v>
      </c>
      <c r="H291" s="561">
        <f t="shared" si="19"/>
        <v>9.0670668527267739E-2</v>
      </c>
      <c r="I291" s="558">
        <f t="shared" si="20"/>
        <v>8561.9649965015924</v>
      </c>
      <c r="J291" s="425">
        <f t="shared" si="21"/>
        <v>8.5619649965015931E-3</v>
      </c>
      <c r="K291" s="426">
        <f t="shared" si="22"/>
        <v>25587.655971249351</v>
      </c>
      <c r="L291" s="434">
        <f t="shared" si="23"/>
        <v>2.5587655971249349E-2</v>
      </c>
    </row>
    <row r="292" spans="1:12">
      <c r="A292" s="149" t="s">
        <v>75</v>
      </c>
      <c r="B292" s="161">
        <f t="shared" si="24"/>
        <v>4.2000000000000003E-2</v>
      </c>
      <c r="C292" s="424">
        <f t="shared" si="16"/>
        <v>3.870734936791409E-4</v>
      </c>
      <c r="D292" s="235">
        <f>D218+D126</f>
        <v>4.1612926506320862E-2</v>
      </c>
      <c r="E292" s="119">
        <f t="shared" si="17"/>
        <v>21043.188839246286</v>
      </c>
      <c r="F292" s="424">
        <f t="shared" si="18"/>
        <v>55871.776784925729</v>
      </c>
      <c r="G292" s="395">
        <f t="shared" si="15"/>
        <v>1.9958952191536923</v>
      </c>
      <c r="H292" s="561">
        <f t="shared" si="19"/>
        <v>1.9958952191536924E-6</v>
      </c>
      <c r="I292" s="558">
        <f t="shared" si="20"/>
        <v>6.9278894632105875E-3</v>
      </c>
      <c r="J292" s="425">
        <f t="shared" si="21"/>
        <v>6.9278894632105876E-9</v>
      </c>
      <c r="K292" s="426">
        <f t="shared" si="22"/>
        <v>0.74479332680803656</v>
      </c>
      <c r="L292" s="434">
        <f t="shared" si="23"/>
        <v>7.4479332680803659E-7</v>
      </c>
    </row>
    <row r="293" spans="1:12">
      <c r="A293" s="149" t="s">
        <v>76</v>
      </c>
      <c r="B293" s="161">
        <f t="shared" si="24"/>
        <v>1.6319999999999999</v>
      </c>
      <c r="C293" s="424">
        <f t="shared" si="16"/>
        <v>0.57445446857278615</v>
      </c>
      <c r="D293" s="235">
        <f>D127</f>
        <v>1.0575455314272137</v>
      </c>
      <c r="E293" s="119">
        <f t="shared" si="17"/>
        <v>21043.188839246286</v>
      </c>
      <c r="F293" s="424">
        <f t="shared" si="18"/>
        <v>55871.776784925729</v>
      </c>
      <c r="G293" s="395">
        <f t="shared" si="15"/>
        <v>77.554785658543466</v>
      </c>
      <c r="H293" s="561">
        <f t="shared" si="19"/>
        <v>7.7554785658543468E-5</v>
      </c>
      <c r="I293" s="558">
        <f t="shared" si="20"/>
        <v>10.281657423999709</v>
      </c>
      <c r="J293" s="425">
        <f t="shared" si="21"/>
        <v>1.0281657423999709E-5</v>
      </c>
      <c r="K293" s="426">
        <f t="shared" si="22"/>
        <v>18.928081265397324</v>
      </c>
      <c r="L293" s="434">
        <f t="shared" si="23"/>
        <v>1.8928081265397324E-5</v>
      </c>
    </row>
    <row r="294" spans="1:12">
      <c r="A294" s="150" t="s">
        <v>77</v>
      </c>
      <c r="B294" s="161">
        <f t="shared" si="24"/>
        <v>7.8719999999999999</v>
      </c>
      <c r="C294" s="424">
        <f t="shared" si="16"/>
        <v>1.7100073055854814E-2</v>
      </c>
      <c r="D294" s="235">
        <f>D128+D219</f>
        <v>7.8548999269441451</v>
      </c>
      <c r="E294" s="119">
        <f t="shared" si="17"/>
        <v>21043.188839246286</v>
      </c>
      <c r="F294" s="424">
        <f t="shared" si="18"/>
        <v>55871.776784925729</v>
      </c>
      <c r="G294" s="395">
        <f t="shared" si="15"/>
        <v>374.08778964709205</v>
      </c>
      <c r="H294" s="561">
        <f t="shared" si="19"/>
        <v>3.7408778964709207E-4</v>
      </c>
      <c r="I294" s="558">
        <f t="shared" si="20"/>
        <v>0.30605923133034202</v>
      </c>
      <c r="J294" s="425">
        <f t="shared" si="21"/>
        <v>3.0605923133034199E-7</v>
      </c>
      <c r="K294" s="426">
        <f t="shared" si="22"/>
        <v>140.58797444693769</v>
      </c>
      <c r="L294" s="434">
        <f t="shared" si="23"/>
        <v>1.4058797444693771E-4</v>
      </c>
    </row>
    <row r="295" spans="1:12">
      <c r="A295" s="150" t="s">
        <v>78</v>
      </c>
      <c r="B295" s="161">
        <f t="shared" si="24"/>
        <v>1050.924</v>
      </c>
      <c r="C295" s="424">
        <f t="shared" si="16"/>
        <v>564.13975472857169</v>
      </c>
      <c r="D295" s="235">
        <f>D129+D220</f>
        <v>486.78424527142829</v>
      </c>
      <c r="E295" s="119">
        <f t="shared" si="17"/>
        <v>21043.188839246286</v>
      </c>
      <c r="F295" s="424">
        <f t="shared" si="18"/>
        <v>55871.776784925729</v>
      </c>
      <c r="G295" s="395">
        <f t="shared" si="15"/>
        <v>49941.290173663685</v>
      </c>
      <c r="H295" s="561">
        <f t="shared" si="19"/>
        <v>4.9941290173663687E-2</v>
      </c>
      <c r="I295" s="558">
        <f t="shared" si="20"/>
        <v>10097.04339456012</v>
      </c>
      <c r="J295" s="425">
        <f t="shared" si="21"/>
        <v>1.0097043394560121E-2</v>
      </c>
      <c r="K295" s="426">
        <f t="shared" si="22"/>
        <v>8712.5248789790276</v>
      </c>
      <c r="L295" s="434">
        <f t="shared" si="23"/>
        <v>8.7125248789790277E-3</v>
      </c>
    </row>
    <row r="296" spans="1:12">
      <c r="A296" s="150" t="s">
        <v>79</v>
      </c>
      <c r="B296" s="161">
        <f t="shared" si="24"/>
        <v>98.76</v>
      </c>
      <c r="C296" s="424">
        <f t="shared" si="16"/>
        <v>72.520967612075879</v>
      </c>
      <c r="D296" s="235">
        <f>D130+D221</f>
        <v>26.239032387924127</v>
      </c>
      <c r="E296" s="119">
        <f t="shared" si="17"/>
        <v>21043.188839246286</v>
      </c>
      <c r="F296" s="424">
        <f t="shared" si="18"/>
        <v>55871.776784925729</v>
      </c>
      <c r="G296" s="395">
        <f t="shared" si="15"/>
        <v>4693.205043895683</v>
      </c>
      <c r="H296" s="561">
        <f t="shared" si="19"/>
        <v>4.6932050438956829E-3</v>
      </c>
      <c r="I296" s="558">
        <f t="shared" si="20"/>
        <v>1297.9892852027951</v>
      </c>
      <c r="J296" s="425">
        <f t="shared" si="21"/>
        <v>1.2979892852027952E-3</v>
      </c>
      <c r="K296" s="426">
        <f t="shared" si="22"/>
        <v>469.62946048645171</v>
      </c>
      <c r="L296" s="434">
        <f t="shared" si="23"/>
        <v>4.696294604864517E-4</v>
      </c>
    </row>
    <row r="297" spans="1:12">
      <c r="A297" s="150" t="s">
        <v>80</v>
      </c>
      <c r="B297" s="161">
        <f t="shared" si="24"/>
        <v>154.80000000000001</v>
      </c>
      <c r="C297" s="424">
        <f t="shared" si="16"/>
        <v>110.38873234933348</v>
      </c>
      <c r="D297" s="235">
        <f>D131+D222</f>
        <v>44.411267650666524</v>
      </c>
      <c r="E297" s="119">
        <f t="shared" si="17"/>
        <v>21043.188839246286</v>
      </c>
      <c r="F297" s="424">
        <f t="shared" si="18"/>
        <v>55871.776784925729</v>
      </c>
      <c r="G297" s="395">
        <f t="shared" si="15"/>
        <v>7356.2995220236098</v>
      </c>
      <c r="H297" s="561">
        <f t="shared" si="19"/>
        <v>7.3562995220236094E-3</v>
      </c>
      <c r="I297" s="558">
        <f t="shared" si="20"/>
        <v>1975.7512415305268</v>
      </c>
      <c r="J297" s="425">
        <f t="shared" si="21"/>
        <v>1.9757512415305269E-3</v>
      </c>
      <c r="K297" s="426">
        <f t="shared" si="22"/>
        <v>794.87838415492695</v>
      </c>
      <c r="L297" s="434">
        <f t="shared" si="23"/>
        <v>7.94878384154927E-4</v>
      </c>
    </row>
    <row r="298" spans="1:12">
      <c r="A298" s="150" t="s">
        <v>81</v>
      </c>
      <c r="B298" s="161">
        <f t="shared" si="24"/>
        <v>97.2</v>
      </c>
      <c r="C298" s="424">
        <f t="shared" si="16"/>
        <v>76.856270056612061</v>
      </c>
      <c r="D298" s="235">
        <f>D132</f>
        <v>20.343729943387938</v>
      </c>
      <c r="E298" s="119">
        <f t="shared" si="17"/>
        <v>21043.188839246286</v>
      </c>
      <c r="F298" s="424">
        <f t="shared" si="18"/>
        <v>55871.776784925729</v>
      </c>
      <c r="G298" s="395">
        <f t="shared" si="15"/>
        <v>4619.071792898545</v>
      </c>
      <c r="H298" s="561">
        <f t="shared" si="19"/>
        <v>4.6190717928985452E-3</v>
      </c>
      <c r="I298" s="558">
        <f t="shared" si="20"/>
        <v>1375.5830667863775</v>
      </c>
      <c r="J298" s="425">
        <f t="shared" si="21"/>
        <v>1.3755830667863775E-3</v>
      </c>
      <c r="K298" s="426">
        <f t="shared" si="22"/>
        <v>364.1146051556517</v>
      </c>
      <c r="L298" s="434">
        <f t="shared" si="23"/>
        <v>3.6411460515565168E-4</v>
      </c>
    </row>
    <row r="299" spans="1:12">
      <c r="A299" s="150" t="s">
        <v>82</v>
      </c>
      <c r="B299" s="161">
        <f t="shared" si="24"/>
        <v>1.5</v>
      </c>
      <c r="C299" s="424">
        <f t="shared" si="16"/>
        <v>0.52972389446836354</v>
      </c>
      <c r="D299" s="235">
        <f>D133+D223</f>
        <v>0.97027610553163646</v>
      </c>
      <c r="E299" s="119">
        <f t="shared" si="17"/>
        <v>21043.188839246286</v>
      </c>
      <c r="F299" s="424">
        <f t="shared" si="18"/>
        <v>55871.776784925729</v>
      </c>
      <c r="G299" s="395">
        <f t="shared" si="15"/>
        <v>71.281972112631877</v>
      </c>
      <c r="H299" s="561">
        <f t="shared" si="19"/>
        <v>7.1281972112631871E-5</v>
      </c>
      <c r="I299" s="558">
        <f t="shared" si="20"/>
        <v>9.4810640532785726</v>
      </c>
      <c r="J299" s="425">
        <f t="shared" si="21"/>
        <v>9.4810640532785719E-6</v>
      </c>
      <c r="K299" s="426">
        <f t="shared" si="22"/>
        <v>17.366122242123112</v>
      </c>
      <c r="L299" s="434">
        <f t="shared" si="23"/>
        <v>1.7366122242123111E-5</v>
      </c>
    </row>
    <row r="300" spans="1:12">
      <c r="A300" s="150" t="s">
        <v>213</v>
      </c>
      <c r="B300" s="161">
        <f t="shared" si="24"/>
        <v>979.41600000000005</v>
      </c>
      <c r="C300" s="424">
        <f t="shared" si="16"/>
        <v>764.45920662018716</v>
      </c>
      <c r="D300" s="235">
        <f>D134+D224</f>
        <v>214.95679337981286</v>
      </c>
      <c r="E300" s="119">
        <f t="shared" si="17"/>
        <v>21043.188839246286</v>
      </c>
      <c r="F300" s="424">
        <f t="shared" si="18"/>
        <v>55871.776784925729</v>
      </c>
      <c r="G300" s="395">
        <f t="shared" si="15"/>
        <v>46543.135999110309</v>
      </c>
      <c r="H300" s="561">
        <f t="shared" si="19"/>
        <v>4.6543135999110308E-2</v>
      </c>
      <c r="I300" s="558">
        <f t="shared" si="20"/>
        <v>13682.38582357809</v>
      </c>
      <c r="J300" s="425">
        <f t="shared" si="21"/>
        <v>1.3682385823578089E-2</v>
      </c>
      <c r="K300" s="426">
        <f t="shared" si="22"/>
        <v>3847.3233848866689</v>
      </c>
      <c r="L300" s="434">
        <f t="shared" si="23"/>
        <v>3.8473233848866691E-3</v>
      </c>
    </row>
    <row r="301" spans="1:12">
      <c r="A301" s="150" t="s">
        <v>96</v>
      </c>
      <c r="B301" s="161">
        <f t="shared" si="24"/>
        <v>2087.7551020408168</v>
      </c>
      <c r="C301" s="424">
        <f t="shared" si="16"/>
        <v>2035.5612244897964</v>
      </c>
      <c r="D301" s="235">
        <f>D135+D225</f>
        <v>52.193877551020421</v>
      </c>
      <c r="E301" s="119">
        <f t="shared" si="17"/>
        <v>21043.188839246286</v>
      </c>
      <c r="F301" s="424">
        <f t="shared" si="18"/>
        <v>55871.776784925729</v>
      </c>
      <c r="G301" s="395">
        <f t="shared" si="15"/>
        <v>99212.867307785607</v>
      </c>
      <c r="H301" s="561">
        <f t="shared" si="19"/>
        <v>9.9212867307785613E-2</v>
      </c>
      <c r="I301" s="558">
        <f t="shared" si="20"/>
        <v>36432.727606382352</v>
      </c>
      <c r="J301" s="425">
        <f t="shared" si="21"/>
        <v>3.6432727606382352E-2</v>
      </c>
      <c r="K301" s="426">
        <f t="shared" si="22"/>
        <v>934.17250272775266</v>
      </c>
      <c r="L301" s="434">
        <f t="shared" si="23"/>
        <v>9.341725027277527E-4</v>
      </c>
    </row>
    <row r="302" spans="1:12">
      <c r="A302" s="150" t="s">
        <v>97</v>
      </c>
      <c r="B302" s="161">
        <f t="shared" si="24"/>
        <v>3067.171102040817</v>
      </c>
      <c r="C302" s="424">
        <f t="shared" si="16"/>
        <v>2800.0204311099837</v>
      </c>
      <c r="D302" s="235">
        <f>D136+D226</f>
        <v>267.15067093083326</v>
      </c>
      <c r="E302" s="119">
        <f t="shared" si="17"/>
        <v>21043.188839246286</v>
      </c>
      <c r="F302" s="424">
        <f t="shared" si="18"/>
        <v>55871.776784925729</v>
      </c>
      <c r="G302" s="395">
        <f t="shared" si="15"/>
        <v>145756.00330689593</v>
      </c>
      <c r="H302" s="561">
        <f t="shared" si="19"/>
        <v>0.14575600330689592</v>
      </c>
      <c r="I302" s="558">
        <f t="shared" si="20"/>
        <v>50115.113429960446</v>
      </c>
      <c r="J302" s="425">
        <f t="shared" si="21"/>
        <v>5.0115113429960445E-2</v>
      </c>
      <c r="K302" s="426">
        <f t="shared" si="22"/>
        <v>4781.495887614421</v>
      </c>
      <c r="L302" s="434">
        <f t="shared" si="23"/>
        <v>4.7814958876144214E-3</v>
      </c>
    </row>
    <row r="303" spans="1:12">
      <c r="A303" s="150" t="s">
        <v>84</v>
      </c>
      <c r="B303" s="161">
        <f t="shared" si="24"/>
        <v>1.488</v>
      </c>
      <c r="C303" s="424">
        <f t="shared" si="16"/>
        <v>0.30553625161004194</v>
      </c>
      <c r="D303" s="235">
        <f>D227+D137</f>
        <v>1.182463748389958</v>
      </c>
      <c r="E303" s="119">
        <f t="shared" si="17"/>
        <v>21043.188839246286</v>
      </c>
      <c r="F303" s="424">
        <f t="shared" si="18"/>
        <v>55871.776784925729</v>
      </c>
      <c r="G303" s="395">
        <f t="shared" si="15"/>
        <v>70.711716335730813</v>
      </c>
      <c r="H303" s="561">
        <f t="shared" si="19"/>
        <v>7.0711716335730812E-5</v>
      </c>
      <c r="I303" s="558">
        <f t="shared" si="20"/>
        <v>5.4685257779823457</v>
      </c>
      <c r="J303" s="425">
        <f t="shared" si="21"/>
        <v>5.4685257779823457E-6</v>
      </c>
      <c r="K303" s="426">
        <f t="shared" si="22"/>
        <v>21.163883027056126</v>
      </c>
      <c r="L303" s="434">
        <f t="shared" si="23"/>
        <v>2.1163883027056126E-5</v>
      </c>
    </row>
    <row r="304" spans="1:12">
      <c r="A304" s="150" t="s">
        <v>249</v>
      </c>
      <c r="B304" s="161">
        <f t="shared" si="24"/>
        <v>226.8</v>
      </c>
      <c r="C304" s="424">
        <f t="shared" si="16"/>
        <v>0</v>
      </c>
      <c r="D304" s="235">
        <f t="shared" ref="D304:D309" si="25">D228</f>
        <v>226.8</v>
      </c>
      <c r="E304" s="119">
        <f t="shared" si="17"/>
        <v>21043.188839246286</v>
      </c>
      <c r="F304" s="424">
        <f t="shared" si="18"/>
        <v>55871.776784925729</v>
      </c>
      <c r="G304" s="395">
        <f t="shared" si="15"/>
        <v>10777.834183429939</v>
      </c>
      <c r="H304" s="561">
        <f t="shared" si="19"/>
        <v>1.077783418342994E-2</v>
      </c>
      <c r="I304" s="558">
        <f t="shared" si="20"/>
        <v>0</v>
      </c>
      <c r="J304" s="425">
        <f t="shared" si="21"/>
        <v>0</v>
      </c>
      <c r="K304" s="426">
        <f t="shared" si="22"/>
        <v>4059.2945678647352</v>
      </c>
      <c r="L304" s="434">
        <f t="shared" si="23"/>
        <v>4.059294567864735E-3</v>
      </c>
    </row>
    <row r="305" spans="1:12">
      <c r="A305" s="150" t="s">
        <v>250</v>
      </c>
      <c r="B305" s="161">
        <f t="shared" si="24"/>
        <v>783.67346938775506</v>
      </c>
      <c r="C305" s="424">
        <f t="shared" si="16"/>
        <v>0</v>
      </c>
      <c r="D305" s="235">
        <f t="shared" si="25"/>
        <v>783.67346938775506</v>
      </c>
      <c r="E305" s="119">
        <f t="shared" si="17"/>
        <v>21043.188839246286</v>
      </c>
      <c r="F305" s="424">
        <f t="shared" si="18"/>
        <v>55871.776784925729</v>
      </c>
      <c r="G305" s="395">
        <f t="shared" si="15"/>
        <v>37241.193593538279</v>
      </c>
      <c r="H305" s="561">
        <f t="shared" si="19"/>
        <v>3.724119359353828E-2</v>
      </c>
      <c r="I305" s="558">
        <f t="shared" si="20"/>
        <v>0</v>
      </c>
      <c r="J305" s="425">
        <f t="shared" si="21"/>
        <v>0</v>
      </c>
      <c r="K305" s="426">
        <f t="shared" si="22"/>
        <v>14026.285084944553</v>
      </c>
      <c r="L305" s="434">
        <f t="shared" si="23"/>
        <v>1.4026285084944553E-2</v>
      </c>
    </row>
    <row r="306" spans="1:12">
      <c r="A306" s="150" t="s">
        <v>251</v>
      </c>
      <c r="B306" s="161">
        <f>B304+B305</f>
        <v>1010.4734693877551</v>
      </c>
      <c r="C306" s="424">
        <f>B306-D306</f>
        <v>0</v>
      </c>
      <c r="D306" s="235">
        <f t="shared" si="25"/>
        <v>1010.4734693877551</v>
      </c>
      <c r="E306" s="119">
        <f t="shared" si="17"/>
        <v>21043.188839246286</v>
      </c>
      <c r="F306" s="424">
        <f t="shared" si="18"/>
        <v>55871.776784925729</v>
      </c>
      <c r="G306" s="395">
        <f t="shared" si="15"/>
        <v>48019.027776968222</v>
      </c>
      <c r="H306" s="561">
        <f t="shared" si="19"/>
        <v>4.8019027776968225E-2</v>
      </c>
      <c r="I306" s="558">
        <f>C306/F306*1000000</f>
        <v>0</v>
      </c>
      <c r="J306" s="425">
        <f>I306/1000000</f>
        <v>0</v>
      </c>
      <c r="K306" s="426">
        <f>D306/F306*1000000</f>
        <v>18085.579652809291</v>
      </c>
      <c r="L306" s="434">
        <f>K306/1000000</f>
        <v>1.808557965280929E-2</v>
      </c>
    </row>
    <row r="307" spans="1:12">
      <c r="A307" s="151" t="s">
        <v>238</v>
      </c>
      <c r="B307" s="161">
        <f>B306/32*96</f>
        <v>3031.4204081632652</v>
      </c>
      <c r="C307" s="424">
        <f>B307-D307</f>
        <v>0</v>
      </c>
      <c r="D307" s="235">
        <f t="shared" si="25"/>
        <v>3031.4204081632652</v>
      </c>
      <c r="E307" s="119">
        <f t="shared" si="17"/>
        <v>21043.188839246286</v>
      </c>
      <c r="F307" s="424">
        <f t="shared" si="18"/>
        <v>55871.776784925729</v>
      </c>
      <c r="G307" s="395">
        <f t="shared" si="15"/>
        <v>144057.08333090466</v>
      </c>
      <c r="H307" s="561">
        <f t="shared" si="19"/>
        <v>0.14405708333090467</v>
      </c>
      <c r="I307" s="558">
        <f>C307/F307*1000000</f>
        <v>0</v>
      </c>
      <c r="J307" s="425">
        <f>I307/1000000</f>
        <v>0</v>
      </c>
      <c r="K307" s="426">
        <f>D307/F307*1000000</f>
        <v>54256.738958427864</v>
      </c>
      <c r="L307" s="434">
        <f>K307/1000000</f>
        <v>5.4256738958427864E-2</v>
      </c>
    </row>
    <row r="308" spans="1:12">
      <c r="A308" s="151" t="s">
        <v>239</v>
      </c>
      <c r="B308" s="161">
        <f>B306/32*136</f>
        <v>4294.5122448979591</v>
      </c>
      <c r="C308" s="424">
        <f>B308-D308</f>
        <v>0</v>
      </c>
      <c r="D308" s="235">
        <f t="shared" si="25"/>
        <v>4294.5122448979591</v>
      </c>
      <c r="E308" s="119">
        <f t="shared" si="17"/>
        <v>21043.188839246286</v>
      </c>
      <c r="F308" s="424">
        <f t="shared" si="18"/>
        <v>55871.776784925729</v>
      </c>
      <c r="G308" s="395">
        <f t="shared" si="15"/>
        <v>204080.86805211494</v>
      </c>
      <c r="H308" s="561">
        <f t="shared" si="19"/>
        <v>0.20408086805211495</v>
      </c>
      <c r="I308" s="558">
        <f>C308/F308*1000000</f>
        <v>0</v>
      </c>
      <c r="J308" s="425">
        <f>I308/1000000</f>
        <v>0</v>
      </c>
      <c r="K308" s="426">
        <f>D308/F308*1000000</f>
        <v>76863.713524439474</v>
      </c>
      <c r="L308" s="434">
        <f>K308/1000000</f>
        <v>7.6863713524439478E-2</v>
      </c>
    </row>
    <row r="309" spans="1:12">
      <c r="A309" s="151" t="s">
        <v>248</v>
      </c>
      <c r="B309" s="161">
        <f>C233</f>
        <v>17.71849815232261</v>
      </c>
      <c r="C309" s="424">
        <f>B309-D309</f>
        <v>0</v>
      </c>
      <c r="D309" s="235">
        <f t="shared" si="25"/>
        <v>17.71849815232261</v>
      </c>
      <c r="E309" s="119">
        <f t="shared" si="17"/>
        <v>21043.188839246286</v>
      </c>
      <c r="F309" s="424">
        <f t="shared" si="18"/>
        <v>55871.776784925729</v>
      </c>
      <c r="G309" s="395">
        <f>B309/E309*1000000</f>
        <v>842.00632744771974</v>
      </c>
      <c r="H309" s="561">
        <f t="shared" si="19"/>
        <v>8.4200632744771972E-4</v>
      </c>
      <c r="I309" s="558">
        <f>C309/F309*1000000</f>
        <v>0</v>
      </c>
      <c r="J309" s="425">
        <f>I309/1000000</f>
        <v>0</v>
      </c>
      <c r="K309" s="426">
        <f>D309/F309*1000000</f>
        <v>317.1278805134238</v>
      </c>
      <c r="L309" s="434">
        <f>K309/1000000</f>
        <v>3.1712788051342378E-4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6"/>
        <v>0.52646313881298212</v>
      </c>
      <c r="D310" s="236">
        <f>D143+D234</f>
        <v>27.709536861187019</v>
      </c>
      <c r="E310" s="135">
        <f t="shared" si="17"/>
        <v>21043.188839246286</v>
      </c>
      <c r="F310" s="435">
        <f t="shared" si="18"/>
        <v>55871.776784925729</v>
      </c>
      <c r="G310" s="405">
        <f>B310/E310*1000000</f>
        <v>1341.8118430481823</v>
      </c>
      <c r="H310" s="562">
        <f t="shared" si="19"/>
        <v>1.3418118430481823E-3</v>
      </c>
      <c r="I310" s="559">
        <f t="shared" si="20"/>
        <v>9.4227026435826993</v>
      </c>
      <c r="J310" s="436">
        <f t="shared" si="21"/>
        <v>9.4227026435826985E-6</v>
      </c>
      <c r="K310" s="437">
        <f t="shared" si="22"/>
        <v>495.94873218105857</v>
      </c>
      <c r="L310" s="439">
        <f t="shared" si="23"/>
        <v>4.9594873218105858E-4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0.66174991619175327</v>
      </c>
      <c r="B315" s="457">
        <v>0.33825008380824673</v>
      </c>
      <c r="C315" s="458">
        <v>0.43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55871.776784925729</v>
      </c>
    </row>
    <row r="320" spans="1:12">
      <c r="A320" s="415" t="s">
        <v>338</v>
      </c>
      <c r="B320" s="37" t="s">
        <v>52</v>
      </c>
      <c r="C320" s="631">
        <v>2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24000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2409.2434759016687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863.77678492572716</v>
      </c>
    </row>
    <row r="330" spans="1:3" hidden="1">
      <c r="A330" s="282" t="s">
        <v>116</v>
      </c>
      <c r="B330" s="288" t="s">
        <v>35</v>
      </c>
      <c r="C330" s="295">
        <f>C329*C328</f>
        <v>43.188839246286364</v>
      </c>
    </row>
    <row r="331" spans="1:3" hidden="1">
      <c r="A331" s="282" t="s">
        <v>121</v>
      </c>
      <c r="B331" s="288" t="s">
        <v>35</v>
      </c>
      <c r="C331" s="295">
        <f>SUM($D$216:$D$234)</f>
        <v>9546.5621211462203</v>
      </c>
    </row>
    <row r="332" spans="1:3" hidden="1">
      <c r="A332" s="282" t="s">
        <v>57</v>
      </c>
      <c r="B332" s="288" t="s">
        <v>35</v>
      </c>
      <c r="C332" s="279">
        <f>C326-C327+C330+C331</f>
        <v>19180.507484490838</v>
      </c>
    </row>
    <row r="333" spans="1:3" hidden="1">
      <c r="A333" s="282" t="s">
        <v>128</v>
      </c>
      <c r="B333" s="288" t="s">
        <v>35</v>
      </c>
      <c r="C333" s="279">
        <f>$C$319+$C$322</f>
        <v>79871.776784925722</v>
      </c>
    </row>
    <row r="334" spans="1:3" hidden="1">
      <c r="A334" s="310" t="s">
        <v>59</v>
      </c>
      <c r="B334" s="283" t="s">
        <v>24</v>
      </c>
      <c r="C334" s="300">
        <f>C332/C333</f>
        <v>0.24014123957876937</v>
      </c>
    </row>
    <row r="335" spans="1:3" hidden="1">
      <c r="A335" s="282" t="s">
        <v>32</v>
      </c>
      <c r="B335" s="288" t="s">
        <v>35</v>
      </c>
      <c r="C335" s="279">
        <f>$C$25</f>
        <v>2400</v>
      </c>
    </row>
    <row r="336" spans="1:3" hidden="1">
      <c r="A336" s="282" t="s">
        <v>33</v>
      </c>
      <c r="B336" s="288" t="s">
        <v>35</v>
      </c>
      <c r="C336" s="279">
        <f>$C$30</f>
        <v>6600.0000000000009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2409.2434759016687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863.77678492572716</v>
      </c>
    </row>
    <row r="341" spans="1:3" hidden="1">
      <c r="A341" s="282" t="s">
        <v>118</v>
      </c>
      <c r="B341" s="288" t="s">
        <v>35</v>
      </c>
      <c r="C341" s="279">
        <f>C339*C340</f>
        <v>820.58794567944074</v>
      </c>
    </row>
    <row r="342" spans="1:3" hidden="1">
      <c r="A342" s="282" t="s">
        <v>37</v>
      </c>
      <c r="B342" s="288" t="s">
        <v>35</v>
      </c>
      <c r="C342" s="279">
        <f>$C$322</f>
        <v>24000</v>
      </c>
    </row>
    <row r="343" spans="1:3" hidden="1">
      <c r="A343" s="282" t="s">
        <v>121</v>
      </c>
      <c r="B343" s="288" t="s">
        <v>35</v>
      </c>
      <c r="C343" s="295">
        <f>SUM($D$216:$D$234)</f>
        <v>9546.5621211462203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79871.776784925722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2400</v>
      </c>
    </row>
    <row r="352" spans="1:3" hidden="1">
      <c r="A352" s="282" t="s">
        <v>33</v>
      </c>
      <c r="B352" s="288" t="s">
        <v>35</v>
      </c>
      <c r="C352" s="295">
        <f>$C$30</f>
        <v>6600.0000000000009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863.77678492572716</v>
      </c>
    </row>
    <row r="355" spans="1:3" hidden="1">
      <c r="A355" s="282" t="s">
        <v>116</v>
      </c>
      <c r="B355" s="288" t="s">
        <v>35</v>
      </c>
      <c r="C355" s="295">
        <f>C354*C353</f>
        <v>43.188839246286364</v>
      </c>
    </row>
    <row r="356" spans="1:3" hidden="1">
      <c r="A356" s="282" t="s">
        <v>430</v>
      </c>
      <c r="B356" s="288" t="s">
        <v>35</v>
      </c>
      <c r="C356" s="279">
        <f>C350+C351+C352+C355</f>
        <v>21043.188839246286</v>
      </c>
    </row>
    <row r="357" spans="1:3" hidden="1">
      <c r="A357" s="282" t="s">
        <v>114</v>
      </c>
      <c r="B357" s="288" t="s">
        <v>35</v>
      </c>
      <c r="C357" s="279">
        <f>$C$319+$C$322</f>
        <v>79871.776784925722</v>
      </c>
    </row>
    <row r="358" spans="1:3" hidden="1">
      <c r="A358" s="310" t="s">
        <v>64</v>
      </c>
      <c r="B358" s="283" t="s">
        <v>24</v>
      </c>
      <c r="C358" s="300">
        <f>C356/C357</f>
        <v>0.263462135015604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863.77678492572716</v>
      </c>
    </row>
    <row r="362" spans="1:3" hidden="1">
      <c r="A362" s="282" t="s">
        <v>118</v>
      </c>
      <c r="B362" s="288" t="s">
        <v>35</v>
      </c>
      <c r="C362" s="279">
        <f>C360*C361</f>
        <v>820.58794567944074</v>
      </c>
    </row>
    <row r="363" spans="1:3" hidden="1">
      <c r="A363" s="282" t="s">
        <v>37</v>
      </c>
      <c r="B363" s="288" t="s">
        <v>35</v>
      </c>
      <c r="C363" s="279">
        <f>$C$322</f>
        <v>24000</v>
      </c>
    </row>
    <row r="364" spans="1:3" hidden="1">
      <c r="A364" s="282" t="s">
        <v>65</v>
      </c>
      <c r="B364" s="288" t="s">
        <v>35</v>
      </c>
      <c r="C364" s="279">
        <f>C359+C362+C363</f>
        <v>58828.587945679443</v>
      </c>
    </row>
    <row r="365" spans="1:3" hidden="1">
      <c r="A365" s="282" t="s">
        <v>114</v>
      </c>
      <c r="B365" s="288" t="s">
        <v>35</v>
      </c>
      <c r="C365" s="279">
        <f>$C$319+$C$322</f>
        <v>79871.776784925722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0.73653786498439611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55871.776784925729</v>
      </c>
    </row>
    <row r="371" spans="1:3">
      <c r="A371" s="257" t="s">
        <v>338</v>
      </c>
      <c r="B371" s="278" t="s">
        <v>35</v>
      </c>
      <c r="C371" s="279">
        <f>C322</f>
        <v>24000</v>
      </c>
    </row>
    <row r="372" spans="1:3">
      <c r="A372" s="257" t="s">
        <v>339</v>
      </c>
      <c r="B372" s="278" t="s">
        <v>35</v>
      </c>
      <c r="C372" s="279">
        <f>C370+C371</f>
        <v>79871.776784925722</v>
      </c>
    </row>
    <row r="373" spans="1:3">
      <c r="A373" s="257" t="s">
        <v>130</v>
      </c>
      <c r="B373" s="278" t="s">
        <v>24</v>
      </c>
      <c r="C373" s="314">
        <f>A315</f>
        <v>0.66174991619175327</v>
      </c>
    </row>
    <row r="374" spans="1:3">
      <c r="A374" s="253" t="s">
        <v>9</v>
      </c>
      <c r="B374" s="270" t="s">
        <v>35</v>
      </c>
      <c r="C374" s="254">
        <f>C372*C373</f>
        <v>52855.14159351102</v>
      </c>
    </row>
    <row r="375" spans="1:3">
      <c r="A375" s="257" t="s">
        <v>131</v>
      </c>
      <c r="B375" s="278" t="s">
        <v>24</v>
      </c>
      <c r="C375" s="314">
        <f>B315</f>
        <v>0.33825008380824673</v>
      </c>
    </row>
    <row r="376" spans="1:3">
      <c r="A376" s="253" t="s">
        <v>11</v>
      </c>
      <c r="B376" s="270" t="s">
        <v>35</v>
      </c>
      <c r="C376" s="322">
        <f>C372*C375</f>
        <v>27016.635191414702</v>
      </c>
    </row>
    <row r="377" spans="1:3">
      <c r="A377" s="281" t="s">
        <v>355</v>
      </c>
      <c r="B377" s="278" t="s">
        <v>24</v>
      </c>
      <c r="C377" s="318">
        <f>C315</f>
        <v>0.43</v>
      </c>
    </row>
    <row r="378" spans="1:3">
      <c r="A378" s="281" t="s">
        <v>421</v>
      </c>
      <c r="B378" s="278" t="s">
        <v>35</v>
      </c>
      <c r="C378" s="289">
        <f>C376*C377</f>
        <v>11617.153132308322</v>
      </c>
    </row>
    <row r="379" spans="1:3">
      <c r="A379" s="281" t="s">
        <v>132</v>
      </c>
      <c r="B379" s="278" t="s">
        <v>24</v>
      </c>
      <c r="C379" s="318">
        <f>1-C377</f>
        <v>0.57000000000000006</v>
      </c>
    </row>
    <row r="380" spans="1:3" ht="14.65" thickBot="1">
      <c r="A380" s="319" t="s">
        <v>340</v>
      </c>
      <c r="B380" s="320" t="s">
        <v>35</v>
      </c>
      <c r="C380" s="321">
        <f>C376*C379</f>
        <v>15399.482059106382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2400</v>
      </c>
    </row>
    <row r="386" spans="1:3">
      <c r="A386" s="257" t="s">
        <v>428</v>
      </c>
      <c r="B386" s="278" t="s">
        <v>35</v>
      </c>
      <c r="C386" s="295">
        <f>$C$30</f>
        <v>6600.0000000000009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863.77678492572716</v>
      </c>
    </row>
    <row r="389" spans="1:3">
      <c r="A389" s="257" t="s">
        <v>429</v>
      </c>
      <c r="B389" s="278" t="s">
        <v>35</v>
      </c>
      <c r="C389" s="295">
        <f>C388*C387</f>
        <v>43.188839246286364</v>
      </c>
    </row>
    <row r="390" spans="1:3">
      <c r="A390" s="281" t="s">
        <v>421</v>
      </c>
      <c r="B390" s="278" t="s">
        <v>35</v>
      </c>
      <c r="C390" s="289">
        <f>$C$378</f>
        <v>11617.153132308322</v>
      </c>
    </row>
    <row r="391" spans="1:3">
      <c r="A391" s="257" t="s">
        <v>341</v>
      </c>
      <c r="B391" s="278" t="s">
        <v>35</v>
      </c>
      <c r="C391" s="279">
        <f>C384+C385+C386+C389-C390</f>
        <v>9426.0357069379643</v>
      </c>
    </row>
    <row r="392" spans="1:3">
      <c r="A392" s="257" t="s">
        <v>9</v>
      </c>
      <c r="B392" s="278" t="s">
        <v>35</v>
      </c>
      <c r="C392" s="279">
        <f>$C$374</f>
        <v>52855.14159351102</v>
      </c>
    </row>
    <row r="393" spans="1:3">
      <c r="A393" s="299" t="s">
        <v>64</v>
      </c>
      <c r="B393" s="260" t="s">
        <v>24</v>
      </c>
      <c r="C393" s="300">
        <f>C391/C392</f>
        <v>0.17833715742226278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863.77678492572716</v>
      </c>
    </row>
    <row r="397" spans="1:3">
      <c r="A397" s="257" t="s">
        <v>356</v>
      </c>
      <c r="B397" s="278" t="s">
        <v>35</v>
      </c>
      <c r="C397" s="279">
        <f>C395*C396</f>
        <v>820.58794567944074</v>
      </c>
    </row>
    <row r="398" spans="1:3">
      <c r="A398" s="257" t="s">
        <v>338</v>
      </c>
      <c r="B398" s="278" t="s">
        <v>35</v>
      </c>
      <c r="C398" s="279">
        <f>$C$322</f>
        <v>24000</v>
      </c>
    </row>
    <row r="399" spans="1:3">
      <c r="A399" s="281" t="s">
        <v>340</v>
      </c>
      <c r="B399" s="278" t="s">
        <v>35</v>
      </c>
      <c r="C399" s="289">
        <f>$C$380</f>
        <v>15399.482059106382</v>
      </c>
    </row>
    <row r="400" spans="1:3">
      <c r="A400" s="257" t="s">
        <v>342</v>
      </c>
      <c r="B400" s="278" t="s">
        <v>35</v>
      </c>
      <c r="C400" s="279">
        <f>C394+C397+C398-C399</f>
        <v>43429.105886573059</v>
      </c>
    </row>
    <row r="401" spans="1:8">
      <c r="A401" s="257" t="s">
        <v>9</v>
      </c>
      <c r="B401" s="278" t="s">
        <v>35</v>
      </c>
      <c r="C401" s="279">
        <f>$C$374</f>
        <v>52855.14159351102</v>
      </c>
    </row>
    <row r="402" spans="1:8" ht="14.65" thickBot="1">
      <c r="A402" s="301" t="s">
        <v>66</v>
      </c>
      <c r="B402" s="277" t="s">
        <v>24</v>
      </c>
      <c r="C402" s="303">
        <f>C400/C401</f>
        <v>0.82166284257773725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282.54946526334061</v>
      </c>
      <c r="C408" s="160">
        <f>$C$391</f>
        <v>9426.0357069379643</v>
      </c>
      <c r="D408" s="467">
        <f>$C$374</f>
        <v>52855.14159351102</v>
      </c>
      <c r="E408" s="465">
        <f>B408/C408*1000000</f>
        <v>29975.429125032078</v>
      </c>
      <c r="F408" s="560">
        <f>E408/1000000</f>
        <v>2.997542912503208E-2</v>
      </c>
      <c r="G408" s="443">
        <f>B408/D408*1000000</f>
        <v>5345.7328226707277</v>
      </c>
      <c r="H408" s="460">
        <f>G408/1000000</f>
        <v>5.3457328226707282E-3</v>
      </c>
    </row>
    <row r="409" spans="1:8">
      <c r="A409" s="112" t="s">
        <v>73</v>
      </c>
      <c r="B409" s="461">
        <f>C290</f>
        <v>2.8459309992772908E-2</v>
      </c>
      <c r="C409" s="119">
        <f t="shared" ref="C409:C429" si="26">$C$391</f>
        <v>9426.0357069379643</v>
      </c>
      <c r="D409" s="468">
        <f t="shared" ref="D409:D429" si="27">$C$374</f>
        <v>52855.14159351102</v>
      </c>
      <c r="E409" s="331">
        <f t="shared" ref="E409:E429" si="28">B409/C409*1000000</f>
        <v>3.019223656433387</v>
      </c>
      <c r="F409" s="561">
        <f t="shared" ref="F409:F429" si="29">E409/1000000</f>
        <v>3.019223656433387E-6</v>
      </c>
      <c r="G409" s="444">
        <f t="shared" ref="G409:G429" si="30">B409/D409*1000000</f>
        <v>0.53843976451038078</v>
      </c>
      <c r="H409" s="462">
        <f t="shared" ref="H409:H429" si="31">G409/1000000</f>
        <v>5.384397645103808E-7</v>
      </c>
    </row>
    <row r="410" spans="1:8">
      <c r="A410" s="112" t="s">
        <v>74</v>
      </c>
      <c r="B410" s="461">
        <f t="shared" ref="B410:B412" si="32">C291</f>
        <v>478.37219712488445</v>
      </c>
      <c r="C410" s="119">
        <f t="shared" si="26"/>
        <v>9426.0357069379643</v>
      </c>
      <c r="D410" s="468">
        <f t="shared" si="27"/>
        <v>52855.14159351102</v>
      </c>
      <c r="E410" s="331">
        <f t="shared" si="28"/>
        <v>50750.093888651638</v>
      </c>
      <c r="F410" s="561">
        <f t="shared" si="29"/>
        <v>5.0750093888651635E-2</v>
      </c>
      <c r="G410" s="444">
        <f t="shared" si="30"/>
        <v>9050.6274830150833</v>
      </c>
      <c r="H410" s="462">
        <f t="shared" si="31"/>
        <v>9.0506274830150831E-3</v>
      </c>
    </row>
    <row r="411" spans="1:8">
      <c r="A411" s="112" t="s">
        <v>75</v>
      </c>
      <c r="B411" s="461">
        <f t="shared" si="32"/>
        <v>3.870734936791409E-4</v>
      </c>
      <c r="C411" s="119">
        <f t="shared" si="26"/>
        <v>9426.0357069379643</v>
      </c>
      <c r="D411" s="468">
        <f t="shared" si="27"/>
        <v>52855.14159351102</v>
      </c>
      <c r="E411" s="331">
        <f t="shared" si="28"/>
        <v>4.1064293167724614E-2</v>
      </c>
      <c r="F411" s="561">
        <f t="shared" si="29"/>
        <v>4.1064293167724614E-8</v>
      </c>
      <c r="G411" s="444">
        <f t="shared" si="30"/>
        <v>7.3232893150864554E-3</v>
      </c>
      <c r="H411" s="462">
        <f t="shared" si="31"/>
        <v>7.3232893150864551E-9</v>
      </c>
    </row>
    <row r="412" spans="1:8">
      <c r="A412" s="112" t="s">
        <v>76</v>
      </c>
      <c r="B412" s="461">
        <f t="shared" si="32"/>
        <v>0.57445446857278615</v>
      </c>
      <c r="C412" s="119">
        <f t="shared" si="26"/>
        <v>9426.0357069379643</v>
      </c>
      <c r="D412" s="468">
        <f t="shared" si="27"/>
        <v>52855.14159351102</v>
      </c>
      <c r="E412" s="331">
        <f t="shared" si="28"/>
        <v>60.943379214017106</v>
      </c>
      <c r="F412" s="561">
        <f t="shared" si="29"/>
        <v>6.0943379214017103E-5</v>
      </c>
      <c r="G412" s="444">
        <f t="shared" si="30"/>
        <v>10.868469012734826</v>
      </c>
      <c r="H412" s="462">
        <f t="shared" si="31"/>
        <v>1.0868469012734827E-5</v>
      </c>
    </row>
    <row r="413" spans="1:8">
      <c r="A413" s="113" t="s">
        <v>77</v>
      </c>
      <c r="B413" s="461">
        <f>C294</f>
        <v>1.7100073055854814E-2</v>
      </c>
      <c r="C413" s="119">
        <f t="shared" si="26"/>
        <v>9426.0357069379643</v>
      </c>
      <c r="D413" s="468">
        <f t="shared" si="27"/>
        <v>52855.14159351102</v>
      </c>
      <c r="E413" s="331">
        <f t="shared" si="28"/>
        <v>1.8141320049603071</v>
      </c>
      <c r="F413" s="561">
        <f t="shared" si="29"/>
        <v>1.8141320049603071E-6</v>
      </c>
      <c r="G413" s="444">
        <f t="shared" si="30"/>
        <v>0.32352714495337148</v>
      </c>
      <c r="H413" s="462">
        <f t="shared" si="31"/>
        <v>3.2352714495337148E-7</v>
      </c>
    </row>
    <row r="414" spans="1:8">
      <c r="A414" s="113" t="s">
        <v>78</v>
      </c>
      <c r="B414" s="461">
        <f>C295</f>
        <v>564.13975472857169</v>
      </c>
      <c r="C414" s="119">
        <f t="shared" si="26"/>
        <v>9426.0357069379643</v>
      </c>
      <c r="D414" s="468">
        <f t="shared" si="27"/>
        <v>52855.14159351102</v>
      </c>
      <c r="E414" s="331">
        <f t="shared" si="28"/>
        <v>59849.100116747999</v>
      </c>
      <c r="F414" s="561">
        <f t="shared" si="29"/>
        <v>5.9849100116747996E-2</v>
      </c>
      <c r="G414" s="444">
        <f t="shared" si="30"/>
        <v>10673.318389101254</v>
      </c>
      <c r="H414" s="462">
        <f t="shared" si="31"/>
        <v>1.0673318389101254E-2</v>
      </c>
    </row>
    <row r="415" spans="1:8">
      <c r="A415" s="113" t="s">
        <v>79</v>
      </c>
      <c r="B415" s="461">
        <f>C296</f>
        <v>72.520967612075879</v>
      </c>
      <c r="C415" s="119">
        <f t="shared" si="26"/>
        <v>9426.0357069379643</v>
      </c>
      <c r="D415" s="468">
        <f t="shared" si="27"/>
        <v>52855.14159351102</v>
      </c>
      <c r="E415" s="331">
        <f t="shared" si="28"/>
        <v>7693.6869185311225</v>
      </c>
      <c r="F415" s="561">
        <f t="shared" si="29"/>
        <v>7.6936869185311226E-3</v>
      </c>
      <c r="G415" s="444">
        <f t="shared" si="30"/>
        <v>1372.0702551476888</v>
      </c>
      <c r="H415" s="462">
        <f t="shared" si="31"/>
        <v>1.3720702551476888E-3</v>
      </c>
    </row>
    <row r="416" spans="1:8">
      <c r="A416" s="113" t="s">
        <v>80</v>
      </c>
      <c r="B416" s="461">
        <f>C297</f>
        <v>110.38873234933348</v>
      </c>
      <c r="C416" s="119">
        <f t="shared" si="26"/>
        <v>9426.0357069379643</v>
      </c>
      <c r="D416" s="468">
        <f t="shared" si="27"/>
        <v>52855.14159351102</v>
      </c>
      <c r="E416" s="331">
        <f t="shared" si="28"/>
        <v>11711.045425818053</v>
      </c>
      <c r="F416" s="561">
        <f t="shared" si="29"/>
        <v>1.1711045425818052E-2</v>
      </c>
      <c r="G416" s="444">
        <f t="shared" si="30"/>
        <v>2088.5145516833845</v>
      </c>
      <c r="H416" s="462">
        <f t="shared" si="31"/>
        <v>2.0885145516833844E-3</v>
      </c>
    </row>
    <row r="417" spans="1:8">
      <c r="A417" s="113" t="s">
        <v>81</v>
      </c>
      <c r="B417" s="461">
        <f t="shared" ref="B417:B429" si="33">C298</f>
        <v>76.856270056612061</v>
      </c>
      <c r="C417" s="119">
        <f t="shared" si="26"/>
        <v>9426.0357069379643</v>
      </c>
      <c r="D417" s="468">
        <f t="shared" si="27"/>
        <v>52855.14159351102</v>
      </c>
      <c r="E417" s="331">
        <f t="shared" si="28"/>
        <v>8153.6154165045837</v>
      </c>
      <c r="F417" s="561">
        <f t="shared" si="29"/>
        <v>8.1536154165045838E-3</v>
      </c>
      <c r="G417" s="444">
        <f t="shared" si="30"/>
        <v>1454.0925960937666</v>
      </c>
      <c r="H417" s="462">
        <f t="shared" si="31"/>
        <v>1.4540925960937665E-3</v>
      </c>
    </row>
    <row r="418" spans="1:8">
      <c r="A418" s="113" t="s">
        <v>82</v>
      </c>
      <c r="B418" s="461">
        <f t="shared" si="33"/>
        <v>0.52972389446836354</v>
      </c>
      <c r="C418" s="119">
        <f t="shared" si="26"/>
        <v>9426.0357069379643</v>
      </c>
      <c r="D418" s="468">
        <f t="shared" si="27"/>
        <v>52855.14159351102</v>
      </c>
      <c r="E418" s="331">
        <f t="shared" si="28"/>
        <v>56.197951178825278</v>
      </c>
      <c r="F418" s="561">
        <f t="shared" si="29"/>
        <v>5.6197951178825276E-5</v>
      </c>
      <c r="G418" s="444">
        <f t="shared" si="30"/>
        <v>10.022182866186803</v>
      </c>
      <c r="H418" s="462">
        <f t="shared" si="31"/>
        <v>1.0022182866186803E-5</v>
      </c>
    </row>
    <row r="419" spans="1:8">
      <c r="A419" s="113" t="s">
        <v>213</v>
      </c>
      <c r="B419" s="461">
        <f t="shared" si="33"/>
        <v>764.45920662018716</v>
      </c>
      <c r="C419" s="119">
        <f t="shared" si="26"/>
        <v>9426.0357069379643</v>
      </c>
      <c r="D419" s="468">
        <f t="shared" si="27"/>
        <v>52855.14159351102</v>
      </c>
      <c r="E419" s="331">
        <f t="shared" si="28"/>
        <v>81100.818030798735</v>
      </c>
      <c r="F419" s="561">
        <f t="shared" si="29"/>
        <v>8.110081803079873E-2</v>
      </c>
      <c r="G419" s="444">
        <f t="shared" si="30"/>
        <v>14463.289352232843</v>
      </c>
      <c r="H419" s="462">
        <f t="shared" si="31"/>
        <v>1.4463289352232843E-2</v>
      </c>
    </row>
    <row r="420" spans="1:8">
      <c r="A420" s="113" t="s">
        <v>96</v>
      </c>
      <c r="B420" s="461">
        <f t="shared" si="33"/>
        <v>2035.5612244897964</v>
      </c>
      <c r="C420" s="119">
        <f t="shared" si="26"/>
        <v>9426.0357069379643</v>
      </c>
      <c r="D420" s="468">
        <f t="shared" si="27"/>
        <v>52855.14159351102</v>
      </c>
      <c r="E420" s="331">
        <f t="shared" si="28"/>
        <v>215950.93502473543</v>
      </c>
      <c r="F420" s="561">
        <f t="shared" si="29"/>
        <v>0.21595093502473542</v>
      </c>
      <c r="G420" s="444">
        <f t="shared" si="30"/>
        <v>38512.075894991081</v>
      </c>
      <c r="H420" s="462">
        <f t="shared" si="31"/>
        <v>3.8512075894991081E-2</v>
      </c>
    </row>
    <row r="421" spans="1:8">
      <c r="A421" s="113" t="s">
        <v>97</v>
      </c>
      <c r="B421" s="461">
        <f t="shared" si="33"/>
        <v>2800.0204311099837</v>
      </c>
      <c r="C421" s="119">
        <f t="shared" si="26"/>
        <v>9426.0357069379643</v>
      </c>
      <c r="D421" s="468">
        <f t="shared" si="27"/>
        <v>52855.14159351102</v>
      </c>
      <c r="E421" s="331">
        <f t="shared" si="28"/>
        <v>297051.75305553415</v>
      </c>
      <c r="F421" s="561">
        <f t="shared" si="29"/>
        <v>0.29705175305553416</v>
      </c>
      <c r="G421" s="444">
        <f t="shared" si="30"/>
        <v>52975.365247223934</v>
      </c>
      <c r="H421" s="462">
        <f t="shared" si="31"/>
        <v>5.2975365247223932E-2</v>
      </c>
    </row>
    <row r="422" spans="1:8">
      <c r="A422" s="113" t="s">
        <v>84</v>
      </c>
      <c r="B422" s="461">
        <f t="shared" si="33"/>
        <v>0.30553625161004194</v>
      </c>
      <c r="C422" s="119">
        <f t="shared" si="26"/>
        <v>9426.0357069379643</v>
      </c>
      <c r="D422" s="468">
        <f t="shared" si="27"/>
        <v>52855.14159351102</v>
      </c>
      <c r="E422" s="331">
        <f t="shared" si="28"/>
        <v>32.414077466856426</v>
      </c>
      <c r="F422" s="561">
        <f t="shared" si="29"/>
        <v>3.2414077466856428E-5</v>
      </c>
      <c r="G422" s="444">
        <f t="shared" si="30"/>
        <v>5.7806344359041955</v>
      </c>
      <c r="H422" s="462">
        <f t="shared" si="31"/>
        <v>5.7806344359041957E-6</v>
      </c>
    </row>
    <row r="423" spans="1:8">
      <c r="A423" s="113" t="s">
        <v>249</v>
      </c>
      <c r="B423" s="461">
        <f t="shared" si="33"/>
        <v>0</v>
      </c>
      <c r="C423" s="119">
        <f t="shared" si="26"/>
        <v>9426.0357069379643</v>
      </c>
      <c r="D423" s="468">
        <f t="shared" si="27"/>
        <v>52855.14159351102</v>
      </c>
      <c r="E423" s="331">
        <f t="shared" si="28"/>
        <v>0</v>
      </c>
      <c r="F423" s="561">
        <f t="shared" si="29"/>
        <v>0</v>
      </c>
      <c r="G423" s="444">
        <f t="shared" si="30"/>
        <v>0</v>
      </c>
      <c r="H423" s="462">
        <f t="shared" si="31"/>
        <v>0</v>
      </c>
    </row>
    <row r="424" spans="1:8">
      <c r="A424" s="113" t="s">
        <v>250</v>
      </c>
      <c r="B424" s="461">
        <f t="shared" si="33"/>
        <v>0</v>
      </c>
      <c r="C424" s="119">
        <f t="shared" si="26"/>
        <v>9426.0357069379643</v>
      </c>
      <c r="D424" s="468">
        <f t="shared" si="27"/>
        <v>52855.14159351102</v>
      </c>
      <c r="E424" s="331">
        <f t="shared" si="28"/>
        <v>0</v>
      </c>
      <c r="F424" s="561">
        <f t="shared" si="29"/>
        <v>0</v>
      </c>
      <c r="G424" s="444">
        <f t="shared" si="30"/>
        <v>0</v>
      </c>
      <c r="H424" s="462">
        <f t="shared" si="31"/>
        <v>0</v>
      </c>
    </row>
    <row r="425" spans="1:8">
      <c r="A425" s="113" t="s">
        <v>251</v>
      </c>
      <c r="B425" s="461">
        <f t="shared" si="33"/>
        <v>0</v>
      </c>
      <c r="C425" s="119">
        <f t="shared" si="26"/>
        <v>9426.0357069379643</v>
      </c>
      <c r="D425" s="468">
        <f t="shared" si="27"/>
        <v>52855.14159351102</v>
      </c>
      <c r="E425" s="331">
        <f t="shared" si="28"/>
        <v>0</v>
      </c>
      <c r="F425" s="561">
        <f t="shared" si="29"/>
        <v>0</v>
      </c>
      <c r="G425" s="444">
        <f t="shared" si="30"/>
        <v>0</v>
      </c>
      <c r="H425" s="462">
        <f t="shared" si="31"/>
        <v>0</v>
      </c>
    </row>
    <row r="426" spans="1:8">
      <c r="A426" s="394" t="s">
        <v>238</v>
      </c>
      <c r="B426" s="461">
        <f t="shared" si="33"/>
        <v>0</v>
      </c>
      <c r="C426" s="119">
        <f t="shared" si="26"/>
        <v>9426.0357069379643</v>
      </c>
      <c r="D426" s="468">
        <f t="shared" si="27"/>
        <v>52855.14159351102</v>
      </c>
      <c r="E426" s="331">
        <f t="shared" si="28"/>
        <v>0</v>
      </c>
      <c r="F426" s="561">
        <f t="shared" si="29"/>
        <v>0</v>
      </c>
      <c r="G426" s="444">
        <f t="shared" si="30"/>
        <v>0</v>
      </c>
      <c r="H426" s="462">
        <f t="shared" si="31"/>
        <v>0</v>
      </c>
    </row>
    <row r="427" spans="1:8">
      <c r="A427" s="394" t="s">
        <v>239</v>
      </c>
      <c r="B427" s="461">
        <f t="shared" si="33"/>
        <v>0</v>
      </c>
      <c r="C427" s="119">
        <f t="shared" si="26"/>
        <v>9426.0357069379643</v>
      </c>
      <c r="D427" s="468">
        <f t="shared" si="27"/>
        <v>52855.14159351102</v>
      </c>
      <c r="E427" s="331">
        <f t="shared" si="28"/>
        <v>0</v>
      </c>
      <c r="F427" s="561">
        <f t="shared" si="29"/>
        <v>0</v>
      </c>
      <c r="G427" s="444">
        <f t="shared" si="30"/>
        <v>0</v>
      </c>
      <c r="H427" s="462">
        <f t="shared" si="31"/>
        <v>0</v>
      </c>
    </row>
    <row r="428" spans="1:8">
      <c r="A428" s="394" t="s">
        <v>248</v>
      </c>
      <c r="B428" s="461">
        <f t="shared" si="33"/>
        <v>0</v>
      </c>
      <c r="C428" s="119">
        <f t="shared" si="26"/>
        <v>9426.0357069379643</v>
      </c>
      <c r="D428" s="468">
        <f t="shared" si="27"/>
        <v>52855.14159351102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3"/>
        <v>0.52646313881298212</v>
      </c>
      <c r="C429" s="135">
        <f t="shared" si="26"/>
        <v>9426.0357069379643</v>
      </c>
      <c r="D429" s="469">
        <f t="shared" si="27"/>
        <v>52855.14159351102</v>
      </c>
      <c r="E429" s="466">
        <f t="shared" si="28"/>
        <v>55.852020423122603</v>
      </c>
      <c r="F429" s="562">
        <f t="shared" si="29"/>
        <v>5.5852020423122605E-5</v>
      </c>
      <c r="G429" s="445">
        <f t="shared" si="30"/>
        <v>9.9604905585498535</v>
      </c>
      <c r="H429" s="464">
        <f t="shared" si="31"/>
        <v>9.9604905585498527E-6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185.47453473665942</v>
      </c>
      <c r="C435" s="160">
        <f>$C$378</f>
        <v>11617.153132308322</v>
      </c>
      <c r="D435" s="440">
        <f>$C$376</f>
        <v>27016.635191414702</v>
      </c>
      <c r="E435" s="443">
        <f>B435/C435*1000000</f>
        <v>15965.575440409617</v>
      </c>
      <c r="F435" s="560">
        <f>E435/1000000</f>
        <v>1.5965575440409618E-2</v>
      </c>
      <c r="G435" s="443">
        <f>B435/D435*1000000</f>
        <v>6865.1974393761366</v>
      </c>
      <c r="H435" s="460">
        <f>G435/1000000</f>
        <v>6.865197439376137E-3</v>
      </c>
    </row>
    <row r="436" spans="1:8">
      <c r="A436" s="112" t="s">
        <v>73</v>
      </c>
      <c r="B436" s="461">
        <f>D290</f>
        <v>0.3147406900072271</v>
      </c>
      <c r="C436" s="119">
        <f t="shared" ref="C436:C456" si="34">$C$378</f>
        <v>11617.153132308322</v>
      </c>
      <c r="D436" s="441">
        <f t="shared" ref="D436:D456" si="35">$C$376</f>
        <v>27016.635191414702</v>
      </c>
      <c r="E436" s="444">
        <f t="shared" ref="E436:E456" si="36">B436/C436*1000000</f>
        <v>27.092755550575092</v>
      </c>
      <c r="F436" s="561">
        <f t="shared" ref="F436:F456" si="37">E436/1000000</f>
        <v>2.7092755550575091E-5</v>
      </c>
      <c r="G436" s="444">
        <f t="shared" ref="G436:G456" si="38">B436/D436*1000000</f>
        <v>11.649884886747289</v>
      </c>
      <c r="H436" s="462">
        <f t="shared" ref="H436:H456" si="39">G436/1000000</f>
        <v>1.1649884886747289E-5</v>
      </c>
    </row>
    <row r="437" spans="1:8">
      <c r="A437" s="112" t="s">
        <v>74</v>
      </c>
      <c r="B437" s="461">
        <f t="shared" ref="B437:B456" si="40">D291</f>
        <v>1429.6278028751155</v>
      </c>
      <c r="C437" s="119">
        <f t="shared" si="34"/>
        <v>11617.153132308322</v>
      </c>
      <c r="D437" s="441">
        <f t="shared" si="35"/>
        <v>27016.635191414702</v>
      </c>
      <c r="E437" s="444">
        <f t="shared" si="36"/>
        <v>123061.80237042716</v>
      </c>
      <c r="F437" s="561">
        <f t="shared" si="37"/>
        <v>0.12306180237042716</v>
      </c>
      <c r="G437" s="444">
        <f t="shared" si="38"/>
        <v>52916.575019283679</v>
      </c>
      <c r="H437" s="462">
        <f t="shared" si="39"/>
        <v>5.2916575019283679E-2</v>
      </c>
    </row>
    <row r="438" spans="1:8">
      <c r="A438" s="112" t="s">
        <v>75</v>
      </c>
      <c r="B438" s="461">
        <f t="shared" si="40"/>
        <v>4.1612926506320862E-2</v>
      </c>
      <c r="C438" s="119">
        <f t="shared" si="34"/>
        <v>11617.153132308322</v>
      </c>
      <c r="D438" s="441">
        <f t="shared" si="35"/>
        <v>27016.635191414702</v>
      </c>
      <c r="E438" s="444">
        <f t="shared" si="36"/>
        <v>3.5820244454376402</v>
      </c>
      <c r="F438" s="561">
        <f t="shared" si="37"/>
        <v>3.5820244454376401E-6</v>
      </c>
      <c r="G438" s="444">
        <f t="shared" si="38"/>
        <v>1.5402705115381852</v>
      </c>
      <c r="H438" s="462">
        <f t="shared" si="39"/>
        <v>1.5402705115381852E-6</v>
      </c>
    </row>
    <row r="439" spans="1:8">
      <c r="A439" s="112" t="s">
        <v>76</v>
      </c>
      <c r="B439" s="461">
        <f t="shared" si="40"/>
        <v>1.0575455314272137</v>
      </c>
      <c r="C439" s="119">
        <f t="shared" si="34"/>
        <v>11617.153132308322</v>
      </c>
      <c r="D439" s="441">
        <f t="shared" si="35"/>
        <v>27016.635191414702</v>
      </c>
      <c r="E439" s="444">
        <f t="shared" si="36"/>
        <v>91.03310590665167</v>
      </c>
      <c r="F439" s="561">
        <f t="shared" si="37"/>
        <v>9.1033105906651674E-5</v>
      </c>
      <c r="G439" s="444">
        <f t="shared" si="38"/>
        <v>39.144235539860226</v>
      </c>
      <c r="H439" s="462">
        <f t="shared" si="39"/>
        <v>3.9144235539860223E-5</v>
      </c>
    </row>
    <row r="440" spans="1:8">
      <c r="A440" s="113" t="s">
        <v>77</v>
      </c>
      <c r="B440" s="461">
        <f t="shared" si="40"/>
        <v>7.8548999269441451</v>
      </c>
      <c r="C440" s="119">
        <f t="shared" si="34"/>
        <v>11617.153132308322</v>
      </c>
      <c r="D440" s="441">
        <f t="shared" si="35"/>
        <v>27016.635191414702</v>
      </c>
      <c r="E440" s="444">
        <f t="shared" si="36"/>
        <v>676.14671490375554</v>
      </c>
      <c r="F440" s="561">
        <f t="shared" si="37"/>
        <v>6.7614671490375553E-4</v>
      </c>
      <c r="G440" s="444">
        <f t="shared" si="38"/>
        <v>290.74308740861483</v>
      </c>
      <c r="H440" s="462">
        <f t="shared" si="39"/>
        <v>2.9074308740861484E-4</v>
      </c>
    </row>
    <row r="441" spans="1:8">
      <c r="A441" s="113" t="s">
        <v>78</v>
      </c>
      <c r="B441" s="461">
        <f t="shared" si="40"/>
        <v>486.78424527142829</v>
      </c>
      <c r="C441" s="119">
        <f t="shared" si="34"/>
        <v>11617.153132308322</v>
      </c>
      <c r="D441" s="441">
        <f t="shared" si="35"/>
        <v>27016.635191414702</v>
      </c>
      <c r="E441" s="444">
        <f t="shared" si="36"/>
        <v>41902.197528724886</v>
      </c>
      <c r="F441" s="561">
        <f t="shared" si="37"/>
        <v>4.1902197528724885E-2</v>
      </c>
      <c r="G441" s="444">
        <f t="shared" si="38"/>
        <v>18017.944937351702</v>
      </c>
      <c r="H441" s="462">
        <f t="shared" si="39"/>
        <v>1.8017944937351701E-2</v>
      </c>
    </row>
    <row r="442" spans="1:8">
      <c r="A442" s="113" t="s">
        <v>79</v>
      </c>
      <c r="B442" s="461">
        <f t="shared" si="40"/>
        <v>26.239032387924127</v>
      </c>
      <c r="C442" s="119">
        <f t="shared" si="34"/>
        <v>11617.153132308322</v>
      </c>
      <c r="D442" s="441">
        <f t="shared" si="35"/>
        <v>27016.635191414702</v>
      </c>
      <c r="E442" s="444">
        <f t="shared" si="36"/>
        <v>2258.6456500216973</v>
      </c>
      <c r="F442" s="561">
        <f t="shared" si="37"/>
        <v>2.2586456500216972E-3</v>
      </c>
      <c r="G442" s="444">
        <f t="shared" si="38"/>
        <v>971.21762950932987</v>
      </c>
      <c r="H442" s="462">
        <f t="shared" si="39"/>
        <v>9.7121762950932989E-4</v>
      </c>
    </row>
    <row r="443" spans="1:8">
      <c r="A443" s="113" t="s">
        <v>80</v>
      </c>
      <c r="B443" s="461">
        <f t="shared" si="40"/>
        <v>44.411267650666524</v>
      </c>
      <c r="C443" s="119">
        <f t="shared" si="34"/>
        <v>11617.153132308322</v>
      </c>
      <c r="D443" s="441">
        <f t="shared" si="35"/>
        <v>27016.635191414702</v>
      </c>
      <c r="E443" s="444">
        <f t="shared" si="36"/>
        <v>3822.9045571547899</v>
      </c>
      <c r="F443" s="561">
        <f t="shared" si="37"/>
        <v>3.82290455715479E-3</v>
      </c>
      <c r="G443" s="444">
        <f t="shared" si="38"/>
        <v>1643.8489595765595</v>
      </c>
      <c r="H443" s="462">
        <f t="shared" si="39"/>
        <v>1.6438489595765595E-3</v>
      </c>
    </row>
    <row r="444" spans="1:8">
      <c r="A444" s="113" t="s">
        <v>81</v>
      </c>
      <c r="B444" s="461">
        <f t="shared" si="40"/>
        <v>20.343729943387938</v>
      </c>
      <c r="C444" s="119">
        <f t="shared" si="34"/>
        <v>11617.153132308322</v>
      </c>
      <c r="D444" s="441">
        <f t="shared" si="35"/>
        <v>27016.635191414702</v>
      </c>
      <c r="E444" s="444">
        <f t="shared" si="36"/>
        <v>1751.1803203153311</v>
      </c>
      <c r="F444" s="561">
        <f t="shared" si="37"/>
        <v>1.7511803203153311E-3</v>
      </c>
      <c r="G444" s="444">
        <f t="shared" si="38"/>
        <v>753.00753773559234</v>
      </c>
      <c r="H444" s="462">
        <f t="shared" si="39"/>
        <v>7.5300753773559236E-4</v>
      </c>
    </row>
    <row r="445" spans="1:8">
      <c r="A445" s="113" t="s">
        <v>82</v>
      </c>
      <c r="B445" s="461">
        <f t="shared" si="40"/>
        <v>0.97027610553163646</v>
      </c>
      <c r="C445" s="119">
        <f t="shared" si="34"/>
        <v>11617.153132308322</v>
      </c>
      <c r="D445" s="441">
        <f t="shared" si="35"/>
        <v>27016.635191414702</v>
      </c>
      <c r="E445" s="444">
        <f t="shared" si="36"/>
        <v>83.520987842814378</v>
      </c>
      <c r="F445" s="561">
        <f t="shared" si="37"/>
        <v>8.3520987842814384E-5</v>
      </c>
      <c r="G445" s="444">
        <f t="shared" si="38"/>
        <v>35.914024772410187</v>
      </c>
      <c r="H445" s="462">
        <f t="shared" si="39"/>
        <v>3.5914024772410186E-5</v>
      </c>
    </row>
    <row r="446" spans="1:8">
      <c r="A446" s="113" t="s">
        <v>213</v>
      </c>
      <c r="B446" s="461">
        <f t="shared" si="40"/>
        <v>214.95679337981286</v>
      </c>
      <c r="C446" s="119">
        <f t="shared" si="34"/>
        <v>11617.153132308322</v>
      </c>
      <c r="D446" s="441">
        <f t="shared" si="35"/>
        <v>27016.635191414702</v>
      </c>
      <c r="E446" s="444">
        <f t="shared" si="36"/>
        <v>18503.396738569209</v>
      </c>
      <c r="F446" s="561">
        <f t="shared" si="37"/>
        <v>1.8503396738569208E-2</v>
      </c>
      <c r="G446" s="444">
        <f t="shared" si="38"/>
        <v>7956.4605975847599</v>
      </c>
      <c r="H446" s="462">
        <f t="shared" si="39"/>
        <v>7.9564605975847597E-3</v>
      </c>
    </row>
    <row r="447" spans="1:8">
      <c r="A447" s="113" t="s">
        <v>96</v>
      </c>
      <c r="B447" s="461">
        <f t="shared" si="40"/>
        <v>52.193877551020421</v>
      </c>
      <c r="C447" s="119">
        <f t="shared" si="34"/>
        <v>11617.153132308322</v>
      </c>
      <c r="D447" s="441">
        <f t="shared" si="35"/>
        <v>27016.635191414702</v>
      </c>
      <c r="E447" s="444">
        <f t="shared" si="36"/>
        <v>4492.8285748308399</v>
      </c>
      <c r="F447" s="561">
        <f t="shared" si="37"/>
        <v>4.49282857483084E-3</v>
      </c>
      <c r="G447" s="444">
        <f t="shared" si="38"/>
        <v>1931.916287177261</v>
      </c>
      <c r="H447" s="462">
        <f t="shared" si="39"/>
        <v>1.931916287177261E-3</v>
      </c>
    </row>
    <row r="448" spans="1:8">
      <c r="A448" s="113" t="s">
        <v>97</v>
      </c>
      <c r="B448" s="461">
        <f t="shared" si="40"/>
        <v>267.15067093083326</v>
      </c>
      <c r="C448" s="119">
        <f t="shared" si="34"/>
        <v>11617.153132308322</v>
      </c>
      <c r="D448" s="441">
        <f t="shared" si="35"/>
        <v>27016.635191414702</v>
      </c>
      <c r="E448" s="444">
        <f t="shared" si="36"/>
        <v>22996.225313400046</v>
      </c>
      <c r="F448" s="561">
        <f t="shared" si="37"/>
        <v>2.2996225313400044E-2</v>
      </c>
      <c r="G448" s="444">
        <f t="shared" si="38"/>
        <v>9888.3768847620195</v>
      </c>
      <c r="H448" s="462">
        <f t="shared" si="39"/>
        <v>9.8883768847620197E-3</v>
      </c>
    </row>
    <row r="449" spans="1:8">
      <c r="A449" s="113" t="s">
        <v>84</v>
      </c>
      <c r="B449" s="461">
        <f t="shared" si="40"/>
        <v>1.182463748389958</v>
      </c>
      <c r="C449" s="119">
        <f t="shared" si="34"/>
        <v>11617.153132308322</v>
      </c>
      <c r="D449" s="441">
        <f t="shared" si="35"/>
        <v>27016.635191414702</v>
      </c>
      <c r="E449" s="444">
        <f t="shared" si="36"/>
        <v>101.78601718706993</v>
      </c>
      <c r="F449" s="561">
        <f t="shared" si="37"/>
        <v>1.0178601718706993E-4</v>
      </c>
      <c r="G449" s="444">
        <f t="shared" si="38"/>
        <v>43.767987390440069</v>
      </c>
      <c r="H449" s="462">
        <f t="shared" si="39"/>
        <v>4.376798739044007E-5</v>
      </c>
    </row>
    <row r="450" spans="1:8">
      <c r="A450" s="113" t="s">
        <v>249</v>
      </c>
      <c r="B450" s="461">
        <f t="shared" si="40"/>
        <v>226.8</v>
      </c>
      <c r="C450" s="119">
        <f t="shared" si="34"/>
        <v>11617.153132308322</v>
      </c>
      <c r="D450" s="441">
        <f t="shared" si="35"/>
        <v>27016.635191414702</v>
      </c>
      <c r="E450" s="444">
        <f t="shared" si="36"/>
        <v>19522.855334432094</v>
      </c>
      <c r="F450" s="561">
        <f t="shared" si="37"/>
        <v>1.9522855334432092E-2</v>
      </c>
      <c r="G450" s="444">
        <f t="shared" si="38"/>
        <v>8394.8277938058</v>
      </c>
      <c r="H450" s="462">
        <f t="shared" si="39"/>
        <v>8.3948277938057994E-3</v>
      </c>
    </row>
    <row r="451" spans="1:8">
      <c r="A451" s="113" t="s">
        <v>250</v>
      </c>
      <c r="B451" s="461">
        <f t="shared" si="40"/>
        <v>783.67346938775506</v>
      </c>
      <c r="C451" s="119">
        <f t="shared" si="34"/>
        <v>11617.153132308322</v>
      </c>
      <c r="D451" s="441">
        <f t="shared" si="35"/>
        <v>27016.635191414702</v>
      </c>
      <c r="E451" s="444">
        <f t="shared" si="36"/>
        <v>67458.305874292942</v>
      </c>
      <c r="F451" s="561">
        <f t="shared" si="37"/>
        <v>6.745830587429294E-2</v>
      </c>
      <c r="G451" s="444">
        <f t="shared" si="38"/>
        <v>29007.071525945961</v>
      </c>
      <c r="H451" s="462">
        <f t="shared" si="39"/>
        <v>2.9007071525945963E-2</v>
      </c>
    </row>
    <row r="452" spans="1:8">
      <c r="A452" s="113" t="s">
        <v>251</v>
      </c>
      <c r="B452" s="461">
        <f t="shared" si="40"/>
        <v>1010.4734693877551</v>
      </c>
      <c r="C452" s="119">
        <f t="shared" si="34"/>
        <v>11617.153132308322</v>
      </c>
      <c r="D452" s="441">
        <f t="shared" si="35"/>
        <v>27016.635191414702</v>
      </c>
      <c r="E452" s="444">
        <f t="shared" si="36"/>
        <v>86981.16120872504</v>
      </c>
      <c r="F452" s="561">
        <f t="shared" si="37"/>
        <v>8.6981161208725039E-2</v>
      </c>
      <c r="G452" s="444">
        <f t="shared" si="38"/>
        <v>37401.899319751763</v>
      </c>
      <c r="H452" s="462">
        <f t="shared" si="39"/>
        <v>3.7401899319751762E-2</v>
      </c>
    </row>
    <row r="453" spans="1:8">
      <c r="A453" s="394" t="s">
        <v>238</v>
      </c>
      <c r="B453" s="461">
        <f t="shared" si="40"/>
        <v>3031.4204081632652</v>
      </c>
      <c r="C453" s="119">
        <f t="shared" si="34"/>
        <v>11617.153132308322</v>
      </c>
      <c r="D453" s="441">
        <f t="shared" si="35"/>
        <v>27016.635191414702</v>
      </c>
      <c r="E453" s="444">
        <f t="shared" si="36"/>
        <v>260943.48362617509</v>
      </c>
      <c r="F453" s="561">
        <f t="shared" si="37"/>
        <v>0.26094348362617509</v>
      </c>
      <c r="G453" s="444">
        <f t="shared" si="38"/>
        <v>112205.6979592553</v>
      </c>
      <c r="H453" s="462">
        <f t="shared" si="39"/>
        <v>0.11220569795925529</v>
      </c>
    </row>
    <row r="454" spans="1:8">
      <c r="A454" s="394" t="s">
        <v>239</v>
      </c>
      <c r="B454" s="461">
        <f t="shared" si="40"/>
        <v>4294.5122448979591</v>
      </c>
      <c r="C454" s="119">
        <f t="shared" si="34"/>
        <v>11617.153132308322</v>
      </c>
      <c r="D454" s="441">
        <f t="shared" si="35"/>
        <v>27016.635191414702</v>
      </c>
      <c r="E454" s="444">
        <f t="shared" si="36"/>
        <v>369669.93513708143</v>
      </c>
      <c r="F454" s="561">
        <f t="shared" si="37"/>
        <v>0.36966993513708141</v>
      </c>
      <c r="G454" s="444">
        <f t="shared" si="38"/>
        <v>158958.07210894499</v>
      </c>
      <c r="H454" s="462">
        <f t="shared" si="39"/>
        <v>0.158958072108945</v>
      </c>
    </row>
    <row r="455" spans="1:8">
      <c r="A455" s="394" t="s">
        <v>248</v>
      </c>
      <c r="B455" s="461">
        <f t="shared" si="40"/>
        <v>17.71849815232261</v>
      </c>
      <c r="C455" s="119">
        <f t="shared" si="34"/>
        <v>11617.153132308322</v>
      </c>
      <c r="D455" s="441">
        <f t="shared" si="35"/>
        <v>27016.635191414702</v>
      </c>
      <c r="E455" s="444">
        <f>B455/C455*1000000</f>
        <v>1525.2013940528952</v>
      </c>
      <c r="F455" s="561">
        <f>E455/1000000</f>
        <v>1.5252013940528952E-3</v>
      </c>
      <c r="G455" s="444">
        <f>B455/D455*1000000</f>
        <v>655.83659944274496</v>
      </c>
      <c r="H455" s="462">
        <f>G455/1000000</f>
        <v>6.5583659944274493E-4</v>
      </c>
    </row>
    <row r="456" spans="1:8" ht="14.65" thickBot="1">
      <c r="A456" s="114" t="s">
        <v>86</v>
      </c>
      <c r="B456" s="463">
        <f t="shared" si="40"/>
        <v>27.709536861187019</v>
      </c>
      <c r="C456" s="135">
        <f t="shared" si="34"/>
        <v>11617.153132308322</v>
      </c>
      <c r="D456" s="442">
        <f t="shared" si="35"/>
        <v>27016.635191414702</v>
      </c>
      <c r="E456" s="445">
        <f t="shared" si="36"/>
        <v>2385.2261001987113</v>
      </c>
      <c r="F456" s="562">
        <f t="shared" si="37"/>
        <v>2.3852261001987111E-3</v>
      </c>
      <c r="G456" s="445">
        <f t="shared" si="38"/>
        <v>1025.6472230854456</v>
      </c>
      <c r="H456" s="464">
        <f t="shared" si="39"/>
        <v>1.0256472230854457E-3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1">$B$462*B469/1000000</f>
        <v>0.54249999999999998</v>
      </c>
      <c r="E469" s="136">
        <f t="shared" ref="E469:E482" si="42">$C$462*C469/1000000</f>
        <v>7.0000000000000007E-2</v>
      </c>
      <c r="F469" s="473">
        <f t="shared" ref="F469:F482" si="43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1"/>
        <v>1494.9375</v>
      </c>
      <c r="E470" s="136">
        <f t="shared" si="42"/>
        <v>780.17240000000004</v>
      </c>
      <c r="F470" s="473">
        <f t="shared" si="43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1"/>
        <v>3.85E-2</v>
      </c>
      <c r="E471" s="136">
        <f t="shared" si="42"/>
        <v>1.4E-2</v>
      </c>
      <c r="F471" s="473">
        <f t="shared" si="43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1"/>
        <v>1.5925</v>
      </c>
      <c r="E472" s="136">
        <f t="shared" si="42"/>
        <v>0.37730000000000002</v>
      </c>
      <c r="F472" s="473">
        <f t="shared" si="43"/>
        <v>1.9698</v>
      </c>
    </row>
    <row r="473" spans="1:6">
      <c r="A473" s="232" t="s">
        <v>77</v>
      </c>
      <c r="B473" s="356">
        <v>663</v>
      </c>
      <c r="C473" s="408">
        <v>1099</v>
      </c>
      <c r="D473" s="228">
        <f t="shared" si="41"/>
        <v>11.602499999999999</v>
      </c>
      <c r="E473" s="136">
        <f t="shared" si="42"/>
        <v>7.6929999999999996</v>
      </c>
      <c r="F473" s="473">
        <f t="shared" si="43"/>
        <v>19.295499999999997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1"/>
        <v>1907.5</v>
      </c>
      <c r="E474" s="136">
        <f t="shared" si="42"/>
        <v>170.20500000000001</v>
      </c>
      <c r="F474" s="473">
        <f t="shared" si="43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1"/>
        <v>164.0625</v>
      </c>
      <c r="E475" s="136">
        <f t="shared" si="42"/>
        <v>68.936700000000002</v>
      </c>
      <c r="F475" s="473">
        <f t="shared" si="43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1"/>
        <v>213.35708333333335</v>
      </c>
      <c r="E476" s="136">
        <f t="shared" si="42"/>
        <v>88.942700000000002</v>
      </c>
      <c r="F476" s="473">
        <f t="shared" si="43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1"/>
        <v>44.274999999999999</v>
      </c>
      <c r="E477" s="136">
        <f t="shared" si="42"/>
        <v>23.422699999999999</v>
      </c>
      <c r="F477" s="473">
        <f t="shared" si="43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1"/>
        <v>1.1287499999999999</v>
      </c>
      <c r="E478" s="136">
        <f t="shared" si="42"/>
        <v>0.3332</v>
      </c>
      <c r="F478" s="473">
        <f t="shared" si="43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1"/>
        <v>1237.25</v>
      </c>
      <c r="E479" s="136">
        <f t="shared" si="42"/>
        <v>591.96900000000005</v>
      </c>
      <c r="F479" s="473">
        <f t="shared" si="43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1"/>
        <v>2.0474999999999999</v>
      </c>
      <c r="E480" s="136">
        <f t="shared" si="42"/>
        <v>0.56140000000000001</v>
      </c>
      <c r="F480" s="473">
        <f t="shared" si="43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1"/>
        <v>102.51305555555555</v>
      </c>
      <c r="E481" s="136">
        <f t="shared" si="42"/>
        <v>21.7959</v>
      </c>
      <c r="F481" s="473">
        <f t="shared" si="43"/>
        <v>124.30895555555556</v>
      </c>
    </row>
    <row r="482" spans="1:7" ht="14.65" thickBot="1">
      <c r="A482" s="233" t="s">
        <v>86</v>
      </c>
      <c r="B482" s="358">
        <v>2260</v>
      </c>
      <c r="C482" s="409">
        <v>1989</v>
      </c>
      <c r="D482" s="727">
        <f t="shared" si="41"/>
        <v>39.549999999999997</v>
      </c>
      <c r="E482" s="728">
        <f t="shared" si="42"/>
        <v>13.923</v>
      </c>
      <c r="F482" s="474">
        <f t="shared" si="43"/>
        <v>53.472999999999999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282.54946526334061</v>
      </c>
      <c r="C488" s="428">
        <f>F468</f>
        <v>1547.5740000000001</v>
      </c>
      <c r="D488" s="428">
        <f>B488+C488</f>
        <v>1830.1234652633407</v>
      </c>
      <c r="E488" s="382">
        <f>$C$391+$D$462</f>
        <v>33926.035706937968</v>
      </c>
      <c r="F488" s="557">
        <f>D488/E488*1000000</f>
        <v>53944.512735659104</v>
      </c>
      <c r="G488" s="460">
        <f>F488/1000000</f>
        <v>5.3944512735659103E-2</v>
      </c>
    </row>
    <row r="489" spans="1:7">
      <c r="A489" s="149" t="s">
        <v>73</v>
      </c>
      <c r="B489" s="541">
        <f>B409</f>
        <v>2.8459309992772908E-2</v>
      </c>
      <c r="C489" s="235">
        <f>F469</f>
        <v>0.61250000000000004</v>
      </c>
      <c r="D489" s="235">
        <f t="shared" ref="D489:D504" si="44">B489+C489</f>
        <v>0.64095930999277295</v>
      </c>
      <c r="E489" s="82">
        <f>$C$391+$D$462</f>
        <v>33926.035706937968</v>
      </c>
      <c r="F489" s="558">
        <f t="shared" ref="F489:F504" si="45">D489/E489*1000000</f>
        <v>18.892844290135997</v>
      </c>
      <c r="G489" s="462">
        <f t="shared" ref="G489:G504" si="46">F489/1000000</f>
        <v>1.8892844290135998E-5</v>
      </c>
    </row>
    <row r="490" spans="1:7">
      <c r="A490" s="232" t="s">
        <v>74</v>
      </c>
      <c r="B490" s="541">
        <f t="shared" ref="B490:B503" si="47">B410</f>
        <v>478.37219712488445</v>
      </c>
      <c r="C490" s="235">
        <f t="shared" ref="C490:C498" si="48">F470</f>
        <v>2275.1098999999999</v>
      </c>
      <c r="D490" s="235">
        <f t="shared" si="44"/>
        <v>2753.4820971248846</v>
      </c>
      <c r="E490" s="82">
        <f t="shared" ref="E490:E503" si="49">$C$391+$D$462</f>
        <v>33926.035706937968</v>
      </c>
      <c r="F490" s="558">
        <f t="shared" si="45"/>
        <v>81161.327568896886</v>
      </c>
      <c r="G490" s="462">
        <f t="shared" si="46"/>
        <v>8.1161327568896879E-2</v>
      </c>
    </row>
    <row r="491" spans="1:7">
      <c r="A491" s="232" t="s">
        <v>75</v>
      </c>
      <c r="B491" s="541">
        <f t="shared" si="47"/>
        <v>3.870734936791409E-4</v>
      </c>
      <c r="C491" s="235">
        <f t="shared" si="48"/>
        <v>5.2499999999999998E-2</v>
      </c>
      <c r="D491" s="235">
        <f t="shared" si="44"/>
        <v>5.2887073493679139E-2</v>
      </c>
      <c r="E491" s="82">
        <f t="shared" si="49"/>
        <v>33926.035706937968</v>
      </c>
      <c r="F491" s="558">
        <f t="shared" si="45"/>
        <v>1.5588934100798457</v>
      </c>
      <c r="G491" s="462">
        <f t="shared" si="46"/>
        <v>1.5588934100798458E-6</v>
      </c>
    </row>
    <row r="492" spans="1:7">
      <c r="A492" s="232" t="s">
        <v>76</v>
      </c>
      <c r="B492" s="541">
        <f t="shared" si="47"/>
        <v>0.57445446857278615</v>
      </c>
      <c r="C492" s="235">
        <f t="shared" si="48"/>
        <v>1.9698</v>
      </c>
      <c r="D492" s="235">
        <f t="shared" si="44"/>
        <v>2.5442544685727864</v>
      </c>
      <c r="E492" s="82">
        <f t="shared" si="49"/>
        <v>33926.035706937968</v>
      </c>
      <c r="F492" s="558">
        <f t="shared" si="45"/>
        <v>74.994157600691295</v>
      </c>
      <c r="G492" s="462">
        <f t="shared" si="46"/>
        <v>7.4994157600691294E-5</v>
      </c>
    </row>
    <row r="493" spans="1:7">
      <c r="A493" s="150" t="s">
        <v>77</v>
      </c>
      <c r="B493" s="541">
        <f t="shared" si="47"/>
        <v>1.7100073055854814E-2</v>
      </c>
      <c r="C493" s="235">
        <f t="shared" si="48"/>
        <v>19.295499999999997</v>
      </c>
      <c r="D493" s="235">
        <f t="shared" si="44"/>
        <v>19.312600073055851</v>
      </c>
      <c r="E493" s="82">
        <f t="shared" si="49"/>
        <v>33926.035706937968</v>
      </c>
      <c r="F493" s="558">
        <f t="shared" si="45"/>
        <v>569.25602035802763</v>
      </c>
      <c r="G493" s="462">
        <f t="shared" si="46"/>
        <v>5.6925602035802763E-4</v>
      </c>
    </row>
    <row r="494" spans="1:7">
      <c r="A494" s="150" t="s">
        <v>78</v>
      </c>
      <c r="B494" s="541">
        <f t="shared" si="47"/>
        <v>564.13975472857169</v>
      </c>
      <c r="C494" s="235">
        <f t="shared" si="48"/>
        <v>2077.7049999999999</v>
      </c>
      <c r="D494" s="235">
        <f t="shared" si="44"/>
        <v>2641.8447547285714</v>
      </c>
      <c r="E494" s="82">
        <f t="shared" si="49"/>
        <v>33926.035706937968</v>
      </c>
      <c r="F494" s="558">
        <f t="shared" si="45"/>
        <v>77870.717862514852</v>
      </c>
      <c r="G494" s="462">
        <f t="shared" si="46"/>
        <v>7.7870717862514857E-2</v>
      </c>
    </row>
    <row r="495" spans="1:7">
      <c r="A495" s="150" t="s">
        <v>79</v>
      </c>
      <c r="B495" s="541">
        <f t="shared" si="47"/>
        <v>72.520967612075879</v>
      </c>
      <c r="C495" s="235">
        <f t="shared" si="48"/>
        <v>232.9992</v>
      </c>
      <c r="D495" s="235">
        <f t="shared" si="44"/>
        <v>305.52016761207585</v>
      </c>
      <c r="E495" s="82">
        <f t="shared" si="49"/>
        <v>33926.035706937968</v>
      </c>
      <c r="F495" s="558">
        <f t="shared" si="45"/>
        <v>9005.4779830817697</v>
      </c>
      <c r="G495" s="462">
        <f t="shared" si="46"/>
        <v>9.0054779830817701E-3</v>
      </c>
    </row>
    <row r="496" spans="1:7">
      <c r="A496" s="150" t="s">
        <v>80</v>
      </c>
      <c r="B496" s="541">
        <f t="shared" si="47"/>
        <v>110.38873234933348</v>
      </c>
      <c r="C496" s="235">
        <f t="shared" si="48"/>
        <v>302.29978333333338</v>
      </c>
      <c r="D496" s="235">
        <f t="shared" si="44"/>
        <v>412.68851568266689</v>
      </c>
      <c r="E496" s="82">
        <f t="shared" si="49"/>
        <v>33926.035706937968</v>
      </c>
      <c r="F496" s="558">
        <f t="shared" si="45"/>
        <v>12164.360117037515</v>
      </c>
      <c r="G496" s="462">
        <f t="shared" si="46"/>
        <v>1.2164360117037514E-2</v>
      </c>
    </row>
    <row r="497" spans="1:7">
      <c r="A497" s="150" t="s">
        <v>81</v>
      </c>
      <c r="B497" s="541">
        <f t="shared" si="47"/>
        <v>76.856270056612061</v>
      </c>
      <c r="C497" s="235">
        <f t="shared" si="48"/>
        <v>67.697699999999998</v>
      </c>
      <c r="D497" s="235">
        <f t="shared" si="44"/>
        <v>144.55397005661206</v>
      </c>
      <c r="E497" s="82">
        <f t="shared" si="49"/>
        <v>33926.035706937968</v>
      </c>
      <c r="F497" s="558">
        <f t="shared" si="45"/>
        <v>4260.8565087093384</v>
      </c>
      <c r="G497" s="462">
        <f t="shared" si="46"/>
        <v>4.260856508709338E-3</v>
      </c>
    </row>
    <row r="498" spans="1:7">
      <c r="A498" s="150" t="s">
        <v>82</v>
      </c>
      <c r="B498" s="541">
        <f t="shared" si="47"/>
        <v>0.52972389446836354</v>
      </c>
      <c r="C498" s="235">
        <f t="shared" si="48"/>
        <v>1.4619499999999999</v>
      </c>
      <c r="D498" s="235">
        <f t="shared" si="44"/>
        <v>1.9916738944683634</v>
      </c>
      <c r="E498" s="82">
        <f t="shared" si="49"/>
        <v>33926.035706937968</v>
      </c>
      <c r="F498" s="558">
        <f t="shared" si="45"/>
        <v>58.706354956204343</v>
      </c>
      <c r="G498" s="462">
        <f t="shared" si="46"/>
        <v>5.8706354956204346E-5</v>
      </c>
    </row>
    <row r="499" spans="1:7">
      <c r="A499" s="150" t="s">
        <v>213</v>
      </c>
      <c r="B499" s="541">
        <f t="shared" si="47"/>
        <v>764.45920662018716</v>
      </c>
      <c r="C499" s="235">
        <f>$F$479</f>
        <v>1829.2190000000001</v>
      </c>
      <c r="D499" s="235">
        <f t="shared" si="44"/>
        <v>2593.6782066201872</v>
      </c>
      <c r="E499" s="82">
        <f t="shared" si="49"/>
        <v>33926.035706937968</v>
      </c>
      <c r="F499" s="558">
        <f t="shared" si="45"/>
        <v>76450.966125988401</v>
      </c>
      <c r="G499" s="462">
        <f t="shared" si="46"/>
        <v>7.6450966125988395E-2</v>
      </c>
    </row>
    <row r="500" spans="1:7">
      <c r="A500" s="150" t="s">
        <v>96</v>
      </c>
      <c r="B500" s="541">
        <f t="shared" si="47"/>
        <v>2035.5612244897964</v>
      </c>
      <c r="C500" s="235">
        <v>0</v>
      </c>
      <c r="D500" s="235">
        <f t="shared" si="44"/>
        <v>2035.5612244897964</v>
      </c>
      <c r="E500" s="82">
        <f t="shared" si="49"/>
        <v>33926.035706937968</v>
      </c>
      <c r="F500" s="558">
        <f t="shared" si="45"/>
        <v>59999.972943302608</v>
      </c>
      <c r="G500" s="462">
        <f t="shared" si="46"/>
        <v>5.9999972943302608E-2</v>
      </c>
    </row>
    <row r="501" spans="1:7">
      <c r="A501" s="582" t="s">
        <v>97</v>
      </c>
      <c r="B501" s="541">
        <f t="shared" si="47"/>
        <v>2800.0204311099837</v>
      </c>
      <c r="C501" s="235">
        <f>C499+C500</f>
        <v>1829.2190000000001</v>
      </c>
      <c r="D501" s="235">
        <f t="shared" si="44"/>
        <v>4629.2394311099833</v>
      </c>
      <c r="E501" s="82">
        <f t="shared" si="49"/>
        <v>33926.035706937968</v>
      </c>
      <c r="F501" s="597">
        <f t="shared" si="45"/>
        <v>136450.93906929099</v>
      </c>
      <c r="G501" s="583">
        <f t="shared" si="46"/>
        <v>0.13645093906929098</v>
      </c>
    </row>
    <row r="502" spans="1:7">
      <c r="A502" s="186" t="s">
        <v>84</v>
      </c>
      <c r="B502" s="541">
        <f t="shared" si="47"/>
        <v>0.30553625161004194</v>
      </c>
      <c r="C502" s="235">
        <f>F480</f>
        <v>2.6088999999999998</v>
      </c>
      <c r="D502" s="235">
        <f t="shared" si="44"/>
        <v>2.9144362516100415</v>
      </c>
      <c r="E502" s="82">
        <f t="shared" si="49"/>
        <v>33926.035706937968</v>
      </c>
      <c r="F502" s="558">
        <f t="shared" si="45"/>
        <v>85.905594063087989</v>
      </c>
      <c r="G502" s="462">
        <f t="shared" si="46"/>
        <v>8.5905594063087986E-5</v>
      </c>
    </row>
    <row r="503" spans="1:7">
      <c r="A503" s="150" t="s">
        <v>85</v>
      </c>
      <c r="B503" s="541">
        <f t="shared" si="47"/>
        <v>0</v>
      </c>
      <c r="C503" s="235">
        <f>F481</f>
        <v>124.30895555555556</v>
      </c>
      <c r="D503" s="235">
        <f t="shared" si="44"/>
        <v>124.30895555555556</v>
      </c>
      <c r="E503" s="82">
        <f t="shared" si="49"/>
        <v>33926.035706937968</v>
      </c>
      <c r="F503" s="558">
        <f t="shared" si="45"/>
        <v>3664.1167458930086</v>
      </c>
      <c r="G503" s="462">
        <f t="shared" si="46"/>
        <v>3.6641167458930086E-3</v>
      </c>
    </row>
    <row r="504" spans="1:7" ht="14.65" thickBot="1">
      <c r="A504" s="152" t="s">
        <v>86</v>
      </c>
      <c r="B504" s="542">
        <f>B429</f>
        <v>0.52646313881298212</v>
      </c>
      <c r="C504" s="236">
        <f>F482</f>
        <v>53.472999999999999</v>
      </c>
      <c r="D504" s="236">
        <f t="shared" si="44"/>
        <v>53.999463138812985</v>
      </c>
      <c r="E504" s="237">
        <f>$C$391+$D$462</f>
        <v>33926.035706937968</v>
      </c>
      <c r="F504" s="559">
        <f t="shared" si="45"/>
        <v>1591.6820817284568</v>
      </c>
      <c r="G504" s="464">
        <f t="shared" si="46"/>
        <v>1.5916820817284568E-3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2800.0204311099837</v>
      </c>
      <c r="C512" s="501">
        <f>$C$391</f>
        <v>9426.0357069379643</v>
      </c>
      <c r="D512" s="227">
        <f>B512/C512*1000000</f>
        <v>297051.75305553415</v>
      </c>
      <c r="E512" s="475">
        <f>D512/1000000</f>
        <v>0.29705175305553416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0">D513/1000000</f>
        <v>7.4662000000000006E-2</v>
      </c>
    </row>
    <row r="514" spans="1:5">
      <c r="A514" s="478" t="s">
        <v>150</v>
      </c>
      <c r="B514" s="480">
        <f>C514*31/98</f>
        <v>2109.4866555602862</v>
      </c>
      <c r="C514" s="587">
        <v>6668.6997498357432</v>
      </c>
      <c r="D514" s="229">
        <f>B514/C514*1000000</f>
        <v>316326.53061224491</v>
      </c>
      <c r="E514" s="476">
        <f t="shared" si="50"/>
        <v>0.31632653061224492</v>
      </c>
    </row>
    <row r="515" spans="1:5" ht="14.65" thickBot="1">
      <c r="A515" s="479" t="s">
        <v>306</v>
      </c>
      <c r="B515" s="162">
        <f>SUM($B$512:$B$514)</f>
        <v>6738.7260866702691</v>
      </c>
      <c r="C515" s="503">
        <f>SUM($C$512:$C$514)</f>
        <v>40594.735456773713</v>
      </c>
      <c r="D515" s="588">
        <f>B515/C515*1000000</f>
        <v>166000.00002083601</v>
      </c>
      <c r="E515" s="584">
        <f t="shared" si="50"/>
        <v>0.16600000002083601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6668.6997498357432</v>
      </c>
    </row>
    <row r="520" spans="1:5">
      <c r="A520" s="257" t="s">
        <v>436</v>
      </c>
      <c r="B520" s="178" t="s">
        <v>35</v>
      </c>
      <c r="C520" s="84">
        <f>C519/75%*25%</f>
        <v>2222.8999166119143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8891.599666447657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9426.0357069379643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6668.6997498357432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40594.735456773713</v>
      </c>
    </row>
    <row r="537" spans="1:3">
      <c r="A537" s="276" t="s">
        <v>345</v>
      </c>
      <c r="B537" s="296" t="s">
        <v>35</v>
      </c>
      <c r="C537" s="342">
        <f>C536/C527*C528</f>
        <v>49615.78778050121</v>
      </c>
    </row>
    <row r="538" spans="1:3">
      <c r="A538" s="257" t="s">
        <v>342</v>
      </c>
      <c r="B538" s="278" t="s">
        <v>35</v>
      </c>
      <c r="C538" s="347">
        <f>$C$400</f>
        <v>43429.105886573059</v>
      </c>
    </row>
    <row r="539" spans="1:3">
      <c r="A539" s="257" t="s">
        <v>436</v>
      </c>
      <c r="B539" s="278" t="s">
        <v>35</v>
      </c>
      <c r="C539" s="347">
        <f>$C$520</f>
        <v>2222.8999166119143</v>
      </c>
    </row>
    <row r="540" spans="1:3" ht="14.65" thickBot="1">
      <c r="A540" s="670" t="s">
        <v>363</v>
      </c>
      <c r="B540" s="713" t="s">
        <v>35</v>
      </c>
      <c r="C540" s="671">
        <f>C537-C538-C539</f>
        <v>3963.7819773162369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6186.6818939281511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52855.14159351102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8891.599666447657</v>
      </c>
    </row>
    <row r="549" spans="1:3" ht="14.65" thickBot="1">
      <c r="A549" s="339" t="s">
        <v>363</v>
      </c>
      <c r="B549" s="271" t="s">
        <v>35</v>
      </c>
      <c r="C549" s="340">
        <f>$C$540</f>
        <v>3963.7819773162369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52855.14159351102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8891.599666447657</v>
      </c>
    </row>
    <row r="557" spans="1:3">
      <c r="A557" s="375" t="s">
        <v>363</v>
      </c>
      <c r="B557" s="287" t="s">
        <v>35</v>
      </c>
      <c r="C557" s="279">
        <f>$C$540</f>
        <v>3963.7819773162369</v>
      </c>
    </row>
    <row r="558" spans="1:3" ht="14.65" thickBot="1">
      <c r="A558" s="689" t="s">
        <v>305</v>
      </c>
      <c r="B558" s="677" t="s">
        <v>35</v>
      </c>
      <c r="C558" s="256">
        <f>SUM(C553:C557)</f>
        <v>90210.523237274901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9426.0357069379643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6668.6997498357432</v>
      </c>
    </row>
    <row r="566" spans="1:3">
      <c r="A566" s="257" t="s">
        <v>309</v>
      </c>
      <c r="B566" s="287" t="s">
        <v>35</v>
      </c>
      <c r="C566" s="279">
        <f>C562+C563+C564+C565</f>
        <v>40594.735456773713</v>
      </c>
    </row>
    <row r="567" spans="1:3">
      <c r="A567" s="257" t="s">
        <v>305</v>
      </c>
      <c r="B567" s="287" t="s">
        <v>35</v>
      </c>
      <c r="C567" s="279">
        <f>$C$558</f>
        <v>90210.523237274901</v>
      </c>
    </row>
    <row r="568" spans="1:3">
      <c r="A568" s="299" t="s">
        <v>64</v>
      </c>
      <c r="B568" s="258" t="s">
        <v>24</v>
      </c>
      <c r="C568" s="300">
        <f>C566/C567</f>
        <v>0.45000000000000007</v>
      </c>
    </row>
    <row r="569" spans="1:3">
      <c r="A569" s="68" t="s">
        <v>436</v>
      </c>
      <c r="B569" s="287" t="s">
        <v>35</v>
      </c>
      <c r="C569" s="279">
        <f>C539</f>
        <v>2222.8999166119143</v>
      </c>
    </row>
    <row r="570" spans="1:3">
      <c r="A570" s="375" t="s">
        <v>363</v>
      </c>
      <c r="B570" s="287" t="s">
        <v>35</v>
      </c>
      <c r="C570" s="279">
        <f>$C$540</f>
        <v>3963.7819773162369</v>
      </c>
    </row>
    <row r="571" spans="1:3">
      <c r="A571" s="257" t="s">
        <v>342</v>
      </c>
      <c r="B571" s="287" t="s">
        <v>35</v>
      </c>
      <c r="C571" s="279">
        <f>$C$400</f>
        <v>43429.105886573059</v>
      </c>
    </row>
    <row r="572" spans="1:3">
      <c r="A572" s="257" t="s">
        <v>345</v>
      </c>
      <c r="B572" s="287" t="s">
        <v>35</v>
      </c>
      <c r="C572" s="279">
        <f>C569+C570+C571</f>
        <v>49615.78778050121</v>
      </c>
    </row>
    <row r="573" spans="1:3">
      <c r="A573" s="257" t="s">
        <v>305</v>
      </c>
      <c r="B573" s="287" t="s">
        <v>35</v>
      </c>
      <c r="C573" s="279">
        <f>$C$558</f>
        <v>90210.523237274901</v>
      </c>
    </row>
    <row r="574" spans="1:3" ht="14.65" thickBot="1">
      <c r="A574" s="301" t="s">
        <v>66</v>
      </c>
      <c r="B574" s="259" t="s">
        <v>24</v>
      </c>
      <c r="C574" s="303">
        <f>C572/C573</f>
        <v>0.55000000000000016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282.54946526334061</v>
      </c>
      <c r="C580" s="378">
        <f>F468</f>
        <v>1547.5740000000001</v>
      </c>
      <c r="D580" s="378">
        <v>0</v>
      </c>
      <c r="E580" s="378">
        <f>B580+C580+D580</f>
        <v>1830.1234652633407</v>
      </c>
      <c r="F580" s="657">
        <f t="shared" ref="F580:F594" si="51">$C$566</f>
        <v>40594.735456773713</v>
      </c>
      <c r="G580" s="634">
        <f>E580/F580*1000000</f>
        <v>45082.778460574074</v>
      </c>
      <c r="H580" s="481">
        <f>G580/1000000</f>
        <v>4.5082778460574076E-2</v>
      </c>
    </row>
    <row r="581" spans="1:8">
      <c r="A581" s="149" t="s">
        <v>73</v>
      </c>
      <c r="B581" s="592">
        <f>B489</f>
        <v>2.8459309992772908E-2</v>
      </c>
      <c r="C581" s="364">
        <f>F469</f>
        <v>0.61250000000000004</v>
      </c>
      <c r="D581" s="364">
        <v>0</v>
      </c>
      <c r="E581" s="364">
        <f t="shared" ref="E581:E594" si="52">B581+C581+D581</f>
        <v>0.64095930999277295</v>
      </c>
      <c r="F581" s="658">
        <f t="shared" si="51"/>
        <v>40594.735456773713</v>
      </c>
      <c r="G581" s="558">
        <f t="shared" ref="G581:G593" si="53">E581/F581*1000000</f>
        <v>15.789222488597872</v>
      </c>
      <c r="H581" s="462">
        <f t="shared" ref="H581:H594" si="54">G581/1000000</f>
        <v>1.5789222488597872E-5</v>
      </c>
    </row>
    <row r="582" spans="1:8">
      <c r="A582" s="149" t="s">
        <v>74</v>
      </c>
      <c r="B582" s="592">
        <f t="shared" ref="B582:B584" si="55">B490</f>
        <v>478.37219712488445</v>
      </c>
      <c r="C582" s="364">
        <f t="shared" ref="C582:C593" si="56">F470</f>
        <v>2275.1098999999999</v>
      </c>
      <c r="D582" s="364">
        <v>0</v>
      </c>
      <c r="E582" s="364">
        <f t="shared" si="52"/>
        <v>2753.4820971248846</v>
      </c>
      <c r="F582" s="658">
        <f t="shared" si="51"/>
        <v>40594.735456773713</v>
      </c>
      <c r="G582" s="558">
        <f t="shared" si="53"/>
        <v>67828.55131687854</v>
      </c>
      <c r="H582" s="462">
        <f t="shared" si="54"/>
        <v>6.7828551316878538E-2</v>
      </c>
    </row>
    <row r="583" spans="1:8">
      <c r="A583" s="149" t="s">
        <v>75</v>
      </c>
      <c r="B583" s="592">
        <f t="shared" si="55"/>
        <v>3.870734936791409E-4</v>
      </c>
      <c r="C583" s="364">
        <f t="shared" si="56"/>
        <v>5.2499999999999998E-2</v>
      </c>
      <c r="D583" s="364">
        <v>0</v>
      </c>
      <c r="E583" s="364">
        <f t="shared" si="52"/>
        <v>5.2887073493679139E-2</v>
      </c>
      <c r="F583" s="658">
        <f t="shared" si="51"/>
        <v>40594.735456773713</v>
      </c>
      <c r="G583" s="558">
        <f t="shared" si="53"/>
        <v>1.3028062111648593</v>
      </c>
      <c r="H583" s="462">
        <f t="shared" si="54"/>
        <v>1.3028062111648593E-6</v>
      </c>
    </row>
    <row r="584" spans="1:8">
      <c r="A584" s="149" t="s">
        <v>76</v>
      </c>
      <c r="B584" s="592">
        <f t="shared" si="55"/>
        <v>0.57445446857278615</v>
      </c>
      <c r="C584" s="364">
        <f t="shared" si="56"/>
        <v>1.9698</v>
      </c>
      <c r="D584" s="364">
        <v>0</v>
      </c>
      <c r="E584" s="364">
        <f t="shared" si="52"/>
        <v>2.5442544685727864</v>
      </c>
      <c r="F584" s="658">
        <f t="shared" si="51"/>
        <v>40594.735456773713</v>
      </c>
      <c r="G584" s="558">
        <f t="shared" si="53"/>
        <v>62.674493131799615</v>
      </c>
      <c r="H584" s="462">
        <f t="shared" si="54"/>
        <v>6.2674493131799613E-5</v>
      </c>
    </row>
    <row r="585" spans="1:8">
      <c r="A585" s="150" t="s">
        <v>77</v>
      </c>
      <c r="B585" s="592">
        <f>B493</f>
        <v>1.7100073055854814E-2</v>
      </c>
      <c r="C585" s="364">
        <f t="shared" si="56"/>
        <v>19.295499999999997</v>
      </c>
      <c r="D585" s="364">
        <v>0</v>
      </c>
      <c r="E585" s="364">
        <f t="shared" si="52"/>
        <v>19.312600073055851</v>
      </c>
      <c r="F585" s="658">
        <f t="shared" si="51"/>
        <v>40594.735456773713</v>
      </c>
      <c r="G585" s="558">
        <f t="shared" si="53"/>
        <v>475.74149346583101</v>
      </c>
      <c r="H585" s="462">
        <f t="shared" si="54"/>
        <v>4.7574149346583103E-4</v>
      </c>
    </row>
    <row r="586" spans="1:8">
      <c r="A586" s="150" t="s">
        <v>78</v>
      </c>
      <c r="B586" s="592">
        <f>B494</f>
        <v>564.13975472857169</v>
      </c>
      <c r="C586" s="364">
        <f t="shared" si="56"/>
        <v>2077.7049999999999</v>
      </c>
      <c r="D586" s="364">
        <v>0</v>
      </c>
      <c r="E586" s="364">
        <f t="shared" si="52"/>
        <v>2641.8447547285714</v>
      </c>
      <c r="F586" s="658">
        <f t="shared" si="51"/>
        <v>40594.735456773713</v>
      </c>
      <c r="G586" s="558">
        <f t="shared" si="53"/>
        <v>65078.506486183993</v>
      </c>
      <c r="H586" s="462">
        <f t="shared" si="54"/>
        <v>6.507850648618399E-2</v>
      </c>
    </row>
    <row r="587" spans="1:8">
      <c r="A587" s="150" t="s">
        <v>79</v>
      </c>
      <c r="B587" s="592">
        <f>B495</f>
        <v>72.520967612075879</v>
      </c>
      <c r="C587" s="364">
        <f t="shared" si="56"/>
        <v>232.9992</v>
      </c>
      <c r="D587" s="364">
        <v>0</v>
      </c>
      <c r="E587" s="364">
        <f t="shared" si="52"/>
        <v>305.52016761207585</v>
      </c>
      <c r="F587" s="658">
        <f t="shared" si="51"/>
        <v>40594.735456773713</v>
      </c>
      <c r="G587" s="558">
        <f t="shared" si="53"/>
        <v>7526.1031799899602</v>
      </c>
      <c r="H587" s="462">
        <f t="shared" si="54"/>
        <v>7.5261031799899606E-3</v>
      </c>
    </row>
    <row r="588" spans="1:8">
      <c r="A588" s="150" t="s">
        <v>80</v>
      </c>
      <c r="B588" s="592">
        <f>B496</f>
        <v>110.38873234933348</v>
      </c>
      <c r="C588" s="364">
        <f t="shared" si="56"/>
        <v>302.29978333333338</v>
      </c>
      <c r="D588" s="364">
        <v>0</v>
      </c>
      <c r="E588" s="364">
        <f t="shared" si="52"/>
        <v>412.68851568266689</v>
      </c>
      <c r="F588" s="658">
        <f t="shared" si="51"/>
        <v>40594.735456773713</v>
      </c>
      <c r="G588" s="558">
        <f t="shared" si="53"/>
        <v>10166.059983864359</v>
      </c>
      <c r="H588" s="462">
        <f t="shared" si="54"/>
        <v>1.016605998386436E-2</v>
      </c>
    </row>
    <row r="589" spans="1:8">
      <c r="A589" s="150" t="s">
        <v>81</v>
      </c>
      <c r="B589" s="592">
        <f>B497</f>
        <v>76.856270056612061</v>
      </c>
      <c r="C589" s="364">
        <f t="shared" si="56"/>
        <v>67.697699999999998</v>
      </c>
      <c r="D589" s="364">
        <v>0</v>
      </c>
      <c r="E589" s="364">
        <f t="shared" si="52"/>
        <v>144.55397005661206</v>
      </c>
      <c r="F589" s="658">
        <f t="shared" si="51"/>
        <v>40594.735456773713</v>
      </c>
      <c r="G589" s="558">
        <f t="shared" si="53"/>
        <v>3560.9043495439632</v>
      </c>
      <c r="H589" s="462">
        <f t="shared" si="54"/>
        <v>3.5609043495439634E-3</v>
      </c>
    </row>
    <row r="590" spans="1:8">
      <c r="A590" s="150" t="s">
        <v>82</v>
      </c>
      <c r="B590" s="592">
        <f t="shared" ref="B590" si="57">B498</f>
        <v>0.52972389446836354</v>
      </c>
      <c r="C590" s="364">
        <f t="shared" si="56"/>
        <v>1.4619499999999999</v>
      </c>
      <c r="D590" s="364">
        <v>0</v>
      </c>
      <c r="E590" s="364">
        <f t="shared" si="52"/>
        <v>1.9916738944683634</v>
      </c>
      <c r="F590" s="658">
        <f t="shared" si="51"/>
        <v>40594.735456773713</v>
      </c>
      <c r="G590" s="558">
        <f t="shared" si="53"/>
        <v>49.062369099292383</v>
      </c>
      <c r="H590" s="462">
        <f t="shared" si="54"/>
        <v>4.9062369099292382E-5</v>
      </c>
    </row>
    <row r="591" spans="1:8">
      <c r="A591" s="350" t="s">
        <v>154</v>
      </c>
      <c r="B591" s="592">
        <f>B501</f>
        <v>2800.0204311099837</v>
      </c>
      <c r="C591" s="364">
        <f t="shared" si="56"/>
        <v>1829.2190000000001</v>
      </c>
      <c r="D591" s="364">
        <f>$B$514</f>
        <v>2109.4866555602862</v>
      </c>
      <c r="E591" s="364">
        <f t="shared" si="52"/>
        <v>6738.7260866702691</v>
      </c>
      <c r="F591" s="658">
        <f t="shared" si="51"/>
        <v>40594.735456773713</v>
      </c>
      <c r="G591" s="597">
        <f t="shared" si="53"/>
        <v>166000.00002083601</v>
      </c>
      <c r="H591" s="583">
        <f t="shared" si="54"/>
        <v>0.16600000002083601</v>
      </c>
    </row>
    <row r="592" spans="1:8">
      <c r="A592" s="398" t="s">
        <v>84</v>
      </c>
      <c r="B592" s="592">
        <f>B502</f>
        <v>0.30553625161004194</v>
      </c>
      <c r="C592" s="364">
        <f t="shared" si="56"/>
        <v>2.6088999999999998</v>
      </c>
      <c r="D592" s="364">
        <v>0</v>
      </c>
      <c r="E592" s="364">
        <f t="shared" si="52"/>
        <v>2.9144362516100415</v>
      </c>
      <c r="F592" s="658">
        <f t="shared" si="51"/>
        <v>40594.735456773713</v>
      </c>
      <c r="G592" s="558">
        <f t="shared" si="53"/>
        <v>71.793453481508848</v>
      </c>
      <c r="H592" s="462">
        <f t="shared" si="54"/>
        <v>7.179345348150885E-5</v>
      </c>
    </row>
    <row r="593" spans="1:8">
      <c r="A593" s="398" t="s">
        <v>85</v>
      </c>
      <c r="B593" s="592">
        <f t="shared" ref="B593:B594" si="58">B503</f>
        <v>0</v>
      </c>
      <c r="C593" s="364">
        <f t="shared" si="56"/>
        <v>124.30895555555556</v>
      </c>
      <c r="D593" s="364">
        <v>0</v>
      </c>
      <c r="E593" s="364">
        <f t="shared" si="52"/>
        <v>124.30895555555556</v>
      </c>
      <c r="F593" s="658">
        <f t="shared" si="51"/>
        <v>40594.735456773713</v>
      </c>
      <c r="G593" s="558">
        <f t="shared" si="53"/>
        <v>3062.1940051296265</v>
      </c>
      <c r="H593" s="462">
        <f t="shared" si="54"/>
        <v>3.0621940051296266E-3</v>
      </c>
    </row>
    <row r="594" spans="1:8" ht="14.65" thickBot="1">
      <c r="A594" s="152" t="s">
        <v>86</v>
      </c>
      <c r="B594" s="659">
        <f t="shared" si="58"/>
        <v>0.52646313881298212</v>
      </c>
      <c r="C594" s="379">
        <f>F482</f>
        <v>53.472999999999999</v>
      </c>
      <c r="D594" s="379">
        <v>0</v>
      </c>
      <c r="E594" s="379">
        <f t="shared" si="52"/>
        <v>53.999463138812985</v>
      </c>
      <c r="F594" s="660">
        <f t="shared" si="51"/>
        <v>40594.735456773713</v>
      </c>
      <c r="G594" s="559">
        <f>E594/F594*1000000</f>
        <v>1330.2085241154721</v>
      </c>
      <c r="H594" s="464">
        <f t="shared" si="54"/>
        <v>1.330208524115472E-3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90210.523237274901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40594.735456773713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42731.30048081444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2136.565024040724</v>
      </c>
    </row>
    <row r="610" spans="1:5" ht="14.65" thickBot="1">
      <c r="A610" s="689" t="s">
        <v>16</v>
      </c>
      <c r="B610" s="163" t="s">
        <v>35</v>
      </c>
      <c r="C610" s="690">
        <f>$C$572-C609</f>
        <v>47479.222756460484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140</v>
      </c>
      <c r="C613" s="1061"/>
      <c r="D613" s="1061"/>
      <c r="E613" s="1009"/>
    </row>
    <row r="614" spans="1:5" ht="14.65" hidden="1" thickBot="1">
      <c r="A614" s="487" t="s">
        <v>67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t="14.65" hidden="1" thickBot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3.9699845505553391E-4</v>
      </c>
      <c r="E616" s="507">
        <f>SUM(B616:D616)</f>
        <v>5.2896998455055529E-2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0.313370514471838</v>
      </c>
      <c r="E617" s="508">
        <f>SUM(B617:D617)</f>
        <v>2.9222705144718377</v>
      </c>
    </row>
    <row r="618" spans="1:5" ht="14.65" hidden="1" thickBot="1"/>
    <row r="619" spans="1:5" ht="14.65" thickBot="1">
      <c r="A619" s="512"/>
      <c r="B619" s="249" t="s">
        <v>18</v>
      </c>
      <c r="C619" s="249" t="s">
        <v>234</v>
      </c>
    </row>
    <row r="620" spans="1:5">
      <c r="A620" s="134" t="s">
        <v>232</v>
      </c>
      <c r="B620" s="509" t="s">
        <v>24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40594.735456773713</v>
      </c>
    </row>
    <row r="622" spans="1:5">
      <c r="A622" s="68" t="s">
        <v>349</v>
      </c>
      <c r="B622" s="510" t="s">
        <v>35</v>
      </c>
      <c r="C622" s="245">
        <f>C621*C620</f>
        <v>15425.999473574011</v>
      </c>
    </row>
    <row r="623" spans="1:5">
      <c r="A623" s="68" t="s">
        <v>350</v>
      </c>
      <c r="B623" s="510" t="s">
        <v>35</v>
      </c>
      <c r="C623" s="246">
        <f>E583</f>
        <v>5.2887073493679139E-2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3.4284373978022615</v>
      </c>
    </row>
    <row r="625" spans="1:4" ht="14.65" thickBot="1"/>
    <row r="626" spans="1:4" ht="14.65" thickBot="1">
      <c r="A626" s="212"/>
      <c r="B626" s="1010" t="s">
        <v>216</v>
      </c>
      <c r="C626" s="1005" t="s">
        <v>165</v>
      </c>
      <c r="D626" s="1012"/>
    </row>
    <row r="627" spans="1:4">
      <c r="A627" s="487" t="s">
        <v>67</v>
      </c>
      <c r="B627" s="1011"/>
      <c r="C627" s="3" t="s">
        <v>166</v>
      </c>
      <c r="D627" s="15" t="s">
        <v>167</v>
      </c>
    </row>
    <row r="628" spans="1:4" ht="14.65" thickBot="1">
      <c r="A628" s="133" t="s">
        <v>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15.789222488597872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3.4284373978022615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475.74149346583101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49.062369099292383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G592</f>
        <v>71.793453481508848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1330.2085241154721</v>
      </c>
      <c r="C634" s="486">
        <f>Rohdaten!$F$25</f>
        <v>5000</v>
      </c>
      <c r="D634" s="237">
        <f>Rohdaten!$H$25</f>
        <v>1500</v>
      </c>
    </row>
  </sheetData>
  <mergeCells count="45">
    <mergeCell ref="D63:F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  <mergeCell ref="B199:C199"/>
    <mergeCell ref="B200:C200"/>
    <mergeCell ref="B285:F285"/>
    <mergeCell ref="G285:L285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I286:L286"/>
    <mergeCell ref="I287:J287"/>
    <mergeCell ref="K287:L287"/>
    <mergeCell ref="B405:D405"/>
    <mergeCell ref="E405:H405"/>
    <mergeCell ref="B432:D432"/>
    <mergeCell ref="E432:H432"/>
    <mergeCell ref="E433:F433"/>
    <mergeCell ref="G433:H433"/>
    <mergeCell ref="B465:C465"/>
    <mergeCell ref="D465:F465"/>
    <mergeCell ref="G578:H578"/>
    <mergeCell ref="B613:E613"/>
    <mergeCell ref="B626:B627"/>
    <mergeCell ref="C626:D626"/>
    <mergeCell ref="B485:E485"/>
    <mergeCell ref="F485:G485"/>
    <mergeCell ref="F486:G486"/>
    <mergeCell ref="D510:E510"/>
    <mergeCell ref="B577:F577"/>
    <mergeCell ref="G577:H577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D749-9E32-4D3C-B05B-FC893E55EE22}">
  <sheetPr codeName="Tabelle24"/>
  <dimension ref="A1:L634"/>
  <sheetViews>
    <sheetView topLeftCell="A106" zoomScale="58" zoomScaleNormal="50" workbookViewId="0">
      <selection activeCell="D106" sqref="D106"/>
    </sheetView>
  </sheetViews>
  <sheetFormatPr baseColWidth="10" defaultColWidth="8.86328125" defaultRowHeight="14.25"/>
  <cols>
    <col min="1" max="1" width="44.13281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0.2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2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0.2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2400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9.0538705296514255E-2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26508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9900</v>
      </c>
    </row>
    <row r="34" spans="1:3" ht="14.65" thickBot="1">
      <c r="A34" s="680" t="s">
        <v>427</v>
      </c>
      <c r="B34" s="694" t="s">
        <v>35</v>
      </c>
      <c r="C34" s="725">
        <f>C30+C33</f>
        <v>16500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2400</v>
      </c>
    </row>
    <row r="40" spans="1:3" hidden="1">
      <c r="A40" s="257" t="s">
        <v>33</v>
      </c>
      <c r="B40" s="287" t="s">
        <v>35</v>
      </c>
      <c r="C40" s="295">
        <f>$C$30</f>
        <v>6600.0000000000009</v>
      </c>
    </row>
    <row r="41" spans="1:3" hidden="1">
      <c r="A41" s="257" t="s">
        <v>57</v>
      </c>
      <c r="B41" s="287" t="s">
        <v>35</v>
      </c>
      <c r="C41" s="279">
        <f>C38+C39+C40</f>
        <v>21000</v>
      </c>
    </row>
    <row r="42" spans="1:3" hidden="1">
      <c r="A42" s="257" t="s">
        <v>58</v>
      </c>
      <c r="B42" s="287" t="s">
        <v>35</v>
      </c>
      <c r="C42" s="279">
        <f>$C$22+$C$25+$C$30+$C$24</f>
        <v>55008</v>
      </c>
    </row>
    <row r="43" spans="1:3" hidden="1">
      <c r="A43" s="299" t="s">
        <v>59</v>
      </c>
      <c r="B43" s="258" t="s">
        <v>24</v>
      </c>
      <c r="C43" s="300">
        <f>C41/C42</f>
        <v>0.3817626527050611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55008</v>
      </c>
    </row>
    <row r="47" spans="1:3" ht="14.65" hidden="1" thickBot="1">
      <c r="A47" s="301" t="s">
        <v>61</v>
      </c>
      <c r="B47" s="259" t="s">
        <v>24</v>
      </c>
      <c r="C47" s="302">
        <f>C44/C46</f>
        <v>0.61823734729493895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2400</v>
      </c>
    </row>
    <row r="53" spans="1:6" hidden="1">
      <c r="A53" s="257" t="s">
        <v>33</v>
      </c>
      <c r="B53" s="287" t="s">
        <v>35</v>
      </c>
      <c r="C53" s="295">
        <f>$C$30</f>
        <v>6600.0000000000009</v>
      </c>
    </row>
    <row r="54" spans="1:6" hidden="1">
      <c r="A54" s="257" t="s">
        <v>430</v>
      </c>
      <c r="B54" s="287" t="s">
        <v>35</v>
      </c>
      <c r="C54" s="279">
        <f>C51+C52+C53</f>
        <v>21000</v>
      </c>
    </row>
    <row r="55" spans="1:6" hidden="1">
      <c r="A55" s="257" t="s">
        <v>58</v>
      </c>
      <c r="B55" s="287" t="s">
        <v>35</v>
      </c>
      <c r="C55" s="279">
        <f>$C$22+$C$25+$C$30+$C$24</f>
        <v>55008</v>
      </c>
    </row>
    <row r="56" spans="1:6" hidden="1">
      <c r="A56" s="299" t="s">
        <v>64</v>
      </c>
      <c r="B56" s="258" t="s">
        <v>24</v>
      </c>
      <c r="C56" s="300">
        <f>C54/C88</f>
        <v>0.3817626527050611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55008</v>
      </c>
    </row>
    <row r="60" spans="1:6" ht="14.65" hidden="1" thickBot="1">
      <c r="A60" s="301" t="s">
        <v>66</v>
      </c>
      <c r="B60" s="259" t="s">
        <v>24</v>
      </c>
      <c r="C60" s="303">
        <f>C58/C88</f>
        <v>0.61823734729493895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0.6191868864567116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289.79432334701602</v>
      </c>
      <c r="F66" s="467">
        <f t="shared" ref="F66:F78" si="2">D66*(1-B66)</f>
        <v>178.22967665298401</v>
      </c>
    </row>
    <row r="67" spans="1:7">
      <c r="A67" s="107" t="s">
        <v>73</v>
      </c>
      <c r="B67" s="448">
        <v>0.82923397414839517</v>
      </c>
      <c r="C67" s="413">
        <v>28.6</v>
      </c>
      <c r="D67" s="229">
        <f t="shared" si="0"/>
        <v>0.34320000000000001</v>
      </c>
      <c r="E67" s="424">
        <f t="shared" si="1"/>
        <v>0.28459309992772924</v>
      </c>
      <c r="F67" s="468">
        <f t="shared" si="2"/>
        <v>5.8606900072270776E-2</v>
      </c>
    </row>
    <row r="68" spans="1:7">
      <c r="A68" s="108" t="s">
        <v>74</v>
      </c>
      <c r="B68" s="448">
        <v>0.25071918088306311</v>
      </c>
      <c r="C68" s="413">
        <v>159000</v>
      </c>
      <c r="D68" s="229">
        <f t="shared" si="0"/>
        <v>1908</v>
      </c>
      <c r="E68" s="424">
        <f t="shared" si="1"/>
        <v>478.37219712488439</v>
      </c>
      <c r="F68" s="468">
        <f t="shared" si="2"/>
        <v>1429.6278028751155</v>
      </c>
      <c r="G68" s="710"/>
    </row>
    <row r="69" spans="1:7">
      <c r="A69" s="108" t="s">
        <v>75</v>
      </c>
      <c r="B69" s="448">
        <v>9.452344167988902E-3</v>
      </c>
      <c r="C69" s="413">
        <v>3.5</v>
      </c>
      <c r="D69" s="229">
        <f t="shared" si="0"/>
        <v>4.2000000000000003E-2</v>
      </c>
      <c r="E69" s="424">
        <f t="shared" si="1"/>
        <v>3.9699845505553391E-4</v>
      </c>
      <c r="F69" s="468">
        <f t="shared" si="2"/>
        <v>4.1603001544944472E-2</v>
      </c>
    </row>
    <row r="70" spans="1:7">
      <c r="A70" s="108" t="s">
        <v>76</v>
      </c>
      <c r="B70" s="448">
        <v>0.35199415966469738</v>
      </c>
      <c r="C70" s="413">
        <v>136</v>
      </c>
      <c r="D70" s="229">
        <f t="shared" si="0"/>
        <v>1.6319999999999999</v>
      </c>
      <c r="E70" s="424">
        <f t="shared" si="1"/>
        <v>0.57445446857278604</v>
      </c>
      <c r="F70" s="468">
        <f t="shared" si="2"/>
        <v>1.0575455314272137</v>
      </c>
    </row>
    <row r="71" spans="1:7">
      <c r="A71" s="108" t="s">
        <v>77</v>
      </c>
      <c r="B71" s="448">
        <v>0.2172265378030338</v>
      </c>
      <c r="C71" s="413">
        <v>656</v>
      </c>
      <c r="D71" s="229">
        <f t="shared" si="0"/>
        <v>7.8719999999999999</v>
      </c>
      <c r="E71" s="424">
        <f t="shared" si="1"/>
        <v>1.7100073055854821</v>
      </c>
      <c r="F71" s="468">
        <f t="shared" si="2"/>
        <v>6.1619926944145176</v>
      </c>
    </row>
    <row r="72" spans="1:7">
      <c r="A72" s="108" t="s">
        <v>78</v>
      </c>
      <c r="B72" s="448">
        <v>0.55056776383895401</v>
      </c>
      <c r="C72" s="413">
        <v>87577</v>
      </c>
      <c r="D72" s="229">
        <f t="shared" si="0"/>
        <v>1050.924</v>
      </c>
      <c r="E72" s="424">
        <f t="shared" si="1"/>
        <v>578.60487664468894</v>
      </c>
      <c r="F72" s="468">
        <f t="shared" si="2"/>
        <v>472.31912335531109</v>
      </c>
    </row>
    <row r="73" spans="1:7">
      <c r="A73" s="108" t="s">
        <v>79</v>
      </c>
      <c r="B73" s="448">
        <v>0.75314377887939554</v>
      </c>
      <c r="C73" s="413">
        <v>8230</v>
      </c>
      <c r="D73" s="229">
        <f t="shared" si="0"/>
        <v>98.76</v>
      </c>
      <c r="E73" s="424">
        <f t="shared" si="1"/>
        <v>74.380479602129114</v>
      </c>
      <c r="F73" s="468">
        <f t="shared" si="2"/>
        <v>24.379520397870898</v>
      </c>
    </row>
    <row r="74" spans="1:7">
      <c r="A74" s="108" t="s">
        <v>80</v>
      </c>
      <c r="B74" s="448">
        <v>0.73139026270014895</v>
      </c>
      <c r="C74" s="413">
        <v>12900</v>
      </c>
      <c r="D74" s="229">
        <f t="shared" si="0"/>
        <v>154.80000000000001</v>
      </c>
      <c r="E74" s="424">
        <f t="shared" si="1"/>
        <v>113.21921266598306</v>
      </c>
      <c r="F74" s="468">
        <f t="shared" si="2"/>
        <v>41.580787334016946</v>
      </c>
    </row>
    <row r="75" spans="1:7">
      <c r="A75" s="108" t="s">
        <v>81</v>
      </c>
      <c r="B75" s="448">
        <v>0.79070236683757267</v>
      </c>
      <c r="C75" s="413">
        <v>8100</v>
      </c>
      <c r="D75" s="229">
        <f t="shared" si="0"/>
        <v>97.2</v>
      </c>
      <c r="E75" s="424">
        <f t="shared" si="1"/>
        <v>76.856270056612061</v>
      </c>
      <c r="F75" s="468">
        <f t="shared" si="2"/>
        <v>20.343729943387938</v>
      </c>
    </row>
    <row r="76" spans="1:7">
      <c r="A76" s="108" t="s">
        <v>82</v>
      </c>
      <c r="B76" s="448">
        <v>0.36220437228606051</v>
      </c>
      <c r="C76" s="413">
        <v>125</v>
      </c>
      <c r="D76" s="229">
        <f t="shared" si="0"/>
        <v>1.5</v>
      </c>
      <c r="E76" s="424">
        <f t="shared" si="1"/>
        <v>0.54330655842909081</v>
      </c>
      <c r="F76" s="468">
        <f t="shared" si="2"/>
        <v>0.95669344157090919</v>
      </c>
    </row>
    <row r="77" spans="1:7">
      <c r="A77" s="108" t="s">
        <v>83</v>
      </c>
      <c r="B77" s="448">
        <v>0.80053901992478527</v>
      </c>
      <c r="C77" s="413">
        <v>81618</v>
      </c>
      <c r="D77" s="229">
        <f t="shared" si="0"/>
        <v>979.41600000000005</v>
      </c>
      <c r="E77" s="424">
        <f t="shared" si="1"/>
        <v>784.06072473865356</v>
      </c>
      <c r="F77" s="468">
        <f t="shared" si="2"/>
        <v>195.35527526134652</v>
      </c>
    </row>
    <row r="78" spans="1:7">
      <c r="A78" s="108" t="s">
        <v>84</v>
      </c>
      <c r="B78" s="448">
        <v>0.21059846402677285</v>
      </c>
      <c r="C78" s="413">
        <v>124</v>
      </c>
      <c r="D78" s="229">
        <f t="shared" si="0"/>
        <v>1.488</v>
      </c>
      <c r="E78" s="424">
        <f t="shared" si="1"/>
        <v>0.313370514471838</v>
      </c>
      <c r="F78" s="468">
        <f t="shared" si="2"/>
        <v>1.174629485528162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0.37290206744084387</v>
      </c>
      <c r="C80" s="414">
        <v>2353</v>
      </c>
      <c r="D80" s="230">
        <f t="shared" si="0"/>
        <v>28.236000000000001</v>
      </c>
      <c r="E80" s="435">
        <f>B80*D80</f>
        <v>10.529262776259667</v>
      </c>
      <c r="F80" s="469">
        <f>D80*(1-B80)</f>
        <v>17.706737223740333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2400</v>
      </c>
    </row>
    <row r="87" spans="1:3">
      <c r="A87" s="257" t="s">
        <v>428</v>
      </c>
      <c r="B87" s="278" t="s">
        <v>35</v>
      </c>
      <c r="C87" s="289">
        <f>C30</f>
        <v>6600.0000000000009</v>
      </c>
    </row>
    <row r="88" spans="1:3" ht="14.65" thickBot="1">
      <c r="A88" s="255" t="s">
        <v>4</v>
      </c>
      <c r="B88" s="271" t="s">
        <v>35</v>
      </c>
      <c r="C88" s="256">
        <f>C84+C85+C86+C87</f>
        <v>55008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2409.2434759016687</v>
      </c>
    </row>
    <row r="94" spans="1:3" hidden="1">
      <c r="A94" s="257" t="s">
        <v>57</v>
      </c>
      <c r="B94" s="278" t="s">
        <v>35</v>
      </c>
      <c r="C94" s="279">
        <f>C92-C93</f>
        <v>9590.7565240983313</v>
      </c>
    </row>
    <row r="95" spans="1:3" hidden="1">
      <c r="A95" s="257" t="s">
        <v>4</v>
      </c>
      <c r="B95" s="278" t="s">
        <v>35</v>
      </c>
      <c r="C95" s="279">
        <f>$C$88</f>
        <v>55008</v>
      </c>
    </row>
    <row r="96" spans="1:3" hidden="1">
      <c r="A96" s="299" t="s">
        <v>59</v>
      </c>
      <c r="B96" s="260" t="s">
        <v>24</v>
      </c>
      <c r="C96" s="300">
        <f>C94/C95</f>
        <v>0.17435203105181668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2400</v>
      </c>
    </row>
    <row r="99" spans="1:3" hidden="1">
      <c r="A99" s="257" t="s">
        <v>33</v>
      </c>
      <c r="B99" s="278" t="s">
        <v>35</v>
      </c>
      <c r="C99" s="295">
        <f>$C$30</f>
        <v>6600.0000000000009</v>
      </c>
    </row>
    <row r="100" spans="1:3" hidden="1">
      <c r="A100" s="257" t="s">
        <v>87</v>
      </c>
      <c r="B100" s="278" t="s">
        <v>35</v>
      </c>
      <c r="C100" s="295">
        <f>SUM($E$66:$E$80)</f>
        <v>2409.2434759016687</v>
      </c>
    </row>
    <row r="101" spans="1:3" hidden="1">
      <c r="A101" s="257" t="s">
        <v>60</v>
      </c>
      <c r="B101" s="278" t="s">
        <v>35</v>
      </c>
      <c r="C101" s="279">
        <f>SUM(C97:C100)</f>
        <v>45417.243475901669</v>
      </c>
    </row>
    <row r="102" spans="1:3" hidden="1">
      <c r="A102" s="257" t="s">
        <v>4</v>
      </c>
      <c r="B102" s="278" t="s">
        <v>35</v>
      </c>
      <c r="C102" s="279">
        <f>$C$88</f>
        <v>55008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0.82564796894818338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2400</v>
      </c>
    </row>
    <row r="109" spans="1:3">
      <c r="A109" s="257" t="s">
        <v>428</v>
      </c>
      <c r="B109" s="278" t="s">
        <v>35</v>
      </c>
      <c r="C109" s="295">
        <f>$C$30</f>
        <v>6600.0000000000009</v>
      </c>
    </row>
    <row r="110" spans="1:3">
      <c r="A110" s="257" t="s">
        <v>336</v>
      </c>
      <c r="B110" s="278" t="s">
        <v>35</v>
      </c>
      <c r="C110" s="279">
        <f>C107+C108+C109</f>
        <v>21000</v>
      </c>
    </row>
    <row r="111" spans="1:3">
      <c r="A111" s="257" t="s">
        <v>4</v>
      </c>
      <c r="B111" s="278" t="s">
        <v>35</v>
      </c>
      <c r="C111" s="279">
        <f>$C$88</f>
        <v>55008</v>
      </c>
    </row>
    <row r="112" spans="1:3">
      <c r="A112" s="299" t="s">
        <v>64</v>
      </c>
      <c r="B112" s="260" t="s">
        <v>24</v>
      </c>
      <c r="C112" s="300">
        <f>C110/C111</f>
        <v>0.3817626527050611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55008</v>
      </c>
    </row>
    <row r="116" spans="1:12" ht="14.65" thickBot="1">
      <c r="A116" s="301" t="s">
        <v>66</v>
      </c>
      <c r="B116" s="277" t="s">
        <v>24</v>
      </c>
      <c r="C116" s="303">
        <f>C114/C115</f>
        <v>0.61823734729493895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289.79432334701602</v>
      </c>
      <c r="D123" s="428">
        <f t="shared" ref="D123:D134" si="5">F66</f>
        <v>178.22967665298401</v>
      </c>
      <c r="E123" s="160">
        <f>$C$110</f>
        <v>21000</v>
      </c>
      <c r="F123" s="440">
        <f>$C$88</f>
        <v>55008</v>
      </c>
      <c r="G123" s="443">
        <f t="shared" ref="G123:G143" si="6">B123/E123*1000000</f>
        <v>22286.857142857141</v>
      </c>
      <c r="H123" s="554">
        <f>G123/1000000</f>
        <v>2.2286857142857143E-2</v>
      </c>
      <c r="I123" s="557">
        <f t="shared" ref="I123:I143" si="7">C123/F123*1000000</f>
        <v>5268.2214104678596</v>
      </c>
      <c r="J123" s="432">
        <f>I123/1000000</f>
        <v>5.2682214104678594E-3</v>
      </c>
      <c r="K123" s="431">
        <f t="shared" ref="K123:K143" si="8">D123/F123*1000000</f>
        <v>3240.0682928480223</v>
      </c>
      <c r="L123" s="433">
        <f>K123/1000000</f>
        <v>3.2400682928480223E-3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0.28459309992772924</v>
      </c>
      <c r="D124" s="235">
        <f t="shared" si="5"/>
        <v>5.8606900072270776E-2</v>
      </c>
      <c r="E124" s="119">
        <f t="shared" ref="E124:E143" si="9">$C$110</f>
        <v>21000</v>
      </c>
      <c r="F124" s="441">
        <f t="shared" ref="F124:F143" si="10">$C$88</f>
        <v>55008</v>
      </c>
      <c r="G124" s="444">
        <f t="shared" si="6"/>
        <v>16.342857142857142</v>
      </c>
      <c r="H124" s="555">
        <f t="shared" ref="H124:H143" si="11">G124/1000000</f>
        <v>1.6342857142857143E-5</v>
      </c>
      <c r="I124" s="558">
        <f t="shared" si="7"/>
        <v>5.1736674652364973</v>
      </c>
      <c r="J124" s="427">
        <f t="shared" ref="J124:J143" si="12">I124/1000000</f>
        <v>5.1736674652364977E-6</v>
      </c>
      <c r="K124" s="426">
        <f t="shared" si="8"/>
        <v>1.0654250304005013</v>
      </c>
      <c r="L124" s="434">
        <f t="shared" ref="L124:L143" si="13">K124/1000000</f>
        <v>1.0654250304005013E-6</v>
      </c>
    </row>
    <row r="125" spans="1:12">
      <c r="A125" s="149" t="s">
        <v>74</v>
      </c>
      <c r="B125" s="161">
        <f t="shared" si="3"/>
        <v>1908</v>
      </c>
      <c r="C125" s="235">
        <f t="shared" si="4"/>
        <v>478.37219712488439</v>
      </c>
      <c r="D125" s="235">
        <f t="shared" si="5"/>
        <v>1429.6278028751155</v>
      </c>
      <c r="E125" s="119">
        <f t="shared" si="9"/>
        <v>21000</v>
      </c>
      <c r="F125" s="441">
        <f t="shared" si="10"/>
        <v>55008</v>
      </c>
      <c r="G125" s="444">
        <f t="shared" si="6"/>
        <v>90857.142857142855</v>
      </c>
      <c r="H125" s="555">
        <f t="shared" si="11"/>
        <v>9.0857142857142859E-2</v>
      </c>
      <c r="I125" s="558">
        <f t="shared" si="7"/>
        <v>8696.4113787973456</v>
      </c>
      <c r="J125" s="427">
        <f t="shared" si="12"/>
        <v>8.6964113787973453E-3</v>
      </c>
      <c r="K125" s="426">
        <f t="shared" si="8"/>
        <v>25989.452495548201</v>
      </c>
      <c r="L125" s="434">
        <f t="shared" si="13"/>
        <v>2.5989452495548199E-2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3.9699845505553391E-4</v>
      </c>
      <c r="D126" s="235">
        <f t="shared" si="5"/>
        <v>4.1603001544944472E-2</v>
      </c>
      <c r="E126" s="119">
        <f t="shared" si="9"/>
        <v>21000</v>
      </c>
      <c r="F126" s="441">
        <f t="shared" si="10"/>
        <v>55008</v>
      </c>
      <c r="G126" s="444">
        <f t="shared" si="6"/>
        <v>2.0000000000000004</v>
      </c>
      <c r="H126" s="555">
        <f t="shared" si="11"/>
        <v>2.0000000000000003E-6</v>
      </c>
      <c r="I126" s="558">
        <f t="shared" si="7"/>
        <v>7.2171039677053142E-3</v>
      </c>
      <c r="J126" s="427">
        <f t="shared" si="12"/>
        <v>7.2171039677053141E-9</v>
      </c>
      <c r="K126" s="426">
        <f t="shared" si="8"/>
        <v>0.75630820144241695</v>
      </c>
      <c r="L126" s="434">
        <f t="shared" si="13"/>
        <v>7.5630820144241692E-7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0.57445446857278604</v>
      </c>
      <c r="D127" s="235">
        <f t="shared" si="5"/>
        <v>1.0575455314272137</v>
      </c>
      <c r="E127" s="119">
        <f t="shared" si="9"/>
        <v>21000</v>
      </c>
      <c r="F127" s="441">
        <f t="shared" si="10"/>
        <v>55008</v>
      </c>
      <c r="G127" s="444">
        <f t="shared" si="6"/>
        <v>77.714285714285708</v>
      </c>
      <c r="H127" s="555">
        <f t="shared" si="11"/>
        <v>7.7714285714285708E-5</v>
      </c>
      <c r="I127" s="558">
        <f t="shared" si="7"/>
        <v>10.443107703839187</v>
      </c>
      <c r="J127" s="427">
        <f t="shared" si="12"/>
        <v>1.0443107703839187E-5</v>
      </c>
      <c r="K127" s="426">
        <f t="shared" si="8"/>
        <v>19.225304163525557</v>
      </c>
      <c r="L127" s="434">
        <f t="shared" si="13"/>
        <v>1.9225304163525556E-5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1.7100073055854821</v>
      </c>
      <c r="D128" s="235">
        <f t="shared" si="5"/>
        <v>6.1619926944145176</v>
      </c>
      <c r="E128" s="119">
        <f t="shared" si="9"/>
        <v>21000</v>
      </c>
      <c r="F128" s="441">
        <f t="shared" si="10"/>
        <v>55008</v>
      </c>
      <c r="G128" s="444">
        <f t="shared" si="6"/>
        <v>374.85714285714289</v>
      </c>
      <c r="H128" s="555">
        <f t="shared" si="11"/>
        <v>3.7485714285714287E-4</v>
      </c>
      <c r="I128" s="558">
        <f t="shared" si="7"/>
        <v>31.086520244064172</v>
      </c>
      <c r="J128" s="427">
        <f t="shared" si="12"/>
        <v>3.1086520244064171E-5</v>
      </c>
      <c r="K128" s="426">
        <f t="shared" si="8"/>
        <v>112.01993699851872</v>
      </c>
      <c r="L128" s="434">
        <f t="shared" si="13"/>
        <v>1.1201993699851872E-4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578.60487664468894</v>
      </c>
      <c r="D129" s="235">
        <f t="shared" si="5"/>
        <v>472.31912335531109</v>
      </c>
      <c r="E129" s="119">
        <f t="shared" si="9"/>
        <v>21000</v>
      </c>
      <c r="F129" s="441">
        <f t="shared" si="10"/>
        <v>55008</v>
      </c>
      <c r="G129" s="444">
        <f t="shared" si="6"/>
        <v>50044</v>
      </c>
      <c r="H129" s="555">
        <f t="shared" si="11"/>
        <v>5.0043999999999998E-2</v>
      </c>
      <c r="I129" s="558">
        <f t="shared" si="7"/>
        <v>10518.558694093386</v>
      </c>
      <c r="J129" s="427">
        <f t="shared" si="12"/>
        <v>1.0518558694093386E-2</v>
      </c>
      <c r="K129" s="426">
        <f t="shared" si="8"/>
        <v>8586.371497878692</v>
      </c>
      <c r="L129" s="434">
        <f t="shared" si="13"/>
        <v>8.586371497878692E-3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74.380479602129114</v>
      </c>
      <c r="D130" s="235">
        <f t="shared" si="5"/>
        <v>24.379520397870898</v>
      </c>
      <c r="E130" s="119">
        <f t="shared" si="9"/>
        <v>21000</v>
      </c>
      <c r="F130" s="441">
        <f t="shared" si="10"/>
        <v>55008</v>
      </c>
      <c r="G130" s="444">
        <f t="shared" si="6"/>
        <v>4702.8571428571431</v>
      </c>
      <c r="H130" s="555">
        <f t="shared" si="11"/>
        <v>4.7028571428571432E-3</v>
      </c>
      <c r="I130" s="558">
        <f t="shared" si="7"/>
        <v>1352.1756763039762</v>
      </c>
      <c r="J130" s="427">
        <f t="shared" si="12"/>
        <v>1.3521756763039761E-3</v>
      </c>
      <c r="K130" s="426">
        <f t="shared" si="8"/>
        <v>443.19954184611146</v>
      </c>
      <c r="L130" s="434">
        <f t="shared" si="13"/>
        <v>4.4319954184611146E-4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113.21921266598306</v>
      </c>
      <c r="D131" s="235">
        <f t="shared" si="5"/>
        <v>41.580787334016946</v>
      </c>
      <c r="E131" s="119">
        <f t="shared" si="9"/>
        <v>21000</v>
      </c>
      <c r="F131" s="441">
        <f t="shared" si="10"/>
        <v>55008</v>
      </c>
      <c r="G131" s="444">
        <f t="shared" si="6"/>
        <v>7371.4285714285725</v>
      </c>
      <c r="H131" s="555">
        <f t="shared" si="11"/>
        <v>7.3714285714285722E-3</v>
      </c>
      <c r="I131" s="558">
        <f t="shared" si="7"/>
        <v>2058.231760216388</v>
      </c>
      <c r="J131" s="427">
        <f t="shared" si="12"/>
        <v>2.0582317602163879E-3</v>
      </c>
      <c r="K131" s="426">
        <f t="shared" si="8"/>
        <v>755.90436543806254</v>
      </c>
      <c r="L131" s="434">
        <f t="shared" si="13"/>
        <v>7.5590436543806257E-4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76.856270056612061</v>
      </c>
      <c r="D132" s="235">
        <f t="shared" si="5"/>
        <v>20.343729943387938</v>
      </c>
      <c r="E132" s="119">
        <f t="shared" si="9"/>
        <v>21000</v>
      </c>
      <c r="F132" s="441">
        <f t="shared" si="10"/>
        <v>55008</v>
      </c>
      <c r="G132" s="444">
        <f t="shared" si="6"/>
        <v>4628.5714285714294</v>
      </c>
      <c r="H132" s="555">
        <f t="shared" si="11"/>
        <v>4.6285714285714289E-3</v>
      </c>
      <c r="I132" s="558">
        <f t="shared" si="7"/>
        <v>1397.1835016108942</v>
      </c>
      <c r="J132" s="427">
        <f t="shared" si="12"/>
        <v>1.3971835016108941E-3</v>
      </c>
      <c r="K132" s="426">
        <f t="shared" si="8"/>
        <v>369.83220519538861</v>
      </c>
      <c r="L132" s="434">
        <f t="shared" si="13"/>
        <v>3.6983220519538863E-4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0.54330655842909081</v>
      </c>
      <c r="D133" s="235">
        <f t="shared" si="5"/>
        <v>0.95669344157090919</v>
      </c>
      <c r="E133" s="119">
        <f t="shared" si="9"/>
        <v>21000</v>
      </c>
      <c r="F133" s="441">
        <f t="shared" si="10"/>
        <v>55008</v>
      </c>
      <c r="G133" s="444">
        <f t="shared" si="6"/>
        <v>71.428571428571431</v>
      </c>
      <c r="H133" s="555">
        <f t="shared" si="11"/>
        <v>7.1428571428571434E-5</v>
      </c>
      <c r="I133" s="558">
        <f t="shared" si="7"/>
        <v>9.8768644275212854</v>
      </c>
      <c r="J133" s="427">
        <f t="shared" si="12"/>
        <v>9.8768644275212862E-6</v>
      </c>
      <c r="K133" s="426">
        <f t="shared" si="8"/>
        <v>17.391896479983078</v>
      </c>
      <c r="L133" s="434">
        <f t="shared" si="13"/>
        <v>1.7391896479983079E-5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784.06072473865356</v>
      </c>
      <c r="D134" s="235">
        <f t="shared" si="5"/>
        <v>195.35527526134652</v>
      </c>
      <c r="E134" s="119">
        <f t="shared" si="9"/>
        <v>21000</v>
      </c>
      <c r="F134" s="441">
        <f t="shared" si="10"/>
        <v>55008</v>
      </c>
      <c r="G134" s="444">
        <f t="shared" si="6"/>
        <v>46638.857142857145</v>
      </c>
      <c r="H134" s="555">
        <f t="shared" si="11"/>
        <v>4.6638857142857142E-2</v>
      </c>
      <c r="I134" s="558">
        <f t="shared" si="7"/>
        <v>14253.576293241957</v>
      </c>
      <c r="J134" s="427">
        <f t="shared" si="12"/>
        <v>1.4253576293241957E-2</v>
      </c>
      <c r="K134" s="426">
        <f t="shared" si="8"/>
        <v>3551.3975287475737</v>
      </c>
      <c r="L134" s="434">
        <f t="shared" si="13"/>
        <v>3.5513975287475735E-3</v>
      </c>
    </row>
    <row r="135" spans="1:12">
      <c r="A135" s="150" t="s">
        <v>96</v>
      </c>
      <c r="B135" s="161">
        <f>$C$30*31/98</f>
        <v>2087.7551020408168</v>
      </c>
      <c r="C135" s="235">
        <f>$C$30*31/98</f>
        <v>2087.7551020408168</v>
      </c>
      <c r="D135" s="235">
        <v>0</v>
      </c>
      <c r="E135" s="119">
        <f t="shared" si="9"/>
        <v>21000</v>
      </c>
      <c r="F135" s="441">
        <f t="shared" si="10"/>
        <v>55008</v>
      </c>
      <c r="G135" s="444">
        <f t="shared" si="6"/>
        <v>99416.909620991282</v>
      </c>
      <c r="H135" s="555">
        <f t="shared" si="11"/>
        <v>9.9416909620991284E-2</v>
      </c>
      <c r="I135" s="558">
        <f t="shared" si="7"/>
        <v>37953.66314064894</v>
      </c>
      <c r="J135" s="427">
        <f t="shared" si="12"/>
        <v>3.7953663140648942E-2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3067.171102040817</v>
      </c>
      <c r="C136" s="235">
        <f>C134+C135</f>
        <v>2871.8158267794706</v>
      </c>
      <c r="D136" s="235">
        <f>D134+D135</f>
        <v>195.35527526134652</v>
      </c>
      <c r="E136" s="119">
        <f t="shared" si="9"/>
        <v>21000</v>
      </c>
      <c r="F136" s="441">
        <f t="shared" si="10"/>
        <v>55008</v>
      </c>
      <c r="G136" s="444">
        <f t="shared" si="6"/>
        <v>146055.76676384843</v>
      </c>
      <c r="H136" s="555">
        <f t="shared" si="11"/>
        <v>0.14605576676384843</v>
      </c>
      <c r="I136" s="558">
        <f t="shared" si="7"/>
        <v>52207.2394338909</v>
      </c>
      <c r="J136" s="427">
        <f t="shared" si="12"/>
        <v>5.2207239433890898E-2</v>
      </c>
      <c r="K136" s="426">
        <f t="shared" si="8"/>
        <v>3551.3975287475737</v>
      </c>
      <c r="L136" s="434">
        <f t="shared" si="13"/>
        <v>3.5513975287475735E-3</v>
      </c>
    </row>
    <row r="137" spans="1:12">
      <c r="A137" s="150" t="s">
        <v>84</v>
      </c>
      <c r="B137" s="161">
        <f>D78</f>
        <v>1.488</v>
      </c>
      <c r="C137" s="235">
        <f>E78</f>
        <v>0.313370514471838</v>
      </c>
      <c r="D137" s="235">
        <f>F78</f>
        <v>1.174629485528162</v>
      </c>
      <c r="E137" s="119">
        <f t="shared" si="9"/>
        <v>21000</v>
      </c>
      <c r="F137" s="441">
        <f t="shared" si="10"/>
        <v>55008</v>
      </c>
      <c r="G137" s="444">
        <f t="shared" si="6"/>
        <v>70.857142857142847</v>
      </c>
      <c r="H137" s="555">
        <f t="shared" si="11"/>
        <v>7.0857142857142852E-5</v>
      </c>
      <c r="I137" s="558">
        <f t="shared" si="7"/>
        <v>5.6968170897294579</v>
      </c>
      <c r="J137" s="427">
        <f t="shared" si="12"/>
        <v>5.6968170897294579E-6</v>
      </c>
      <c r="K137" s="426">
        <f t="shared" si="8"/>
        <v>21.35379373051487</v>
      </c>
      <c r="L137" s="434">
        <f t="shared" si="13"/>
        <v>2.1353793730514871E-5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21000</v>
      </c>
      <c r="F138" s="441">
        <f t="shared" si="10"/>
        <v>55008</v>
      </c>
      <c r="G138" s="444">
        <f t="shared" si="6"/>
        <v>10800</v>
      </c>
      <c r="H138" s="555">
        <f t="shared" si="11"/>
        <v>1.0800000000000001E-2</v>
      </c>
      <c r="I138" s="558">
        <f t="shared" si="7"/>
        <v>0</v>
      </c>
      <c r="J138" s="427">
        <f t="shared" si="12"/>
        <v>0</v>
      </c>
      <c r="K138" s="426">
        <f t="shared" si="8"/>
        <v>4123.0366492146595</v>
      </c>
      <c r="L138" s="434">
        <f t="shared" si="13"/>
        <v>4.1230366492146595E-3</v>
      </c>
    </row>
    <row r="139" spans="1:12">
      <c r="A139" s="150" t="s">
        <v>250</v>
      </c>
      <c r="B139" s="161">
        <f>$C$25*32/98</f>
        <v>783.67346938775506</v>
      </c>
      <c r="C139" s="235">
        <v>0</v>
      </c>
      <c r="D139" s="235">
        <f>$C$25*32/98</f>
        <v>783.67346938775506</v>
      </c>
      <c r="E139" s="119">
        <f t="shared" si="9"/>
        <v>21000</v>
      </c>
      <c r="F139" s="441">
        <f t="shared" si="10"/>
        <v>55008</v>
      </c>
      <c r="G139" s="444">
        <f t="shared" si="6"/>
        <v>37317.784256559768</v>
      </c>
      <c r="H139" s="555">
        <f t="shared" si="11"/>
        <v>3.7317784256559766E-2</v>
      </c>
      <c r="I139" s="558">
        <f t="shared" si="7"/>
        <v>0</v>
      </c>
      <c r="J139" s="427">
        <f t="shared" si="12"/>
        <v>0</v>
      </c>
      <c r="K139" s="426">
        <f t="shared" si="8"/>
        <v>14246.536310859423</v>
      </c>
      <c r="L139" s="434">
        <f t="shared" si="13"/>
        <v>1.4246536310859422E-2</v>
      </c>
    </row>
    <row r="140" spans="1:12">
      <c r="A140" s="150" t="s">
        <v>251</v>
      </c>
      <c r="B140" s="161">
        <f>B138+B139</f>
        <v>1010.4734693877551</v>
      </c>
      <c r="C140" s="235">
        <v>0</v>
      </c>
      <c r="D140" s="235">
        <f>D138+D139</f>
        <v>1010.4734693877551</v>
      </c>
      <c r="E140" s="119">
        <f t="shared" si="9"/>
        <v>21000</v>
      </c>
      <c r="F140" s="441">
        <f t="shared" si="10"/>
        <v>55008</v>
      </c>
      <c r="G140" s="444">
        <f t="shared" si="6"/>
        <v>48117.784256559768</v>
      </c>
      <c r="H140" s="555">
        <f t="shared" si="11"/>
        <v>4.811778425655977E-2</v>
      </c>
      <c r="I140" s="558">
        <f t="shared" si="7"/>
        <v>0</v>
      </c>
      <c r="J140" s="427">
        <f t="shared" si="12"/>
        <v>0</v>
      </c>
      <c r="K140" s="426">
        <f t="shared" si="8"/>
        <v>18369.572960074085</v>
      </c>
      <c r="L140" s="434">
        <f t="shared" si="13"/>
        <v>1.8369572960074083E-2</v>
      </c>
    </row>
    <row r="141" spans="1:12">
      <c r="A141" s="151" t="s">
        <v>238</v>
      </c>
      <c r="B141" s="161">
        <f>B140/32*96</f>
        <v>3031.4204081632652</v>
      </c>
      <c r="C141" s="235">
        <v>0</v>
      </c>
      <c r="D141" s="235">
        <f>D140/32*96</f>
        <v>3031.4204081632652</v>
      </c>
      <c r="E141" s="119">
        <f t="shared" si="9"/>
        <v>21000</v>
      </c>
      <c r="F141" s="441">
        <f t="shared" si="10"/>
        <v>55008</v>
      </c>
      <c r="G141" s="444">
        <f t="shared" si="6"/>
        <v>144353.35276967927</v>
      </c>
      <c r="H141" s="555">
        <f t="shared" si="11"/>
        <v>0.14435335276967928</v>
      </c>
      <c r="I141" s="558">
        <f t="shared" si="7"/>
        <v>0</v>
      </c>
      <c r="J141" s="427">
        <f t="shared" si="12"/>
        <v>0</v>
      </c>
      <c r="K141" s="426">
        <f t="shared" si="8"/>
        <v>55108.718880222244</v>
      </c>
      <c r="L141" s="434">
        <f t="shared" si="13"/>
        <v>5.5108718880222243E-2</v>
      </c>
    </row>
    <row r="142" spans="1:12">
      <c r="A142" s="151" t="s">
        <v>239</v>
      </c>
      <c r="B142" s="161">
        <f>B140/32*136</f>
        <v>4294.5122448979591</v>
      </c>
      <c r="C142" s="235">
        <v>0</v>
      </c>
      <c r="D142" s="235">
        <f>D140/32*136</f>
        <v>4294.5122448979591</v>
      </c>
      <c r="E142" s="119">
        <f t="shared" si="9"/>
        <v>21000</v>
      </c>
      <c r="F142" s="441">
        <f t="shared" si="10"/>
        <v>55008</v>
      </c>
      <c r="G142" s="444">
        <f t="shared" si="6"/>
        <v>204500.58309037899</v>
      </c>
      <c r="H142" s="555">
        <f t="shared" si="11"/>
        <v>0.204500583090379</v>
      </c>
      <c r="I142" s="558">
        <f t="shared" si="7"/>
        <v>0</v>
      </c>
      <c r="J142" s="427">
        <f t="shared" si="12"/>
        <v>0</v>
      </c>
      <c r="K142" s="426">
        <f t="shared" si="8"/>
        <v>78070.685080314855</v>
      </c>
      <c r="L142" s="434">
        <f t="shared" si="13"/>
        <v>7.8070685080314853E-2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10.529262776259667</v>
      </c>
      <c r="D143" s="236">
        <f>F80</f>
        <v>17.706737223740333</v>
      </c>
      <c r="E143" s="135">
        <f t="shared" si="9"/>
        <v>21000</v>
      </c>
      <c r="F143" s="442">
        <f t="shared" si="10"/>
        <v>55008</v>
      </c>
      <c r="G143" s="445">
        <f t="shared" si="6"/>
        <v>1344.5714285714287</v>
      </c>
      <c r="H143" s="556">
        <f t="shared" si="11"/>
        <v>1.3445714285714287E-3</v>
      </c>
      <c r="I143" s="559">
        <f t="shared" si="7"/>
        <v>191.41329945207366</v>
      </c>
      <c r="J143" s="438">
        <f t="shared" si="12"/>
        <v>1.9141329945207366E-4</v>
      </c>
      <c r="K143" s="437">
        <f t="shared" si="8"/>
        <v>321.89385587078846</v>
      </c>
      <c r="L143" s="439">
        <f t="shared" si="13"/>
        <v>3.2189385587078848E-4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55008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42313.846153846149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111</v>
      </c>
      <c r="B159" s="278" t="s">
        <v>110</v>
      </c>
      <c r="C159" s="289">
        <f>C157*C158</f>
        <v>846.27692307692303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863.77678492572716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2409.2434759016687</v>
      </c>
    </row>
    <row r="167" spans="1:3" hidden="1">
      <c r="A167" s="257" t="s">
        <v>57</v>
      </c>
      <c r="B167" s="278" t="s">
        <v>35</v>
      </c>
      <c r="C167" s="279">
        <f>C165-C166</f>
        <v>9590.7565240983313</v>
      </c>
    </row>
    <row r="168" spans="1:3" hidden="1">
      <c r="A168" s="257" t="s">
        <v>114</v>
      </c>
      <c r="B168" s="278" t="s">
        <v>35</v>
      </c>
      <c r="C168" s="279">
        <f>$C$88+$C$161</f>
        <v>55871.776784925729</v>
      </c>
    </row>
    <row r="169" spans="1:3" hidden="1">
      <c r="A169" s="299" t="s">
        <v>59</v>
      </c>
      <c r="B169" s="260" t="s">
        <v>24</v>
      </c>
      <c r="C169" s="300">
        <f>C167/C168</f>
        <v>0.17165655141087136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2400</v>
      </c>
    </row>
    <row r="172" spans="1:3" hidden="1">
      <c r="A172" s="257" t="s">
        <v>33</v>
      </c>
      <c r="B172" s="278" t="s">
        <v>35</v>
      </c>
      <c r="C172" s="295">
        <f>$C$30</f>
        <v>6600.0000000000009</v>
      </c>
    </row>
    <row r="173" spans="1:3" hidden="1">
      <c r="A173" s="257" t="s">
        <v>87</v>
      </c>
      <c r="B173" s="278" t="s">
        <v>35</v>
      </c>
      <c r="C173" s="295">
        <f>SUM($E$66:$E$80)</f>
        <v>2409.2434759016687</v>
      </c>
    </row>
    <row r="174" spans="1:3" hidden="1">
      <c r="A174" s="257" t="s">
        <v>113</v>
      </c>
      <c r="B174" s="278" t="s">
        <v>35</v>
      </c>
      <c r="C174" s="295">
        <f>$C$161</f>
        <v>863.77678492572716</v>
      </c>
    </row>
    <row r="175" spans="1:3" hidden="1">
      <c r="A175" s="257" t="s">
        <v>60</v>
      </c>
      <c r="B175" s="278" t="s">
        <v>35</v>
      </c>
      <c r="C175" s="279">
        <f>C170+C171+C172+C173+C174</f>
        <v>46281.020260827398</v>
      </c>
    </row>
    <row r="176" spans="1:3" hidden="1">
      <c r="A176" s="257" t="s">
        <v>114</v>
      </c>
      <c r="B176" s="278" t="s">
        <v>35</v>
      </c>
      <c r="C176" s="279">
        <f>$C$88+$C$161</f>
        <v>55871.776784925729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0.82834344858912867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12000</v>
      </c>
    </row>
    <row r="182" spans="1:3" hidden="1">
      <c r="A182" s="282" t="s">
        <v>32</v>
      </c>
      <c r="B182" s="288" t="s">
        <v>35</v>
      </c>
      <c r="C182" s="295">
        <f>$C$25</f>
        <v>2400</v>
      </c>
    </row>
    <row r="183" spans="1:3" hidden="1">
      <c r="A183" s="282" t="s">
        <v>33</v>
      </c>
      <c r="B183" s="288" t="s">
        <v>35</v>
      </c>
      <c r="C183" s="295">
        <f>$C$30</f>
        <v>6600.0000000000009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863.77678492572716</v>
      </c>
    </row>
    <row r="186" spans="1:3" hidden="1">
      <c r="A186" s="282" t="s">
        <v>116</v>
      </c>
      <c r="B186" s="288" t="s">
        <v>35</v>
      </c>
      <c r="C186" s="295">
        <f>C185*C184</f>
        <v>43.188839246286364</v>
      </c>
    </row>
    <row r="187" spans="1:3" hidden="1">
      <c r="A187" s="282" t="s">
        <v>430</v>
      </c>
      <c r="B187" s="288" t="s">
        <v>35</v>
      </c>
      <c r="C187" s="279">
        <f>C181+C182+C183+C186</f>
        <v>21043.188839246286</v>
      </c>
    </row>
    <row r="188" spans="1:3" hidden="1">
      <c r="A188" s="282" t="s">
        <v>114</v>
      </c>
      <c r="B188" s="288" t="s">
        <v>35</v>
      </c>
      <c r="C188" s="279">
        <f>$C$88+$C$161</f>
        <v>55871.776784925729</v>
      </c>
    </row>
    <row r="189" spans="1:3" hidden="1">
      <c r="A189" s="310" t="s">
        <v>64</v>
      </c>
      <c r="B189" s="283" t="s">
        <v>24</v>
      </c>
      <c r="C189" s="300">
        <f>C187/C188</f>
        <v>0.37663360734437507</v>
      </c>
    </row>
    <row r="190" spans="1:3" hidden="1">
      <c r="A190" s="282" t="s">
        <v>34</v>
      </c>
      <c r="B190" s="288" t="s">
        <v>35</v>
      </c>
      <c r="C190" s="279">
        <f>$C$24</f>
        <v>34008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863.77678492572716</v>
      </c>
    </row>
    <row r="193" spans="1:3" hidden="1">
      <c r="A193" s="282" t="s">
        <v>118</v>
      </c>
      <c r="B193" s="81" t="s">
        <v>35</v>
      </c>
      <c r="C193" s="84">
        <f>C191*C192</f>
        <v>820.58794567944074</v>
      </c>
    </row>
    <row r="194" spans="1:3" hidden="1">
      <c r="A194" s="282" t="s">
        <v>65</v>
      </c>
      <c r="B194" s="81" t="s">
        <v>35</v>
      </c>
      <c r="C194" s="84">
        <f>C190+C193</f>
        <v>34828.587945679443</v>
      </c>
    </row>
    <row r="195" spans="1:3" hidden="1">
      <c r="A195" s="282" t="s">
        <v>114</v>
      </c>
      <c r="B195" s="81" t="s">
        <v>35</v>
      </c>
      <c r="C195" s="84">
        <f>$C$88+$C$161</f>
        <v>55871.776784925729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0.62336639265562499</v>
      </c>
    </row>
    <row r="197" spans="1:3" hidden="1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68">
        <v>2</v>
      </c>
      <c r="C199" s="1069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5">
        <v>0.15</v>
      </c>
    </row>
    <row r="205" spans="1:3">
      <c r="A205" s="232" t="s">
        <v>72</v>
      </c>
      <c r="B205" s="704" t="s">
        <v>160</v>
      </c>
      <c r="C205" s="705">
        <v>0.15</v>
      </c>
    </row>
    <row r="206" spans="1:3">
      <c r="A206" s="232" t="s">
        <v>78</v>
      </c>
      <c r="B206" s="704" t="s">
        <v>160</v>
      </c>
      <c r="C206" s="705">
        <v>0.15</v>
      </c>
    </row>
    <row r="207" spans="1:3">
      <c r="A207" s="232" t="s">
        <v>80</v>
      </c>
      <c r="B207" s="704" t="s">
        <v>160</v>
      </c>
      <c r="C207" s="705">
        <v>0.15</v>
      </c>
    </row>
    <row r="208" spans="1:3">
      <c r="A208" s="232" t="s">
        <v>83</v>
      </c>
      <c r="B208" s="704" t="s">
        <v>160</v>
      </c>
      <c r="C208" s="705">
        <v>0.15</v>
      </c>
    </row>
    <row r="209" spans="1:4">
      <c r="A209" s="232" t="s">
        <v>79</v>
      </c>
      <c r="B209" s="704" t="s">
        <v>160</v>
      </c>
      <c r="C209" s="705">
        <v>0.15</v>
      </c>
    </row>
    <row r="210" spans="1:4">
      <c r="A210" s="232" t="s">
        <v>75</v>
      </c>
      <c r="B210" s="704" t="s">
        <v>322</v>
      </c>
      <c r="C210" s="707">
        <v>0.1</v>
      </c>
    </row>
    <row r="211" spans="1:4" ht="14.65" thickBot="1">
      <c r="A211" s="233" t="s">
        <v>84</v>
      </c>
      <c r="B211" s="708" t="s">
        <v>323</v>
      </c>
      <c r="C211" s="709">
        <v>0.1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0.15</v>
      </c>
      <c r="C216" s="428">
        <f>E66</f>
        <v>289.79432334701602</v>
      </c>
      <c r="D216" s="122">
        <f>C216*B216</f>
        <v>43.469148502052398</v>
      </c>
    </row>
    <row r="217" spans="1:4">
      <c r="A217" s="185" t="s">
        <v>73</v>
      </c>
      <c r="B217" s="352">
        <f>C202</f>
        <v>0.9</v>
      </c>
      <c r="C217" s="235">
        <f>E67</f>
        <v>0.28459309992772924</v>
      </c>
      <c r="D217" s="87">
        <f>C217*B217</f>
        <v>0.25613378993495634</v>
      </c>
    </row>
    <row r="218" spans="1:4">
      <c r="A218" s="185" t="s">
        <v>75</v>
      </c>
      <c r="B218" s="400">
        <f>C210</f>
        <v>0.1</v>
      </c>
      <c r="C218" s="235">
        <f>E69</f>
        <v>3.9699845505553391E-4</v>
      </c>
      <c r="D218" s="739">
        <f t="shared" ref="D218:D234" si="14">C218*B218</f>
        <v>3.9699845505553395E-5</v>
      </c>
    </row>
    <row r="219" spans="1:4">
      <c r="A219" s="186" t="s">
        <v>77</v>
      </c>
      <c r="B219" s="352">
        <f>C201</f>
        <v>0.99</v>
      </c>
      <c r="C219" s="235">
        <f>E71</f>
        <v>1.7100073055854821</v>
      </c>
      <c r="D219" s="87">
        <f t="shared" si="14"/>
        <v>1.6929072325296273</v>
      </c>
    </row>
    <row r="220" spans="1:4">
      <c r="A220" s="186" t="s">
        <v>78</v>
      </c>
      <c r="B220" s="400">
        <f>C206</f>
        <v>0.15</v>
      </c>
      <c r="C220" s="235">
        <f>E72</f>
        <v>578.60487664468894</v>
      </c>
      <c r="D220" s="87">
        <f t="shared" si="14"/>
        <v>86.790731496703344</v>
      </c>
    </row>
    <row r="221" spans="1:4">
      <c r="A221" s="186" t="s">
        <v>79</v>
      </c>
      <c r="B221" s="400">
        <f>C209</f>
        <v>0.15</v>
      </c>
      <c r="C221" s="235">
        <f>E73</f>
        <v>74.380479602129114</v>
      </c>
      <c r="D221" s="87">
        <f t="shared" si="14"/>
        <v>11.157071940319367</v>
      </c>
    </row>
    <row r="222" spans="1:4">
      <c r="A222" s="186" t="s">
        <v>80</v>
      </c>
      <c r="B222" s="400">
        <f>C207</f>
        <v>0.15</v>
      </c>
      <c r="C222" s="235">
        <f>E74</f>
        <v>113.21921266598306</v>
      </c>
      <c r="D222" s="87">
        <f t="shared" si="14"/>
        <v>16.98288189989746</v>
      </c>
    </row>
    <row r="223" spans="1:4">
      <c r="A223" s="186" t="s">
        <v>82</v>
      </c>
      <c r="B223" s="400">
        <f>C204</f>
        <v>0.15</v>
      </c>
      <c r="C223" s="235">
        <f>E76</f>
        <v>0.54330655842909081</v>
      </c>
      <c r="D223" s="87">
        <f t="shared" si="14"/>
        <v>8.1495983764363622E-2</v>
      </c>
    </row>
    <row r="224" spans="1:4">
      <c r="A224" s="186" t="s">
        <v>213</v>
      </c>
      <c r="B224" s="400">
        <f>C208</f>
        <v>0.15</v>
      </c>
      <c r="C224" s="235">
        <f>E77</f>
        <v>784.06072473865356</v>
      </c>
      <c r="D224" s="87">
        <f t="shared" si="14"/>
        <v>117.60910871079803</v>
      </c>
    </row>
    <row r="225" spans="1:4">
      <c r="A225" s="406" t="s">
        <v>96</v>
      </c>
      <c r="B225" s="400">
        <f>C208</f>
        <v>0.15</v>
      </c>
      <c r="C225" s="235">
        <f>B135</f>
        <v>2087.7551020408168</v>
      </c>
      <c r="D225" s="87">
        <f t="shared" si="14"/>
        <v>313.16326530612253</v>
      </c>
    </row>
    <row r="226" spans="1:4">
      <c r="A226" s="406" t="s">
        <v>274</v>
      </c>
      <c r="B226" s="400">
        <f>C208</f>
        <v>0.15</v>
      </c>
      <c r="C226" s="235">
        <f>C224+C225</f>
        <v>2871.8158267794706</v>
      </c>
      <c r="D226" s="87">
        <f t="shared" si="14"/>
        <v>430.77237401692059</v>
      </c>
    </row>
    <row r="227" spans="1:4">
      <c r="A227" s="406" t="s">
        <v>84</v>
      </c>
      <c r="B227" s="400">
        <f>C211</f>
        <v>0.1</v>
      </c>
      <c r="C227" s="235">
        <f>E78</f>
        <v>0.313370514471838</v>
      </c>
      <c r="D227" s="87">
        <f t="shared" si="14"/>
        <v>3.1337051447183802E-2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4"/>
        <v>226.8</v>
      </c>
    </row>
    <row r="229" spans="1:4">
      <c r="A229" s="186" t="s">
        <v>250</v>
      </c>
      <c r="B229" s="396">
        <v>1</v>
      </c>
      <c r="C229" s="235">
        <f>B139</f>
        <v>783.67346938775506</v>
      </c>
      <c r="D229" s="87">
        <f t="shared" si="14"/>
        <v>783.67346938775506</v>
      </c>
    </row>
    <row r="230" spans="1:4">
      <c r="A230" s="186" t="s">
        <v>251</v>
      </c>
      <c r="B230" s="397">
        <v>1</v>
      </c>
      <c r="C230" s="573">
        <f>C228+C229</f>
        <v>1010.4734693877551</v>
      </c>
      <c r="D230" s="87">
        <f>C230*B230</f>
        <v>1010.4734693877551</v>
      </c>
    </row>
    <row r="231" spans="1:4">
      <c r="A231" s="406" t="s">
        <v>238</v>
      </c>
      <c r="B231" s="397">
        <v>1</v>
      </c>
      <c r="C231" s="573">
        <f>C230/32*96</f>
        <v>3031.4204081632652</v>
      </c>
      <c r="D231" s="87">
        <f>C231*B231</f>
        <v>3031.4204081632652</v>
      </c>
    </row>
    <row r="232" spans="1:4">
      <c r="A232" s="406" t="s">
        <v>239</v>
      </c>
      <c r="B232" s="397">
        <v>1</v>
      </c>
      <c r="C232" s="573">
        <f>C230/32*136</f>
        <v>4294.5122448979591</v>
      </c>
      <c r="D232" s="87">
        <f>C232*B232</f>
        <v>4294.5122448979591</v>
      </c>
    </row>
    <row r="233" spans="1:4">
      <c r="A233" s="406" t="s">
        <v>248</v>
      </c>
      <c r="B233" s="396">
        <v>1</v>
      </c>
      <c r="C233" s="235">
        <f>C161*B147*32/78</f>
        <v>17.71849815232261</v>
      </c>
      <c r="D233" s="87">
        <f>C233*B233</f>
        <v>17.71849815232261</v>
      </c>
    </row>
    <row r="234" spans="1:4" ht="14.65" thickBot="1">
      <c r="A234" s="187" t="s">
        <v>86</v>
      </c>
      <c r="B234" s="353">
        <f>C203</f>
        <v>0.95</v>
      </c>
      <c r="C234" s="236">
        <f>E80</f>
        <v>10.529262776259667</v>
      </c>
      <c r="D234" s="88">
        <f t="shared" si="14"/>
        <v>10.002799637446683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55008</v>
      </c>
    </row>
    <row r="239" spans="1:4">
      <c r="A239" s="281" t="s">
        <v>334</v>
      </c>
      <c r="B239" s="278" t="s">
        <v>35</v>
      </c>
      <c r="C239" s="289">
        <f>C161</f>
        <v>863.77678492572716</v>
      </c>
    </row>
    <row r="240" spans="1:4" ht="14.65" thickBot="1">
      <c r="A240" s="255" t="s">
        <v>6</v>
      </c>
      <c r="B240" s="271" t="s">
        <v>35</v>
      </c>
      <c r="C240" s="280">
        <f>C238+C239</f>
        <v>55871.776784925729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2409.2434759016687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863.77678492572716</v>
      </c>
    </row>
    <row r="248" spans="1:4" hidden="1">
      <c r="A248" s="287" t="s">
        <v>122</v>
      </c>
      <c r="B248" s="288" t="s">
        <v>35</v>
      </c>
      <c r="C248" s="289">
        <f>C247*C246</f>
        <v>43.188839246286364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10396.607385256839</v>
      </c>
    </row>
    <row r="250" spans="1:4" hidden="1">
      <c r="A250" s="282" t="s">
        <v>57</v>
      </c>
      <c r="B250" s="288" t="s">
        <v>35</v>
      </c>
      <c r="C250" s="279">
        <f>C244-C245+C248+C249</f>
        <v>20030.552748601454</v>
      </c>
    </row>
    <row r="251" spans="1:4" hidden="1">
      <c r="A251" s="282" t="s">
        <v>6</v>
      </c>
      <c r="B251" s="288" t="s">
        <v>35</v>
      </c>
      <c r="C251" s="289">
        <f>$C$240</f>
        <v>55871.776784925729</v>
      </c>
    </row>
    <row r="252" spans="1:4" hidden="1">
      <c r="A252" s="310" t="s">
        <v>59</v>
      </c>
      <c r="B252" s="283" t="s">
        <v>24</v>
      </c>
      <c r="C252" s="300">
        <f>C250/C251</f>
        <v>0.35850932082771569</v>
      </c>
    </row>
    <row r="253" spans="1:4" hidden="1">
      <c r="A253" s="282" t="s">
        <v>32</v>
      </c>
      <c r="B253" s="288" t="s">
        <v>35</v>
      </c>
      <c r="C253" s="279">
        <f>$C$25</f>
        <v>2400</v>
      </c>
    </row>
    <row r="254" spans="1:4" hidden="1">
      <c r="A254" s="282" t="s">
        <v>33</v>
      </c>
      <c r="B254" s="288" t="s">
        <v>35</v>
      </c>
      <c r="C254" s="279">
        <f>$C$30</f>
        <v>6600.0000000000009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2409.2434759016687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863.77678492572716</v>
      </c>
    </row>
    <row r="259" spans="1:4" hidden="1">
      <c r="A259" s="287" t="s">
        <v>123</v>
      </c>
      <c r="B259" s="288" t="s">
        <v>35</v>
      </c>
      <c r="C259" s="289">
        <f>C239*C257</f>
        <v>820.58794567944074</v>
      </c>
    </row>
    <row r="260" spans="1:4" hidden="1">
      <c r="A260" s="282" t="s">
        <v>121</v>
      </c>
      <c r="B260" s="288" t="s">
        <v>35</v>
      </c>
      <c r="C260" s="295">
        <f>SUM($D$216:$D$234)</f>
        <v>10396.607385256839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55871.776784925729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2400</v>
      </c>
      <c r="D268" s="99"/>
    </row>
    <row r="269" spans="1:4">
      <c r="A269" s="282" t="s">
        <v>428</v>
      </c>
      <c r="B269" s="288" t="s">
        <v>35</v>
      </c>
      <c r="C269" s="295">
        <f>C30</f>
        <v>6600.0000000000009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863.77678492572716</v>
      </c>
      <c r="D271" s="99"/>
    </row>
    <row r="272" spans="1:4">
      <c r="A272" s="282" t="s">
        <v>429</v>
      </c>
      <c r="B272" s="288" t="s">
        <v>35</v>
      </c>
      <c r="C272" s="295">
        <f>C271*C270</f>
        <v>43.188839246286364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21043.188839246286</v>
      </c>
      <c r="D273" s="99"/>
    </row>
    <row r="274" spans="1:12">
      <c r="A274" s="282" t="s">
        <v>6</v>
      </c>
      <c r="B274" s="288" t="s">
        <v>35</v>
      </c>
      <c r="C274" s="289">
        <f>C240</f>
        <v>55871.776784925729</v>
      </c>
    </row>
    <row r="275" spans="1:12">
      <c r="A275" s="310" t="s">
        <v>64</v>
      </c>
      <c r="B275" s="283" t="s">
        <v>24</v>
      </c>
      <c r="C275" s="300">
        <f>C273/C274</f>
        <v>0.37663360734437507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863.77678492572716</v>
      </c>
    </row>
    <row r="279" spans="1:12">
      <c r="A279" s="282" t="s">
        <v>356</v>
      </c>
      <c r="B279" s="288" t="s">
        <v>35</v>
      </c>
      <c r="C279" s="279">
        <f>C277*C278</f>
        <v>820.58794567944074</v>
      </c>
    </row>
    <row r="280" spans="1:12">
      <c r="A280" s="282" t="s">
        <v>335</v>
      </c>
      <c r="B280" s="288" t="s">
        <v>35</v>
      </c>
      <c r="C280" s="279">
        <f>C276+C279</f>
        <v>34828.587945679443</v>
      </c>
    </row>
    <row r="281" spans="1:12">
      <c r="A281" s="282" t="s">
        <v>6</v>
      </c>
      <c r="B281" s="288" t="s">
        <v>35</v>
      </c>
      <c r="C281" s="289">
        <f>C240</f>
        <v>55871.776784925729</v>
      </c>
    </row>
    <row r="282" spans="1:12" ht="14.65" thickBot="1">
      <c r="A282" s="311" t="s">
        <v>66</v>
      </c>
      <c r="B282" s="284" t="s">
        <v>24</v>
      </c>
      <c r="C282" s="303">
        <f>C280/C281</f>
        <v>0.62336639265562499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246.32517484496358</v>
      </c>
      <c r="D289" s="428">
        <f>D123+D216</f>
        <v>221.69882515503642</v>
      </c>
      <c r="E289" s="160">
        <f>$C$273</f>
        <v>21043.188839246286</v>
      </c>
      <c r="F289" s="429">
        <f>$C$240</f>
        <v>55871.776784925729</v>
      </c>
      <c r="G289" s="404">
        <f t="shared" ref="G289:G308" si="15">B289/E289*1000000</f>
        <v>22241.115810694948</v>
      </c>
      <c r="H289" s="560">
        <f>G289/1000000</f>
        <v>2.2241115810694947E-2</v>
      </c>
      <c r="I289" s="557">
        <f>C289/F289*1000000</f>
        <v>4408.7585722067533</v>
      </c>
      <c r="J289" s="430">
        <f>I289/1000000</f>
        <v>4.4087585722067529E-3</v>
      </c>
      <c r="K289" s="431">
        <f>D289/F289*1000000</f>
        <v>3967.9931069392987</v>
      </c>
      <c r="L289" s="433">
        <f>K289/1000000</f>
        <v>3.967993106939299E-3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6">B290-D290</f>
        <v>2.8459309992772908E-2</v>
      </c>
      <c r="D290" s="235">
        <f>D124+D217</f>
        <v>0.3147406900072271</v>
      </c>
      <c r="E290" s="119">
        <f t="shared" ref="E290:E310" si="17">$C$273</f>
        <v>21043.188839246286</v>
      </c>
      <c r="F290" s="424">
        <f t="shared" ref="F290:F310" si="18">$C$240</f>
        <v>55871.776784925729</v>
      </c>
      <c r="G290" s="395">
        <f t="shared" si="15"/>
        <v>16.309315219370173</v>
      </c>
      <c r="H290" s="561">
        <f t="shared" ref="H290:H310" si="19">G290/1000000</f>
        <v>1.6309315219370174E-5</v>
      </c>
      <c r="I290" s="558">
        <f t="shared" ref="I290:I310" si="20">C290/F290*1000000</f>
        <v>0.50936826480970732</v>
      </c>
      <c r="J290" s="425">
        <f t="shared" ref="J290:J310" si="21">I290/1000000</f>
        <v>5.0936826480970729E-7</v>
      </c>
      <c r="K290" s="426">
        <f t="shared" ref="K290:K310" si="22">D290/F290*1000000</f>
        <v>5.6332679595781983</v>
      </c>
      <c r="L290" s="434">
        <f t="shared" ref="L290:L310" si="23">K290/1000000</f>
        <v>5.6332679595781985E-6</v>
      </c>
    </row>
    <row r="291" spans="1:12">
      <c r="A291" s="149" t="s">
        <v>74</v>
      </c>
      <c r="B291" s="161">
        <f t="shared" ref="B291:B305" si="24">B125</f>
        <v>1908</v>
      </c>
      <c r="C291" s="424">
        <f t="shared" si="16"/>
        <v>478.37219712488445</v>
      </c>
      <c r="D291" s="235">
        <f>D125</f>
        <v>1429.6278028751155</v>
      </c>
      <c r="E291" s="119">
        <f t="shared" si="17"/>
        <v>21043.188839246286</v>
      </c>
      <c r="F291" s="424">
        <f t="shared" si="18"/>
        <v>55871.776784925729</v>
      </c>
      <c r="G291" s="395">
        <f t="shared" si="15"/>
        <v>90670.668527267742</v>
      </c>
      <c r="H291" s="561">
        <f t="shared" si="19"/>
        <v>9.0670668527267739E-2</v>
      </c>
      <c r="I291" s="558">
        <f t="shared" si="20"/>
        <v>8561.9649965015924</v>
      </c>
      <c r="J291" s="425">
        <f t="shared" si="21"/>
        <v>8.5619649965015931E-3</v>
      </c>
      <c r="K291" s="426">
        <f t="shared" si="22"/>
        <v>25587.655971249351</v>
      </c>
      <c r="L291" s="434">
        <f t="shared" si="23"/>
        <v>2.5587655971249349E-2</v>
      </c>
    </row>
    <row r="292" spans="1:12">
      <c r="A292" s="149" t="s">
        <v>75</v>
      </c>
      <c r="B292" s="161">
        <f t="shared" si="24"/>
        <v>4.2000000000000003E-2</v>
      </c>
      <c r="C292" s="424">
        <f t="shared" si="16"/>
        <v>3.5729860954997889E-4</v>
      </c>
      <c r="D292" s="235">
        <f>D218+D126</f>
        <v>4.1642701390450024E-2</v>
      </c>
      <c r="E292" s="119">
        <f t="shared" si="17"/>
        <v>21043.188839246286</v>
      </c>
      <c r="F292" s="424">
        <f t="shared" si="18"/>
        <v>55871.776784925729</v>
      </c>
      <c r="G292" s="395">
        <f t="shared" si="15"/>
        <v>1.9958952191536923</v>
      </c>
      <c r="H292" s="561">
        <f t="shared" si="19"/>
        <v>1.9958952191536924E-6</v>
      </c>
      <c r="I292" s="558">
        <f t="shared" si="20"/>
        <v>6.3949748891175134E-3</v>
      </c>
      <c r="J292" s="425">
        <f t="shared" si="21"/>
        <v>6.3949748891175132E-9</v>
      </c>
      <c r="K292" s="426">
        <f t="shared" si="22"/>
        <v>0.74532624138212966</v>
      </c>
      <c r="L292" s="434">
        <f t="shared" si="23"/>
        <v>7.4532624138212969E-7</v>
      </c>
    </row>
    <row r="293" spans="1:12">
      <c r="A293" s="149" t="s">
        <v>76</v>
      </c>
      <c r="B293" s="161">
        <f t="shared" si="24"/>
        <v>1.6319999999999999</v>
      </c>
      <c r="C293" s="424">
        <f t="shared" si="16"/>
        <v>0.57445446857278615</v>
      </c>
      <c r="D293" s="235">
        <f>D127</f>
        <v>1.0575455314272137</v>
      </c>
      <c r="E293" s="119">
        <f t="shared" si="17"/>
        <v>21043.188839246286</v>
      </c>
      <c r="F293" s="424">
        <f t="shared" si="18"/>
        <v>55871.776784925729</v>
      </c>
      <c r="G293" s="395">
        <f t="shared" si="15"/>
        <v>77.554785658543466</v>
      </c>
      <c r="H293" s="561">
        <f t="shared" si="19"/>
        <v>7.7554785658543468E-5</v>
      </c>
      <c r="I293" s="558">
        <f t="shared" si="20"/>
        <v>10.281657423999709</v>
      </c>
      <c r="J293" s="425">
        <f t="shared" si="21"/>
        <v>1.0281657423999709E-5</v>
      </c>
      <c r="K293" s="426">
        <f t="shared" si="22"/>
        <v>18.928081265397324</v>
      </c>
      <c r="L293" s="434">
        <f t="shared" si="23"/>
        <v>1.8928081265397324E-5</v>
      </c>
    </row>
    <row r="294" spans="1:12">
      <c r="A294" s="150" t="s">
        <v>77</v>
      </c>
      <c r="B294" s="161">
        <f t="shared" si="24"/>
        <v>7.8719999999999999</v>
      </c>
      <c r="C294" s="424">
        <f t="shared" si="16"/>
        <v>1.7100073055854814E-2</v>
      </c>
      <c r="D294" s="235">
        <f>D128+D219</f>
        <v>7.8548999269441451</v>
      </c>
      <c r="E294" s="119">
        <f t="shared" si="17"/>
        <v>21043.188839246286</v>
      </c>
      <c r="F294" s="424">
        <f t="shared" si="18"/>
        <v>55871.776784925729</v>
      </c>
      <c r="G294" s="395">
        <f t="shared" si="15"/>
        <v>374.08778964709205</v>
      </c>
      <c r="H294" s="561">
        <f t="shared" si="19"/>
        <v>3.7408778964709207E-4</v>
      </c>
      <c r="I294" s="558">
        <f t="shared" si="20"/>
        <v>0.30605923133034202</v>
      </c>
      <c r="J294" s="425">
        <f t="shared" si="21"/>
        <v>3.0605923133034199E-7</v>
      </c>
      <c r="K294" s="426">
        <f t="shared" si="22"/>
        <v>140.58797444693769</v>
      </c>
      <c r="L294" s="434">
        <f t="shared" si="23"/>
        <v>1.4058797444693771E-4</v>
      </c>
    </row>
    <row r="295" spans="1:12">
      <c r="A295" s="150" t="s">
        <v>78</v>
      </c>
      <c r="B295" s="161">
        <f t="shared" si="24"/>
        <v>1050.924</v>
      </c>
      <c r="C295" s="424">
        <f t="shared" si="16"/>
        <v>491.81414514798553</v>
      </c>
      <c r="D295" s="235">
        <f>D129+D220</f>
        <v>559.10985485201445</v>
      </c>
      <c r="E295" s="119">
        <f t="shared" si="17"/>
        <v>21043.188839246286</v>
      </c>
      <c r="F295" s="424">
        <f t="shared" si="18"/>
        <v>55871.776784925729</v>
      </c>
      <c r="G295" s="395">
        <f t="shared" si="15"/>
        <v>49941.290173663685</v>
      </c>
      <c r="H295" s="561">
        <f t="shared" si="19"/>
        <v>4.9941290173663687E-2</v>
      </c>
      <c r="I295" s="558">
        <f t="shared" si="20"/>
        <v>8802.550651667796</v>
      </c>
      <c r="J295" s="425">
        <f t="shared" si="21"/>
        <v>8.8025506516677954E-3</v>
      </c>
      <c r="K295" s="426">
        <f t="shared" si="22"/>
        <v>10007.017621871351</v>
      </c>
      <c r="L295" s="434">
        <f t="shared" si="23"/>
        <v>1.0007017621871351E-2</v>
      </c>
    </row>
    <row r="296" spans="1:12">
      <c r="A296" s="150" t="s">
        <v>79</v>
      </c>
      <c r="B296" s="161">
        <f t="shared" si="24"/>
        <v>98.76</v>
      </c>
      <c r="C296" s="424">
        <f t="shared" si="16"/>
        <v>63.223407661809738</v>
      </c>
      <c r="D296" s="235">
        <f>D130+D221</f>
        <v>35.536592338190268</v>
      </c>
      <c r="E296" s="119">
        <f t="shared" si="17"/>
        <v>21043.188839246286</v>
      </c>
      <c r="F296" s="424">
        <f t="shared" si="18"/>
        <v>55871.776784925729</v>
      </c>
      <c r="G296" s="395">
        <f t="shared" si="15"/>
        <v>4693.205043895683</v>
      </c>
      <c r="H296" s="561">
        <f t="shared" si="19"/>
        <v>4.6932050438956829E-3</v>
      </c>
      <c r="I296" s="558">
        <f t="shared" si="20"/>
        <v>1131.5804024844881</v>
      </c>
      <c r="J296" s="425">
        <f t="shared" si="21"/>
        <v>1.1315804024844881E-3</v>
      </c>
      <c r="K296" s="426">
        <f t="shared" si="22"/>
        <v>636.0383432047588</v>
      </c>
      <c r="L296" s="434">
        <f t="shared" si="23"/>
        <v>6.3603834320475879E-4</v>
      </c>
    </row>
    <row r="297" spans="1:12">
      <c r="A297" s="150" t="s">
        <v>80</v>
      </c>
      <c r="B297" s="161">
        <f t="shared" si="24"/>
        <v>154.80000000000001</v>
      </c>
      <c r="C297" s="424">
        <f t="shared" si="16"/>
        <v>96.236330766085601</v>
      </c>
      <c r="D297" s="235">
        <f>D131+D222</f>
        <v>58.56366923391441</v>
      </c>
      <c r="E297" s="119">
        <f t="shared" si="17"/>
        <v>21043.188839246286</v>
      </c>
      <c r="F297" s="424">
        <f t="shared" si="18"/>
        <v>55871.776784925729</v>
      </c>
      <c r="G297" s="395">
        <f t="shared" si="15"/>
        <v>7356.2995220236098</v>
      </c>
      <c r="H297" s="561">
        <f t="shared" si="19"/>
        <v>7.3562995220236094E-3</v>
      </c>
      <c r="I297" s="558">
        <f t="shared" si="20"/>
        <v>1722.4498003086646</v>
      </c>
      <c r="J297" s="425">
        <f t="shared" si="21"/>
        <v>1.7224498003086646E-3</v>
      </c>
      <c r="K297" s="426">
        <f t="shared" si="22"/>
        <v>1048.1798253767895</v>
      </c>
      <c r="L297" s="434">
        <f t="shared" si="23"/>
        <v>1.0481798253767895E-3</v>
      </c>
    </row>
    <row r="298" spans="1:12">
      <c r="A298" s="150" t="s">
        <v>81</v>
      </c>
      <c r="B298" s="161">
        <f t="shared" si="24"/>
        <v>97.2</v>
      </c>
      <c r="C298" s="424">
        <f t="shared" si="16"/>
        <v>76.856270056612061</v>
      </c>
      <c r="D298" s="235">
        <f>D132</f>
        <v>20.343729943387938</v>
      </c>
      <c r="E298" s="119">
        <f t="shared" si="17"/>
        <v>21043.188839246286</v>
      </c>
      <c r="F298" s="424">
        <f t="shared" si="18"/>
        <v>55871.776784925729</v>
      </c>
      <c r="G298" s="395">
        <f t="shared" si="15"/>
        <v>4619.071792898545</v>
      </c>
      <c r="H298" s="561">
        <f t="shared" si="19"/>
        <v>4.6190717928985452E-3</v>
      </c>
      <c r="I298" s="558">
        <f t="shared" si="20"/>
        <v>1375.5830667863775</v>
      </c>
      <c r="J298" s="425">
        <f t="shared" si="21"/>
        <v>1.3755830667863775E-3</v>
      </c>
      <c r="K298" s="426">
        <f t="shared" si="22"/>
        <v>364.1146051556517</v>
      </c>
      <c r="L298" s="434">
        <f t="shared" si="23"/>
        <v>3.6411460515565168E-4</v>
      </c>
    </row>
    <row r="299" spans="1:12">
      <c r="A299" s="150" t="s">
        <v>82</v>
      </c>
      <c r="B299" s="161">
        <f t="shared" si="24"/>
        <v>1.5</v>
      </c>
      <c r="C299" s="424">
        <f t="shared" si="16"/>
        <v>0.46181057466472719</v>
      </c>
      <c r="D299" s="235">
        <f>D133+D223</f>
        <v>1.0381894253352728</v>
      </c>
      <c r="E299" s="119">
        <f t="shared" si="17"/>
        <v>21043.188839246286</v>
      </c>
      <c r="F299" s="424">
        <f t="shared" si="18"/>
        <v>55871.776784925729</v>
      </c>
      <c r="G299" s="395">
        <f t="shared" si="15"/>
        <v>71.281972112631877</v>
      </c>
      <c r="H299" s="561">
        <f t="shared" si="19"/>
        <v>7.1281972112631871E-5</v>
      </c>
      <c r="I299" s="558">
        <f t="shared" si="20"/>
        <v>8.2655430208069589</v>
      </c>
      <c r="J299" s="425">
        <f t="shared" si="21"/>
        <v>8.2655430208069595E-6</v>
      </c>
      <c r="K299" s="426">
        <f t="shared" si="22"/>
        <v>18.581643274594725</v>
      </c>
      <c r="L299" s="434">
        <f t="shared" si="23"/>
        <v>1.8581643274594725E-5</v>
      </c>
    </row>
    <row r="300" spans="1:12">
      <c r="A300" s="150" t="s">
        <v>213</v>
      </c>
      <c r="B300" s="161">
        <f t="shared" si="24"/>
        <v>979.41600000000005</v>
      </c>
      <c r="C300" s="424">
        <f t="shared" si="16"/>
        <v>666.45161602785549</v>
      </c>
      <c r="D300" s="235">
        <f>D134+D224</f>
        <v>312.96438397214456</v>
      </c>
      <c r="E300" s="119">
        <f t="shared" si="17"/>
        <v>21043.188839246286</v>
      </c>
      <c r="F300" s="424">
        <f t="shared" si="18"/>
        <v>55871.776784925729</v>
      </c>
      <c r="G300" s="395">
        <f t="shared" si="15"/>
        <v>46543.135999110309</v>
      </c>
      <c r="H300" s="561">
        <f t="shared" si="19"/>
        <v>4.6543135999110308E-2</v>
      </c>
      <c r="I300" s="558">
        <f t="shared" si="20"/>
        <v>11928.233794914231</v>
      </c>
      <c r="J300" s="425">
        <f t="shared" si="21"/>
        <v>1.1928233794914232E-2</v>
      </c>
      <c r="K300" s="426">
        <f t="shared" si="22"/>
        <v>5601.4754135505273</v>
      </c>
      <c r="L300" s="434">
        <f t="shared" si="23"/>
        <v>5.601475413550527E-3</v>
      </c>
    </row>
    <row r="301" spans="1:12">
      <c r="A301" s="150" t="s">
        <v>96</v>
      </c>
      <c r="B301" s="161">
        <f t="shared" si="24"/>
        <v>2087.7551020408168</v>
      </c>
      <c r="C301" s="424">
        <f t="shared" si="16"/>
        <v>1774.5918367346944</v>
      </c>
      <c r="D301" s="235">
        <f>D135+D225</f>
        <v>313.16326530612253</v>
      </c>
      <c r="E301" s="119">
        <f t="shared" si="17"/>
        <v>21043.188839246286</v>
      </c>
      <c r="F301" s="424">
        <f t="shared" si="18"/>
        <v>55871.776784925729</v>
      </c>
      <c r="G301" s="395">
        <f t="shared" si="15"/>
        <v>99212.867307785607</v>
      </c>
      <c r="H301" s="561">
        <f t="shared" si="19"/>
        <v>9.9212867307785613E-2</v>
      </c>
      <c r="I301" s="558">
        <f t="shared" si="20"/>
        <v>31761.865092743592</v>
      </c>
      <c r="J301" s="425">
        <f t="shared" si="21"/>
        <v>3.1761865092743591E-2</v>
      </c>
      <c r="K301" s="426">
        <f t="shared" si="22"/>
        <v>5605.0350163665162</v>
      </c>
      <c r="L301" s="434">
        <f t="shared" si="23"/>
        <v>5.6050350163665162E-3</v>
      </c>
    </row>
    <row r="302" spans="1:12">
      <c r="A302" s="150" t="s">
        <v>97</v>
      </c>
      <c r="B302" s="161">
        <f t="shared" si="24"/>
        <v>3067.171102040817</v>
      </c>
      <c r="C302" s="424">
        <f t="shared" si="16"/>
        <v>2441.0434527625498</v>
      </c>
      <c r="D302" s="235">
        <f>D136+D226</f>
        <v>626.12764927826709</v>
      </c>
      <c r="E302" s="119">
        <f t="shared" si="17"/>
        <v>21043.188839246286</v>
      </c>
      <c r="F302" s="424">
        <f t="shared" si="18"/>
        <v>55871.776784925729</v>
      </c>
      <c r="G302" s="395">
        <f t="shared" si="15"/>
        <v>145756.00330689593</v>
      </c>
      <c r="H302" s="561">
        <f t="shared" si="19"/>
        <v>0.14575600330689592</v>
      </c>
      <c r="I302" s="558">
        <f t="shared" si="20"/>
        <v>43690.098887657827</v>
      </c>
      <c r="J302" s="425">
        <f t="shared" si="21"/>
        <v>4.3690098887657826E-2</v>
      </c>
      <c r="K302" s="426">
        <f t="shared" si="22"/>
        <v>11206.510429917042</v>
      </c>
      <c r="L302" s="434">
        <f t="shared" si="23"/>
        <v>1.1206510429917042E-2</v>
      </c>
    </row>
    <row r="303" spans="1:12">
      <c r="A303" s="150" t="s">
        <v>84</v>
      </c>
      <c r="B303" s="161">
        <f t="shared" si="24"/>
        <v>1.488</v>
      </c>
      <c r="C303" s="424">
        <f t="shared" si="16"/>
        <v>0.28203346302465415</v>
      </c>
      <c r="D303" s="235">
        <f>D227+D137</f>
        <v>1.2059665369753458</v>
      </c>
      <c r="E303" s="119">
        <f t="shared" si="17"/>
        <v>21043.188839246286</v>
      </c>
      <c r="F303" s="424">
        <f t="shared" si="18"/>
        <v>55871.776784925729</v>
      </c>
      <c r="G303" s="395">
        <f t="shared" si="15"/>
        <v>70.711716335730813</v>
      </c>
      <c r="H303" s="561">
        <f t="shared" si="19"/>
        <v>7.0711716335730812E-5</v>
      </c>
      <c r="I303" s="558">
        <f t="shared" si="20"/>
        <v>5.047869948906782</v>
      </c>
      <c r="J303" s="425">
        <f t="shared" si="21"/>
        <v>5.047869948906782E-6</v>
      </c>
      <c r="K303" s="426">
        <f t="shared" si="22"/>
        <v>21.584538856131687</v>
      </c>
      <c r="L303" s="434">
        <f t="shared" si="23"/>
        <v>2.1584538856131687E-5</v>
      </c>
    </row>
    <row r="304" spans="1:12">
      <c r="A304" s="150" t="s">
        <v>249</v>
      </c>
      <c r="B304" s="161">
        <f t="shared" si="24"/>
        <v>226.8</v>
      </c>
      <c r="C304" s="424">
        <f t="shared" si="16"/>
        <v>0</v>
      </c>
      <c r="D304" s="235">
        <f t="shared" ref="D304:D309" si="25">D228</f>
        <v>226.8</v>
      </c>
      <c r="E304" s="119">
        <f t="shared" si="17"/>
        <v>21043.188839246286</v>
      </c>
      <c r="F304" s="424">
        <f t="shared" si="18"/>
        <v>55871.776784925729</v>
      </c>
      <c r="G304" s="395">
        <f t="shared" si="15"/>
        <v>10777.834183429939</v>
      </c>
      <c r="H304" s="561">
        <f t="shared" si="19"/>
        <v>1.077783418342994E-2</v>
      </c>
      <c r="I304" s="558">
        <f t="shared" si="20"/>
        <v>0</v>
      </c>
      <c r="J304" s="425">
        <f t="shared" si="21"/>
        <v>0</v>
      </c>
      <c r="K304" s="426">
        <f t="shared" si="22"/>
        <v>4059.2945678647352</v>
      </c>
      <c r="L304" s="434">
        <f t="shared" si="23"/>
        <v>4.059294567864735E-3</v>
      </c>
    </row>
    <row r="305" spans="1:12">
      <c r="A305" s="150" t="s">
        <v>250</v>
      </c>
      <c r="B305" s="161">
        <f t="shared" si="24"/>
        <v>783.67346938775506</v>
      </c>
      <c r="C305" s="424">
        <f t="shared" si="16"/>
        <v>0</v>
      </c>
      <c r="D305" s="235">
        <f t="shared" si="25"/>
        <v>783.67346938775506</v>
      </c>
      <c r="E305" s="119">
        <f t="shared" si="17"/>
        <v>21043.188839246286</v>
      </c>
      <c r="F305" s="424">
        <f t="shared" si="18"/>
        <v>55871.776784925729</v>
      </c>
      <c r="G305" s="395">
        <f t="shared" si="15"/>
        <v>37241.193593538279</v>
      </c>
      <c r="H305" s="561">
        <f t="shared" si="19"/>
        <v>3.724119359353828E-2</v>
      </c>
      <c r="I305" s="558">
        <f t="shared" si="20"/>
        <v>0</v>
      </c>
      <c r="J305" s="425">
        <f t="shared" si="21"/>
        <v>0</v>
      </c>
      <c r="K305" s="426">
        <f t="shared" si="22"/>
        <v>14026.285084944553</v>
      </c>
      <c r="L305" s="434">
        <f t="shared" si="23"/>
        <v>1.4026285084944553E-2</v>
      </c>
    </row>
    <row r="306" spans="1:12">
      <c r="A306" s="150" t="s">
        <v>251</v>
      </c>
      <c r="B306" s="161">
        <f>B304+B305</f>
        <v>1010.4734693877551</v>
      </c>
      <c r="C306" s="424">
        <f>B306-D306</f>
        <v>0</v>
      </c>
      <c r="D306" s="235">
        <f t="shared" si="25"/>
        <v>1010.4734693877551</v>
      </c>
      <c r="E306" s="119">
        <f t="shared" si="17"/>
        <v>21043.188839246286</v>
      </c>
      <c r="F306" s="424">
        <f t="shared" si="18"/>
        <v>55871.776784925729</v>
      </c>
      <c r="G306" s="395">
        <f t="shared" si="15"/>
        <v>48019.027776968222</v>
      </c>
      <c r="H306" s="561">
        <f t="shared" si="19"/>
        <v>4.8019027776968225E-2</v>
      </c>
      <c r="I306" s="558">
        <f>C306/F306*1000000</f>
        <v>0</v>
      </c>
      <c r="J306" s="425">
        <f>I306/1000000</f>
        <v>0</v>
      </c>
      <c r="K306" s="426">
        <f>D306/F306*1000000</f>
        <v>18085.579652809291</v>
      </c>
      <c r="L306" s="434">
        <f>K306/1000000</f>
        <v>1.808557965280929E-2</v>
      </c>
    </row>
    <row r="307" spans="1:12">
      <c r="A307" s="151" t="s">
        <v>238</v>
      </c>
      <c r="B307" s="161">
        <f>B306/32*96</f>
        <v>3031.4204081632652</v>
      </c>
      <c r="C307" s="424">
        <f>B307-D307</f>
        <v>0</v>
      </c>
      <c r="D307" s="235">
        <f t="shared" si="25"/>
        <v>3031.4204081632652</v>
      </c>
      <c r="E307" s="119">
        <f t="shared" si="17"/>
        <v>21043.188839246286</v>
      </c>
      <c r="F307" s="424">
        <f t="shared" si="18"/>
        <v>55871.776784925729</v>
      </c>
      <c r="G307" s="395">
        <f t="shared" si="15"/>
        <v>144057.08333090466</v>
      </c>
      <c r="H307" s="561">
        <f t="shared" si="19"/>
        <v>0.14405708333090467</v>
      </c>
      <c r="I307" s="558">
        <f>C307/F307*1000000</f>
        <v>0</v>
      </c>
      <c r="J307" s="425">
        <f>I307/1000000</f>
        <v>0</v>
      </c>
      <c r="K307" s="426">
        <f>D307/F307*1000000</f>
        <v>54256.738958427864</v>
      </c>
      <c r="L307" s="434">
        <f>K307/1000000</f>
        <v>5.4256738958427864E-2</v>
      </c>
    </row>
    <row r="308" spans="1:12">
      <c r="A308" s="151" t="s">
        <v>239</v>
      </c>
      <c r="B308" s="161">
        <f>B306/32*136</f>
        <v>4294.5122448979591</v>
      </c>
      <c r="C308" s="424">
        <f>B308-D308</f>
        <v>0</v>
      </c>
      <c r="D308" s="235">
        <f t="shared" si="25"/>
        <v>4294.5122448979591</v>
      </c>
      <c r="E308" s="119">
        <f t="shared" si="17"/>
        <v>21043.188839246286</v>
      </c>
      <c r="F308" s="424">
        <f t="shared" si="18"/>
        <v>55871.776784925729</v>
      </c>
      <c r="G308" s="395">
        <f t="shared" si="15"/>
        <v>204080.86805211494</v>
      </c>
      <c r="H308" s="561">
        <f t="shared" si="19"/>
        <v>0.20408086805211495</v>
      </c>
      <c r="I308" s="558">
        <f>C308/F308*1000000</f>
        <v>0</v>
      </c>
      <c r="J308" s="425">
        <f>I308/1000000</f>
        <v>0</v>
      </c>
      <c r="K308" s="426">
        <f>D308/F308*1000000</f>
        <v>76863.713524439474</v>
      </c>
      <c r="L308" s="434">
        <f>K308/1000000</f>
        <v>7.6863713524439478E-2</v>
      </c>
    </row>
    <row r="309" spans="1:12">
      <c r="A309" s="151" t="s">
        <v>248</v>
      </c>
      <c r="B309" s="161">
        <f>C233</f>
        <v>17.71849815232261</v>
      </c>
      <c r="C309" s="424">
        <f>B309-D309</f>
        <v>0</v>
      </c>
      <c r="D309" s="235">
        <f t="shared" si="25"/>
        <v>17.71849815232261</v>
      </c>
      <c r="E309" s="119">
        <f t="shared" si="17"/>
        <v>21043.188839246286</v>
      </c>
      <c r="F309" s="424">
        <f t="shared" si="18"/>
        <v>55871.776784925729</v>
      </c>
      <c r="G309" s="395">
        <f>B309/E309*1000000</f>
        <v>842.00632744771974</v>
      </c>
      <c r="H309" s="561">
        <f t="shared" si="19"/>
        <v>8.4200632744771972E-4</v>
      </c>
      <c r="I309" s="558">
        <f>C309/F309*1000000</f>
        <v>0</v>
      </c>
      <c r="J309" s="425">
        <f>I309/1000000</f>
        <v>0</v>
      </c>
      <c r="K309" s="426">
        <f>D309/F309*1000000</f>
        <v>317.1278805134238</v>
      </c>
      <c r="L309" s="434">
        <f>K309/1000000</f>
        <v>3.1712788051342378E-4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6"/>
        <v>0.52646313881298212</v>
      </c>
      <c r="D310" s="236">
        <f>D143+D234</f>
        <v>27.709536861187019</v>
      </c>
      <c r="E310" s="135">
        <f t="shared" si="17"/>
        <v>21043.188839246286</v>
      </c>
      <c r="F310" s="435">
        <f t="shared" si="18"/>
        <v>55871.776784925729</v>
      </c>
      <c r="G310" s="405">
        <f>B310/E310*1000000</f>
        <v>1341.8118430481823</v>
      </c>
      <c r="H310" s="562">
        <f t="shared" si="19"/>
        <v>1.3418118430481823E-3</v>
      </c>
      <c r="I310" s="559">
        <f t="shared" si="20"/>
        <v>9.4227026435826993</v>
      </c>
      <c r="J310" s="436">
        <f t="shared" si="21"/>
        <v>9.4227026435826985E-6</v>
      </c>
      <c r="K310" s="437">
        <f t="shared" si="22"/>
        <v>495.94873218105857</v>
      </c>
      <c r="L310" s="439">
        <f t="shared" si="23"/>
        <v>4.9594873218105858E-4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0.66174991619175327</v>
      </c>
      <c r="B315" s="457">
        <v>0.33825008380824673</v>
      </c>
      <c r="C315" s="458">
        <v>0.43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55871.776784925729</v>
      </c>
    </row>
    <row r="320" spans="1:12">
      <c r="A320" s="415" t="s">
        <v>338</v>
      </c>
      <c r="B320" s="37" t="s">
        <v>52</v>
      </c>
      <c r="C320" s="631">
        <v>2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24000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2409.2434759016687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863.77678492572716</v>
      </c>
    </row>
    <row r="330" spans="1:3" hidden="1">
      <c r="A330" s="282" t="s">
        <v>116</v>
      </c>
      <c r="B330" s="288" t="s">
        <v>35</v>
      </c>
      <c r="C330" s="295">
        <f>C329*C328</f>
        <v>43.188839246286364</v>
      </c>
    </row>
    <row r="331" spans="1:3" hidden="1">
      <c r="A331" s="282" t="s">
        <v>121</v>
      </c>
      <c r="B331" s="288" t="s">
        <v>35</v>
      </c>
      <c r="C331" s="295">
        <f>SUM($D$216:$D$234)</f>
        <v>10396.607385256839</v>
      </c>
    </row>
    <row r="332" spans="1:3" hidden="1">
      <c r="A332" s="282" t="s">
        <v>57</v>
      </c>
      <c r="B332" s="288" t="s">
        <v>35</v>
      </c>
      <c r="C332" s="279">
        <f>C326-C327+C330+C331</f>
        <v>20030.552748601454</v>
      </c>
    </row>
    <row r="333" spans="1:3" hidden="1">
      <c r="A333" s="282" t="s">
        <v>128</v>
      </c>
      <c r="B333" s="288" t="s">
        <v>35</v>
      </c>
      <c r="C333" s="279">
        <f>$C$319+$C$322</f>
        <v>79871.776784925722</v>
      </c>
    </row>
    <row r="334" spans="1:3" hidden="1">
      <c r="A334" s="310" t="s">
        <v>59</v>
      </c>
      <c r="B334" s="283" t="s">
        <v>24</v>
      </c>
      <c r="C334" s="300">
        <f>C332/C333</f>
        <v>0.25078386327298829</v>
      </c>
    </row>
    <row r="335" spans="1:3" hidden="1">
      <c r="A335" s="282" t="s">
        <v>32</v>
      </c>
      <c r="B335" s="288" t="s">
        <v>35</v>
      </c>
      <c r="C335" s="279">
        <f>$C$25</f>
        <v>2400</v>
      </c>
    </row>
    <row r="336" spans="1:3" hidden="1">
      <c r="A336" s="282" t="s">
        <v>33</v>
      </c>
      <c r="B336" s="288" t="s">
        <v>35</v>
      </c>
      <c r="C336" s="279">
        <f>$C$30</f>
        <v>6600.0000000000009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2409.2434759016687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863.77678492572716</v>
      </c>
    </row>
    <row r="341" spans="1:3" hidden="1">
      <c r="A341" s="282" t="s">
        <v>118</v>
      </c>
      <c r="B341" s="288" t="s">
        <v>35</v>
      </c>
      <c r="C341" s="279">
        <f>C339*C340</f>
        <v>820.58794567944074</v>
      </c>
    </row>
    <row r="342" spans="1:3" hidden="1">
      <c r="A342" s="282" t="s">
        <v>37</v>
      </c>
      <c r="B342" s="288" t="s">
        <v>35</v>
      </c>
      <c r="C342" s="279">
        <f>$C$322</f>
        <v>24000</v>
      </c>
    </row>
    <row r="343" spans="1:3" hidden="1">
      <c r="A343" s="282" t="s">
        <v>121</v>
      </c>
      <c r="B343" s="288" t="s">
        <v>35</v>
      </c>
      <c r="C343" s="295">
        <f>SUM($D$216:$D$234)</f>
        <v>10396.607385256839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79871.776784925722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2400</v>
      </c>
    </row>
    <row r="352" spans="1:3" hidden="1">
      <c r="A352" s="282" t="s">
        <v>33</v>
      </c>
      <c r="B352" s="288" t="s">
        <v>35</v>
      </c>
      <c r="C352" s="295">
        <f>$C$30</f>
        <v>6600.0000000000009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863.77678492572716</v>
      </c>
    </row>
    <row r="355" spans="1:3" hidden="1">
      <c r="A355" s="282" t="s">
        <v>116</v>
      </c>
      <c r="B355" s="288" t="s">
        <v>35</v>
      </c>
      <c r="C355" s="295">
        <f>C354*C353</f>
        <v>43.188839246286364</v>
      </c>
    </row>
    <row r="356" spans="1:3" hidden="1">
      <c r="A356" s="282" t="s">
        <v>430</v>
      </c>
      <c r="B356" s="288" t="s">
        <v>35</v>
      </c>
      <c r="C356" s="279">
        <f>C350+C351+C352+C355</f>
        <v>21043.188839246286</v>
      </c>
    </row>
    <row r="357" spans="1:3" hidden="1">
      <c r="A357" s="282" t="s">
        <v>114</v>
      </c>
      <c r="B357" s="288" t="s">
        <v>35</v>
      </c>
      <c r="C357" s="279">
        <f>$C$319+$C$322</f>
        <v>79871.776784925722</v>
      </c>
    </row>
    <row r="358" spans="1:3" hidden="1">
      <c r="A358" s="310" t="s">
        <v>64</v>
      </c>
      <c r="B358" s="283" t="s">
        <v>24</v>
      </c>
      <c r="C358" s="300">
        <f>C356/C357</f>
        <v>0.263462135015604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863.77678492572716</v>
      </c>
    </row>
    <row r="362" spans="1:3" hidden="1">
      <c r="A362" s="282" t="s">
        <v>118</v>
      </c>
      <c r="B362" s="288" t="s">
        <v>35</v>
      </c>
      <c r="C362" s="279">
        <f>C360*C361</f>
        <v>820.58794567944074</v>
      </c>
    </row>
    <row r="363" spans="1:3" hidden="1">
      <c r="A363" s="282" t="s">
        <v>37</v>
      </c>
      <c r="B363" s="288" t="s">
        <v>35</v>
      </c>
      <c r="C363" s="279">
        <f>$C$322</f>
        <v>24000</v>
      </c>
    </row>
    <row r="364" spans="1:3" hidden="1">
      <c r="A364" s="282" t="s">
        <v>65</v>
      </c>
      <c r="B364" s="288" t="s">
        <v>35</v>
      </c>
      <c r="C364" s="279">
        <f>C359+C362+C363</f>
        <v>58828.587945679443</v>
      </c>
    </row>
    <row r="365" spans="1:3" hidden="1">
      <c r="A365" s="282" t="s">
        <v>114</v>
      </c>
      <c r="B365" s="288" t="s">
        <v>35</v>
      </c>
      <c r="C365" s="279">
        <f>$C$319+$C$322</f>
        <v>79871.776784925722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0.73653786498439611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55871.776784925729</v>
      </c>
    </row>
    <row r="371" spans="1:3">
      <c r="A371" s="257" t="s">
        <v>338</v>
      </c>
      <c r="B371" s="278" t="s">
        <v>35</v>
      </c>
      <c r="C371" s="279">
        <f>C322</f>
        <v>24000</v>
      </c>
    </row>
    <row r="372" spans="1:3">
      <c r="A372" s="257" t="s">
        <v>339</v>
      </c>
      <c r="B372" s="278" t="s">
        <v>35</v>
      </c>
      <c r="C372" s="279">
        <f>C370+C371</f>
        <v>79871.776784925722</v>
      </c>
    </row>
    <row r="373" spans="1:3">
      <c r="A373" s="257" t="s">
        <v>130</v>
      </c>
      <c r="B373" s="278" t="s">
        <v>24</v>
      </c>
      <c r="C373" s="314">
        <f>A315</f>
        <v>0.66174991619175327</v>
      </c>
    </row>
    <row r="374" spans="1:3">
      <c r="A374" s="253" t="s">
        <v>9</v>
      </c>
      <c r="B374" s="270" t="s">
        <v>35</v>
      </c>
      <c r="C374" s="254">
        <f>C372*C373</f>
        <v>52855.14159351102</v>
      </c>
    </row>
    <row r="375" spans="1:3">
      <c r="A375" s="257" t="s">
        <v>131</v>
      </c>
      <c r="B375" s="278" t="s">
        <v>24</v>
      </c>
      <c r="C375" s="314">
        <f>B315</f>
        <v>0.33825008380824673</v>
      </c>
    </row>
    <row r="376" spans="1:3">
      <c r="A376" s="253" t="s">
        <v>11</v>
      </c>
      <c r="B376" s="270" t="s">
        <v>35</v>
      </c>
      <c r="C376" s="322">
        <f>C372*C375</f>
        <v>27016.635191414702</v>
      </c>
    </row>
    <row r="377" spans="1:3">
      <c r="A377" s="281" t="s">
        <v>355</v>
      </c>
      <c r="B377" s="278" t="s">
        <v>24</v>
      </c>
      <c r="C377" s="318">
        <f>C315</f>
        <v>0.43</v>
      </c>
    </row>
    <row r="378" spans="1:3">
      <c r="A378" s="281" t="s">
        <v>421</v>
      </c>
      <c r="B378" s="278" t="s">
        <v>35</v>
      </c>
      <c r="C378" s="289">
        <f>C376*C377</f>
        <v>11617.153132308322</v>
      </c>
    </row>
    <row r="379" spans="1:3">
      <c r="A379" s="281" t="s">
        <v>132</v>
      </c>
      <c r="B379" s="278" t="s">
        <v>24</v>
      </c>
      <c r="C379" s="318">
        <f>1-C377</f>
        <v>0.57000000000000006</v>
      </c>
    </row>
    <row r="380" spans="1:3" ht="14.65" thickBot="1">
      <c r="A380" s="319" t="s">
        <v>340</v>
      </c>
      <c r="B380" s="320" t="s">
        <v>35</v>
      </c>
      <c r="C380" s="321">
        <f>C376*C379</f>
        <v>15399.482059106382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2400</v>
      </c>
    </row>
    <row r="386" spans="1:3">
      <c r="A386" s="257" t="s">
        <v>428</v>
      </c>
      <c r="B386" s="278" t="s">
        <v>35</v>
      </c>
      <c r="C386" s="295">
        <f>$C$30</f>
        <v>6600.0000000000009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863.77678492572716</v>
      </c>
    </row>
    <row r="389" spans="1:3">
      <c r="A389" s="257" t="s">
        <v>429</v>
      </c>
      <c r="B389" s="278" t="s">
        <v>35</v>
      </c>
      <c r="C389" s="295">
        <f>C388*C387</f>
        <v>43.188839246286364</v>
      </c>
    </row>
    <row r="390" spans="1:3">
      <c r="A390" s="281" t="s">
        <v>421</v>
      </c>
      <c r="B390" s="278" t="s">
        <v>35</v>
      </c>
      <c r="C390" s="289">
        <f>$C$378</f>
        <v>11617.153132308322</v>
      </c>
    </row>
    <row r="391" spans="1:3">
      <c r="A391" s="257" t="s">
        <v>341</v>
      </c>
      <c r="B391" s="278" t="s">
        <v>35</v>
      </c>
      <c r="C391" s="279">
        <f>C384+C385+C386+C389-C390</f>
        <v>9426.0357069379643</v>
      </c>
    </row>
    <row r="392" spans="1:3">
      <c r="A392" s="257" t="s">
        <v>9</v>
      </c>
      <c r="B392" s="278" t="s">
        <v>35</v>
      </c>
      <c r="C392" s="279">
        <f>$C$374</f>
        <v>52855.14159351102</v>
      </c>
    </row>
    <row r="393" spans="1:3">
      <c r="A393" s="299" t="s">
        <v>64</v>
      </c>
      <c r="B393" s="260" t="s">
        <v>24</v>
      </c>
      <c r="C393" s="300">
        <f>C391/C392</f>
        <v>0.17833715742226278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863.77678492572716</v>
      </c>
    </row>
    <row r="397" spans="1:3">
      <c r="A397" s="257" t="s">
        <v>356</v>
      </c>
      <c r="B397" s="278" t="s">
        <v>35</v>
      </c>
      <c r="C397" s="279">
        <f>C395*C396</f>
        <v>820.58794567944074</v>
      </c>
    </row>
    <row r="398" spans="1:3">
      <c r="A398" s="257" t="s">
        <v>338</v>
      </c>
      <c r="B398" s="278" t="s">
        <v>35</v>
      </c>
      <c r="C398" s="279">
        <f>$C$322</f>
        <v>24000</v>
      </c>
    </row>
    <row r="399" spans="1:3">
      <c r="A399" s="281" t="s">
        <v>340</v>
      </c>
      <c r="B399" s="278" t="s">
        <v>35</v>
      </c>
      <c r="C399" s="289">
        <f>$C$380</f>
        <v>15399.482059106382</v>
      </c>
    </row>
    <row r="400" spans="1:3">
      <c r="A400" s="257" t="s">
        <v>342</v>
      </c>
      <c r="B400" s="278" t="s">
        <v>35</v>
      </c>
      <c r="C400" s="279">
        <f>C394+C397+C398-C399</f>
        <v>43429.105886573059</v>
      </c>
    </row>
    <row r="401" spans="1:8">
      <c r="A401" s="257" t="s">
        <v>9</v>
      </c>
      <c r="B401" s="278" t="s">
        <v>35</v>
      </c>
      <c r="C401" s="279">
        <f>$C$374</f>
        <v>52855.14159351102</v>
      </c>
    </row>
    <row r="402" spans="1:8" ht="14.65" thickBot="1">
      <c r="A402" s="301" t="s">
        <v>66</v>
      </c>
      <c r="B402" s="277" t="s">
        <v>24</v>
      </c>
      <c r="C402" s="303">
        <f>C400/C401</f>
        <v>0.82166284257773725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246.32517484496358</v>
      </c>
      <c r="C408" s="160">
        <f>$C$391</f>
        <v>9426.0357069379643</v>
      </c>
      <c r="D408" s="467">
        <f>$C$374</f>
        <v>52855.14159351102</v>
      </c>
      <c r="E408" s="465">
        <f>B408/C408*1000000</f>
        <v>26132.425391053606</v>
      </c>
      <c r="F408" s="560">
        <f>E408/1000000</f>
        <v>2.6132425391053607E-2</v>
      </c>
      <c r="G408" s="443">
        <f>B408/D408*1000000</f>
        <v>4660.3824607898641</v>
      </c>
      <c r="H408" s="460">
        <f>G408/1000000</f>
        <v>4.660382460789864E-3</v>
      </c>
    </row>
    <row r="409" spans="1:8">
      <c r="A409" s="112" t="s">
        <v>73</v>
      </c>
      <c r="B409" s="461">
        <f>C290</f>
        <v>2.8459309992772908E-2</v>
      </c>
      <c r="C409" s="119">
        <f t="shared" ref="C409:C429" si="26">$C$391</f>
        <v>9426.0357069379643</v>
      </c>
      <c r="D409" s="468">
        <f t="shared" ref="D409:D429" si="27">$C$374</f>
        <v>52855.14159351102</v>
      </c>
      <c r="E409" s="331">
        <f t="shared" ref="E409:E429" si="28">B409/C409*1000000</f>
        <v>3.019223656433387</v>
      </c>
      <c r="F409" s="561">
        <f t="shared" ref="F409:F429" si="29">E409/1000000</f>
        <v>3.019223656433387E-6</v>
      </c>
      <c r="G409" s="444">
        <f t="shared" ref="G409:G429" si="30">B409/D409*1000000</f>
        <v>0.53843976451038078</v>
      </c>
      <c r="H409" s="462">
        <f t="shared" ref="H409:H429" si="31">G409/1000000</f>
        <v>5.384397645103808E-7</v>
      </c>
    </row>
    <row r="410" spans="1:8">
      <c r="A410" s="112" t="s">
        <v>74</v>
      </c>
      <c r="B410" s="461">
        <f t="shared" ref="B410:B412" si="32">C291</f>
        <v>478.37219712488445</v>
      </c>
      <c r="C410" s="119">
        <f t="shared" si="26"/>
        <v>9426.0357069379643</v>
      </c>
      <c r="D410" s="468">
        <f t="shared" si="27"/>
        <v>52855.14159351102</v>
      </c>
      <c r="E410" s="331">
        <f t="shared" si="28"/>
        <v>50750.093888651638</v>
      </c>
      <c r="F410" s="561">
        <f t="shared" si="29"/>
        <v>5.0750093888651635E-2</v>
      </c>
      <c r="G410" s="444">
        <f t="shared" si="30"/>
        <v>9050.6274830150833</v>
      </c>
      <c r="H410" s="462">
        <f t="shared" si="31"/>
        <v>9.0506274830150831E-3</v>
      </c>
    </row>
    <row r="411" spans="1:8">
      <c r="A411" s="112" t="s">
        <v>75</v>
      </c>
      <c r="B411" s="461">
        <f t="shared" si="32"/>
        <v>3.5729860954997889E-4</v>
      </c>
      <c r="C411" s="119">
        <f t="shared" si="26"/>
        <v>9426.0357069379643</v>
      </c>
      <c r="D411" s="468">
        <f t="shared" si="27"/>
        <v>52855.14159351102</v>
      </c>
      <c r="E411" s="331">
        <f t="shared" si="28"/>
        <v>3.7905501385592233E-2</v>
      </c>
      <c r="F411" s="561">
        <f t="shared" si="29"/>
        <v>3.7905501385592233E-8</v>
      </c>
      <c r="G411" s="444">
        <f t="shared" si="30"/>
        <v>6.7599593677721628E-3</v>
      </c>
      <c r="H411" s="462">
        <f t="shared" si="31"/>
        <v>6.7599593677721625E-9</v>
      </c>
    </row>
    <row r="412" spans="1:8">
      <c r="A412" s="112" t="s">
        <v>76</v>
      </c>
      <c r="B412" s="461">
        <f t="shared" si="32"/>
        <v>0.57445446857278615</v>
      </c>
      <c r="C412" s="119">
        <f t="shared" si="26"/>
        <v>9426.0357069379643</v>
      </c>
      <c r="D412" s="468">
        <f t="shared" si="27"/>
        <v>52855.14159351102</v>
      </c>
      <c r="E412" s="331">
        <f t="shared" si="28"/>
        <v>60.943379214017106</v>
      </c>
      <c r="F412" s="561">
        <f t="shared" si="29"/>
        <v>6.0943379214017103E-5</v>
      </c>
      <c r="G412" s="444">
        <f t="shared" si="30"/>
        <v>10.868469012734826</v>
      </c>
      <c r="H412" s="462">
        <f t="shared" si="31"/>
        <v>1.0868469012734827E-5</v>
      </c>
    </row>
    <row r="413" spans="1:8">
      <c r="A413" s="113" t="s">
        <v>77</v>
      </c>
      <c r="B413" s="461">
        <f>C294</f>
        <v>1.7100073055854814E-2</v>
      </c>
      <c r="C413" s="119">
        <f t="shared" si="26"/>
        <v>9426.0357069379643</v>
      </c>
      <c r="D413" s="468">
        <f t="shared" si="27"/>
        <v>52855.14159351102</v>
      </c>
      <c r="E413" s="331">
        <f t="shared" si="28"/>
        <v>1.8141320049603071</v>
      </c>
      <c r="F413" s="561">
        <f t="shared" si="29"/>
        <v>1.8141320049603071E-6</v>
      </c>
      <c r="G413" s="444">
        <f t="shared" si="30"/>
        <v>0.32352714495337148</v>
      </c>
      <c r="H413" s="462">
        <f t="shared" si="31"/>
        <v>3.2352714495337148E-7</v>
      </c>
    </row>
    <row r="414" spans="1:8">
      <c r="A414" s="113" t="s">
        <v>78</v>
      </c>
      <c r="B414" s="461">
        <f>C295</f>
        <v>491.81414514798553</v>
      </c>
      <c r="C414" s="119">
        <f t="shared" si="26"/>
        <v>9426.0357069379643</v>
      </c>
      <c r="D414" s="468">
        <f t="shared" si="27"/>
        <v>52855.14159351102</v>
      </c>
      <c r="E414" s="331">
        <f t="shared" si="28"/>
        <v>52176.13856331876</v>
      </c>
      <c r="F414" s="561">
        <f t="shared" si="29"/>
        <v>5.2176138563318764E-2</v>
      </c>
      <c r="G414" s="444">
        <f t="shared" si="30"/>
        <v>9304.9442366523745</v>
      </c>
      <c r="H414" s="462">
        <f t="shared" si="31"/>
        <v>9.3049442366523738E-3</v>
      </c>
    </row>
    <row r="415" spans="1:8">
      <c r="A415" s="113" t="s">
        <v>79</v>
      </c>
      <c r="B415" s="461">
        <f>C296</f>
        <v>63.223407661809738</v>
      </c>
      <c r="C415" s="119">
        <f t="shared" si="26"/>
        <v>9426.0357069379643</v>
      </c>
      <c r="D415" s="468">
        <f t="shared" si="27"/>
        <v>52855.14159351102</v>
      </c>
      <c r="E415" s="331">
        <f t="shared" si="28"/>
        <v>6707.3168007707218</v>
      </c>
      <c r="F415" s="561">
        <f t="shared" si="29"/>
        <v>6.7073168007707219E-3</v>
      </c>
      <c r="G415" s="444">
        <f t="shared" si="30"/>
        <v>1196.1638121800363</v>
      </c>
      <c r="H415" s="462">
        <f t="shared" si="31"/>
        <v>1.1961638121800362E-3</v>
      </c>
    </row>
    <row r="416" spans="1:8">
      <c r="A416" s="113" t="s">
        <v>80</v>
      </c>
      <c r="B416" s="461">
        <f>C297</f>
        <v>96.236330766085601</v>
      </c>
      <c r="C416" s="119">
        <f t="shared" si="26"/>
        <v>9426.0357069379643</v>
      </c>
      <c r="D416" s="468">
        <f t="shared" si="27"/>
        <v>52855.14159351102</v>
      </c>
      <c r="E416" s="331">
        <f t="shared" si="28"/>
        <v>10209.62934558497</v>
      </c>
      <c r="F416" s="561">
        <f t="shared" si="29"/>
        <v>1.020962934558497E-2</v>
      </c>
      <c r="G416" s="444">
        <f t="shared" si="30"/>
        <v>1820.7562758265403</v>
      </c>
      <c r="H416" s="462">
        <f t="shared" si="31"/>
        <v>1.8207562758265404E-3</v>
      </c>
    </row>
    <row r="417" spans="1:8">
      <c r="A417" s="113" t="s">
        <v>81</v>
      </c>
      <c r="B417" s="461">
        <f t="shared" ref="B417:B429" si="33">C298</f>
        <v>76.856270056612061</v>
      </c>
      <c r="C417" s="119">
        <f t="shared" si="26"/>
        <v>9426.0357069379643</v>
      </c>
      <c r="D417" s="468">
        <f t="shared" si="27"/>
        <v>52855.14159351102</v>
      </c>
      <c r="E417" s="331">
        <f t="shared" si="28"/>
        <v>8153.6154165045837</v>
      </c>
      <c r="F417" s="561">
        <f t="shared" si="29"/>
        <v>8.1536154165045838E-3</v>
      </c>
      <c r="G417" s="444">
        <f t="shared" si="30"/>
        <v>1454.0925960937666</v>
      </c>
      <c r="H417" s="462">
        <f t="shared" si="31"/>
        <v>1.4540925960937665E-3</v>
      </c>
    </row>
    <row r="418" spans="1:8">
      <c r="A418" s="113" t="s">
        <v>82</v>
      </c>
      <c r="B418" s="461">
        <f t="shared" si="33"/>
        <v>0.46181057466472719</v>
      </c>
      <c r="C418" s="119">
        <f t="shared" si="26"/>
        <v>9426.0357069379643</v>
      </c>
      <c r="D418" s="468">
        <f t="shared" si="27"/>
        <v>52855.14159351102</v>
      </c>
      <c r="E418" s="331">
        <f t="shared" si="28"/>
        <v>48.993085643078444</v>
      </c>
      <c r="F418" s="561">
        <f t="shared" si="29"/>
        <v>4.8993085643078441E-5</v>
      </c>
      <c r="G418" s="444">
        <f t="shared" si="30"/>
        <v>8.7372876269320852</v>
      </c>
      <c r="H418" s="462">
        <f t="shared" si="31"/>
        <v>8.7372876269320844E-6</v>
      </c>
    </row>
    <row r="419" spans="1:8">
      <c r="A419" s="113" t="s">
        <v>213</v>
      </c>
      <c r="B419" s="461">
        <f t="shared" si="33"/>
        <v>666.45161602785549</v>
      </c>
      <c r="C419" s="119">
        <f t="shared" si="26"/>
        <v>9426.0357069379643</v>
      </c>
      <c r="D419" s="468">
        <f t="shared" si="27"/>
        <v>52855.14159351102</v>
      </c>
      <c r="E419" s="331">
        <f t="shared" si="28"/>
        <v>70703.277257619411</v>
      </c>
      <c r="F419" s="561">
        <f t="shared" si="29"/>
        <v>7.0703277257619407E-2</v>
      </c>
      <c r="G419" s="444">
        <f t="shared" si="30"/>
        <v>12609.021486561966</v>
      </c>
      <c r="H419" s="462">
        <f t="shared" si="31"/>
        <v>1.2609021486561966E-2</v>
      </c>
    </row>
    <row r="420" spans="1:8">
      <c r="A420" s="113" t="s">
        <v>96</v>
      </c>
      <c r="B420" s="461">
        <f t="shared" si="33"/>
        <v>1774.5918367346944</v>
      </c>
      <c r="C420" s="119">
        <f t="shared" si="26"/>
        <v>9426.0357069379643</v>
      </c>
      <c r="D420" s="468">
        <f t="shared" si="27"/>
        <v>52855.14159351102</v>
      </c>
      <c r="E420" s="331">
        <f t="shared" si="28"/>
        <v>188264.91771387192</v>
      </c>
      <c r="F420" s="561">
        <f t="shared" si="29"/>
        <v>0.18826491771387194</v>
      </c>
      <c r="G420" s="444">
        <f t="shared" si="30"/>
        <v>33574.630267428132</v>
      </c>
      <c r="H420" s="462">
        <f t="shared" si="31"/>
        <v>3.3574630267428129E-2</v>
      </c>
    </row>
    <row r="421" spans="1:8">
      <c r="A421" s="113" t="s">
        <v>97</v>
      </c>
      <c r="B421" s="461">
        <f t="shared" si="33"/>
        <v>2441.0434527625498</v>
      </c>
      <c r="C421" s="119">
        <f t="shared" si="26"/>
        <v>9426.0357069379643</v>
      </c>
      <c r="D421" s="468">
        <f t="shared" si="27"/>
        <v>52855.14159351102</v>
      </c>
      <c r="E421" s="331">
        <f t="shared" si="28"/>
        <v>258968.19497149132</v>
      </c>
      <c r="F421" s="561">
        <f t="shared" si="29"/>
        <v>0.25896819497149132</v>
      </c>
      <c r="G421" s="444">
        <f t="shared" si="30"/>
        <v>46183.651753990089</v>
      </c>
      <c r="H421" s="462">
        <f t="shared" si="31"/>
        <v>4.6183651753990092E-2</v>
      </c>
    </row>
    <row r="422" spans="1:8">
      <c r="A422" s="113" t="s">
        <v>84</v>
      </c>
      <c r="B422" s="461">
        <f t="shared" si="33"/>
        <v>0.28203346302465415</v>
      </c>
      <c r="C422" s="119">
        <f t="shared" si="26"/>
        <v>9426.0357069379643</v>
      </c>
      <c r="D422" s="468">
        <f t="shared" si="27"/>
        <v>52855.14159351102</v>
      </c>
      <c r="E422" s="331">
        <f t="shared" si="28"/>
        <v>29.920686892482859</v>
      </c>
      <c r="F422" s="561">
        <f t="shared" si="29"/>
        <v>2.992068689248286E-5</v>
      </c>
      <c r="G422" s="444">
        <f t="shared" si="30"/>
        <v>5.3359702485269498</v>
      </c>
      <c r="H422" s="462">
        <f t="shared" si="31"/>
        <v>5.3359702485269501E-6</v>
      </c>
    </row>
    <row r="423" spans="1:8">
      <c r="A423" s="113" t="s">
        <v>249</v>
      </c>
      <c r="B423" s="461">
        <f t="shared" si="33"/>
        <v>0</v>
      </c>
      <c r="C423" s="119">
        <f t="shared" si="26"/>
        <v>9426.0357069379643</v>
      </c>
      <c r="D423" s="468">
        <f t="shared" si="27"/>
        <v>52855.14159351102</v>
      </c>
      <c r="E423" s="331">
        <f t="shared" si="28"/>
        <v>0</v>
      </c>
      <c r="F423" s="561">
        <f t="shared" si="29"/>
        <v>0</v>
      </c>
      <c r="G423" s="444">
        <f t="shared" si="30"/>
        <v>0</v>
      </c>
      <c r="H423" s="462">
        <f t="shared" si="31"/>
        <v>0</v>
      </c>
    </row>
    <row r="424" spans="1:8">
      <c r="A424" s="113" t="s">
        <v>250</v>
      </c>
      <c r="B424" s="461">
        <f t="shared" si="33"/>
        <v>0</v>
      </c>
      <c r="C424" s="119">
        <f t="shared" si="26"/>
        <v>9426.0357069379643</v>
      </c>
      <c r="D424" s="468">
        <f t="shared" si="27"/>
        <v>52855.14159351102</v>
      </c>
      <c r="E424" s="331">
        <f t="shared" si="28"/>
        <v>0</v>
      </c>
      <c r="F424" s="561">
        <f t="shared" si="29"/>
        <v>0</v>
      </c>
      <c r="G424" s="444">
        <f t="shared" si="30"/>
        <v>0</v>
      </c>
      <c r="H424" s="462">
        <f t="shared" si="31"/>
        <v>0</v>
      </c>
    </row>
    <row r="425" spans="1:8">
      <c r="A425" s="113" t="s">
        <v>251</v>
      </c>
      <c r="B425" s="461">
        <f t="shared" si="33"/>
        <v>0</v>
      </c>
      <c r="C425" s="119">
        <f t="shared" si="26"/>
        <v>9426.0357069379643</v>
      </c>
      <c r="D425" s="468">
        <f t="shared" si="27"/>
        <v>52855.14159351102</v>
      </c>
      <c r="E425" s="331">
        <f t="shared" si="28"/>
        <v>0</v>
      </c>
      <c r="F425" s="561">
        <f t="shared" si="29"/>
        <v>0</v>
      </c>
      <c r="G425" s="444">
        <f t="shared" si="30"/>
        <v>0</v>
      </c>
      <c r="H425" s="462">
        <f t="shared" si="31"/>
        <v>0</v>
      </c>
    </row>
    <row r="426" spans="1:8">
      <c r="A426" s="394" t="s">
        <v>238</v>
      </c>
      <c r="B426" s="461">
        <f t="shared" si="33"/>
        <v>0</v>
      </c>
      <c r="C426" s="119">
        <f t="shared" si="26"/>
        <v>9426.0357069379643</v>
      </c>
      <c r="D426" s="468">
        <f t="shared" si="27"/>
        <v>52855.14159351102</v>
      </c>
      <c r="E426" s="331">
        <f t="shared" si="28"/>
        <v>0</v>
      </c>
      <c r="F426" s="561">
        <f t="shared" si="29"/>
        <v>0</v>
      </c>
      <c r="G426" s="444">
        <f t="shared" si="30"/>
        <v>0</v>
      </c>
      <c r="H426" s="462">
        <f t="shared" si="31"/>
        <v>0</v>
      </c>
    </row>
    <row r="427" spans="1:8">
      <c r="A427" s="394" t="s">
        <v>239</v>
      </c>
      <c r="B427" s="461">
        <f t="shared" si="33"/>
        <v>0</v>
      </c>
      <c r="C427" s="119">
        <f t="shared" si="26"/>
        <v>9426.0357069379643</v>
      </c>
      <c r="D427" s="468">
        <f t="shared" si="27"/>
        <v>52855.14159351102</v>
      </c>
      <c r="E427" s="331">
        <f t="shared" si="28"/>
        <v>0</v>
      </c>
      <c r="F427" s="561">
        <f t="shared" si="29"/>
        <v>0</v>
      </c>
      <c r="G427" s="444">
        <f t="shared" si="30"/>
        <v>0</v>
      </c>
      <c r="H427" s="462">
        <f t="shared" si="31"/>
        <v>0</v>
      </c>
    </row>
    <row r="428" spans="1:8">
      <c r="A428" s="394" t="s">
        <v>248</v>
      </c>
      <c r="B428" s="461">
        <f t="shared" si="33"/>
        <v>0</v>
      </c>
      <c r="C428" s="119">
        <f t="shared" si="26"/>
        <v>9426.0357069379643</v>
      </c>
      <c r="D428" s="468">
        <f t="shared" si="27"/>
        <v>52855.14159351102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3"/>
        <v>0.52646313881298212</v>
      </c>
      <c r="C429" s="135">
        <f t="shared" si="26"/>
        <v>9426.0357069379643</v>
      </c>
      <c r="D429" s="469">
        <f t="shared" si="27"/>
        <v>52855.14159351102</v>
      </c>
      <c r="E429" s="466">
        <f t="shared" si="28"/>
        <v>55.852020423122603</v>
      </c>
      <c r="F429" s="562">
        <f t="shared" si="29"/>
        <v>5.5852020423122605E-5</v>
      </c>
      <c r="G429" s="445">
        <f t="shared" si="30"/>
        <v>9.9604905585498535</v>
      </c>
      <c r="H429" s="464">
        <f t="shared" si="31"/>
        <v>9.9604905585498527E-6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221.69882515503642</v>
      </c>
      <c r="C435" s="160">
        <f>$C$378</f>
        <v>11617.153132308322</v>
      </c>
      <c r="D435" s="440">
        <f>$C$376</f>
        <v>27016.635191414702</v>
      </c>
      <c r="E435" s="443">
        <f>B435/C435*1000000</f>
        <v>19083.748198039375</v>
      </c>
      <c r="F435" s="560">
        <f>E435/1000000</f>
        <v>1.9083748198039374E-2</v>
      </c>
      <c r="G435" s="443">
        <f>B435/D435*1000000</f>
        <v>8206.0117251569318</v>
      </c>
      <c r="H435" s="460">
        <f>G435/1000000</f>
        <v>8.2060117251569319E-3</v>
      </c>
    </row>
    <row r="436" spans="1:8">
      <c r="A436" s="112" t="s">
        <v>73</v>
      </c>
      <c r="B436" s="461">
        <f>D290</f>
        <v>0.3147406900072271</v>
      </c>
      <c r="C436" s="119">
        <f t="shared" ref="C436:C456" si="34">$C$378</f>
        <v>11617.153132308322</v>
      </c>
      <c r="D436" s="441">
        <f t="shared" ref="D436:D456" si="35">$C$376</f>
        <v>27016.635191414702</v>
      </c>
      <c r="E436" s="444">
        <f t="shared" ref="E436:E456" si="36">B436/C436*1000000</f>
        <v>27.092755550575092</v>
      </c>
      <c r="F436" s="561">
        <f t="shared" ref="F436:F456" si="37">E436/1000000</f>
        <v>2.7092755550575091E-5</v>
      </c>
      <c r="G436" s="444">
        <f t="shared" ref="G436:G456" si="38">B436/D436*1000000</f>
        <v>11.649884886747289</v>
      </c>
      <c r="H436" s="462">
        <f t="shared" ref="H436:H456" si="39">G436/1000000</f>
        <v>1.1649884886747289E-5</v>
      </c>
    </row>
    <row r="437" spans="1:8">
      <c r="A437" s="112" t="s">
        <v>74</v>
      </c>
      <c r="B437" s="461">
        <f t="shared" ref="B437:B456" si="40">D291</f>
        <v>1429.6278028751155</v>
      </c>
      <c r="C437" s="119">
        <f t="shared" si="34"/>
        <v>11617.153132308322</v>
      </c>
      <c r="D437" s="441">
        <f t="shared" si="35"/>
        <v>27016.635191414702</v>
      </c>
      <c r="E437" s="444">
        <f t="shared" si="36"/>
        <v>123061.80237042716</v>
      </c>
      <c r="F437" s="561">
        <f t="shared" si="37"/>
        <v>0.12306180237042716</v>
      </c>
      <c r="G437" s="444">
        <f t="shared" si="38"/>
        <v>52916.575019283679</v>
      </c>
      <c r="H437" s="462">
        <f t="shared" si="39"/>
        <v>5.2916575019283679E-2</v>
      </c>
    </row>
    <row r="438" spans="1:8">
      <c r="A438" s="112" t="s">
        <v>75</v>
      </c>
      <c r="B438" s="461">
        <f t="shared" si="40"/>
        <v>4.1642701390450024E-2</v>
      </c>
      <c r="C438" s="119">
        <f t="shared" si="34"/>
        <v>11617.153132308322</v>
      </c>
      <c r="D438" s="441">
        <f t="shared" si="35"/>
        <v>27016.635191414702</v>
      </c>
      <c r="E438" s="444">
        <f t="shared" si="36"/>
        <v>3.584587455823236</v>
      </c>
      <c r="F438" s="561">
        <f t="shared" si="37"/>
        <v>3.5845874558232358E-6</v>
      </c>
      <c r="G438" s="444">
        <f t="shared" si="38"/>
        <v>1.5413726060039916</v>
      </c>
      <c r="H438" s="462">
        <f t="shared" si="39"/>
        <v>1.5413726060039916E-6</v>
      </c>
    </row>
    <row r="439" spans="1:8">
      <c r="A439" s="112" t="s">
        <v>76</v>
      </c>
      <c r="B439" s="461">
        <f t="shared" si="40"/>
        <v>1.0575455314272137</v>
      </c>
      <c r="C439" s="119">
        <f t="shared" si="34"/>
        <v>11617.153132308322</v>
      </c>
      <c r="D439" s="441">
        <f t="shared" si="35"/>
        <v>27016.635191414702</v>
      </c>
      <c r="E439" s="444">
        <f t="shared" si="36"/>
        <v>91.03310590665167</v>
      </c>
      <c r="F439" s="561">
        <f t="shared" si="37"/>
        <v>9.1033105906651674E-5</v>
      </c>
      <c r="G439" s="444">
        <f t="shared" si="38"/>
        <v>39.144235539860226</v>
      </c>
      <c r="H439" s="462">
        <f t="shared" si="39"/>
        <v>3.9144235539860223E-5</v>
      </c>
    </row>
    <row r="440" spans="1:8">
      <c r="A440" s="113" t="s">
        <v>77</v>
      </c>
      <c r="B440" s="461">
        <f t="shared" si="40"/>
        <v>7.8548999269441451</v>
      </c>
      <c r="C440" s="119">
        <f t="shared" si="34"/>
        <v>11617.153132308322</v>
      </c>
      <c r="D440" s="441">
        <f t="shared" si="35"/>
        <v>27016.635191414702</v>
      </c>
      <c r="E440" s="444">
        <f t="shared" si="36"/>
        <v>676.14671490375554</v>
      </c>
      <c r="F440" s="561">
        <f t="shared" si="37"/>
        <v>6.7614671490375553E-4</v>
      </c>
      <c r="G440" s="444">
        <f t="shared" si="38"/>
        <v>290.74308740861483</v>
      </c>
      <c r="H440" s="462">
        <f t="shared" si="39"/>
        <v>2.9074308740861484E-4</v>
      </c>
    </row>
    <row r="441" spans="1:8">
      <c r="A441" s="113" t="s">
        <v>78</v>
      </c>
      <c r="B441" s="461">
        <f t="shared" si="40"/>
        <v>559.10985485201445</v>
      </c>
      <c r="C441" s="119">
        <f t="shared" si="34"/>
        <v>11617.153132308322</v>
      </c>
      <c r="D441" s="441">
        <f t="shared" si="35"/>
        <v>27016.635191414702</v>
      </c>
      <c r="E441" s="444">
        <f t="shared" si="36"/>
        <v>48127.957726328052</v>
      </c>
      <c r="F441" s="561">
        <f t="shared" si="37"/>
        <v>4.8127957726328052E-2</v>
      </c>
      <c r="G441" s="444">
        <f t="shared" si="38"/>
        <v>20695.021822321061</v>
      </c>
      <c r="H441" s="462">
        <f t="shared" si="39"/>
        <v>2.0695021822321063E-2</v>
      </c>
    </row>
    <row r="442" spans="1:8">
      <c r="A442" s="113" t="s">
        <v>79</v>
      </c>
      <c r="B442" s="461">
        <f t="shared" si="40"/>
        <v>35.536592338190268</v>
      </c>
      <c r="C442" s="119">
        <f t="shared" si="34"/>
        <v>11617.153132308322</v>
      </c>
      <c r="D442" s="441">
        <f t="shared" si="35"/>
        <v>27016.635191414702</v>
      </c>
      <c r="E442" s="444">
        <f t="shared" si="36"/>
        <v>3058.9759757371094</v>
      </c>
      <c r="F442" s="561">
        <f t="shared" si="37"/>
        <v>3.0589759757371094E-3</v>
      </c>
      <c r="G442" s="444">
        <f t="shared" si="38"/>
        <v>1315.3596695669571</v>
      </c>
      <c r="H442" s="462">
        <f t="shared" si="39"/>
        <v>1.3153596695669571E-3</v>
      </c>
    </row>
    <row r="443" spans="1:8">
      <c r="A443" s="113" t="s">
        <v>80</v>
      </c>
      <c r="B443" s="461">
        <f t="shared" si="40"/>
        <v>58.56366923391441</v>
      </c>
      <c r="C443" s="119">
        <f t="shared" si="34"/>
        <v>11617.153132308322</v>
      </c>
      <c r="D443" s="441">
        <f t="shared" si="35"/>
        <v>27016.635191414702</v>
      </c>
      <c r="E443" s="444">
        <f t="shared" si="36"/>
        <v>5041.1377526774359</v>
      </c>
      <c r="F443" s="561">
        <f t="shared" si="37"/>
        <v>5.0411377526774362E-3</v>
      </c>
      <c r="G443" s="444">
        <f t="shared" si="38"/>
        <v>2167.6892336512974</v>
      </c>
      <c r="H443" s="462">
        <f t="shared" si="39"/>
        <v>2.1676892336512975E-3</v>
      </c>
    </row>
    <row r="444" spans="1:8">
      <c r="A444" s="113" t="s">
        <v>81</v>
      </c>
      <c r="B444" s="461">
        <f t="shared" si="40"/>
        <v>20.343729943387938</v>
      </c>
      <c r="C444" s="119">
        <f t="shared" si="34"/>
        <v>11617.153132308322</v>
      </c>
      <c r="D444" s="441">
        <f t="shared" si="35"/>
        <v>27016.635191414702</v>
      </c>
      <c r="E444" s="444">
        <f t="shared" si="36"/>
        <v>1751.1803203153311</v>
      </c>
      <c r="F444" s="561">
        <f t="shared" si="37"/>
        <v>1.7511803203153311E-3</v>
      </c>
      <c r="G444" s="444">
        <f t="shared" si="38"/>
        <v>753.00753773559234</v>
      </c>
      <c r="H444" s="462">
        <f t="shared" si="39"/>
        <v>7.5300753773559236E-4</v>
      </c>
    </row>
    <row r="445" spans="1:8">
      <c r="A445" s="113" t="s">
        <v>82</v>
      </c>
      <c r="B445" s="461">
        <f t="shared" si="40"/>
        <v>1.0381894253352728</v>
      </c>
      <c r="C445" s="119">
        <f t="shared" si="34"/>
        <v>11617.153132308322</v>
      </c>
      <c r="D445" s="441">
        <f t="shared" si="35"/>
        <v>27016.635191414702</v>
      </c>
      <c r="E445" s="444">
        <f t="shared" si="36"/>
        <v>89.366939861365594</v>
      </c>
      <c r="F445" s="561">
        <f t="shared" si="37"/>
        <v>8.9366939861365598E-5</v>
      </c>
      <c r="G445" s="444">
        <f t="shared" si="38"/>
        <v>38.42778414038721</v>
      </c>
      <c r="H445" s="462">
        <f t="shared" si="39"/>
        <v>3.8427784140387208E-5</v>
      </c>
    </row>
    <row r="446" spans="1:8">
      <c r="A446" s="113" t="s">
        <v>213</v>
      </c>
      <c r="B446" s="461">
        <f t="shared" si="40"/>
        <v>312.96438397214456</v>
      </c>
      <c r="C446" s="119">
        <f t="shared" si="34"/>
        <v>11617.153132308322</v>
      </c>
      <c r="D446" s="441">
        <f t="shared" si="35"/>
        <v>27016.635191414702</v>
      </c>
      <c r="E446" s="444">
        <f t="shared" si="36"/>
        <v>26939.851821507214</v>
      </c>
      <c r="F446" s="561">
        <f t="shared" si="37"/>
        <v>2.6939851821507214E-2</v>
      </c>
      <c r="G446" s="444">
        <f t="shared" si="38"/>
        <v>11584.136283248103</v>
      </c>
      <c r="H446" s="462">
        <f t="shared" si="39"/>
        <v>1.1584136283248102E-2</v>
      </c>
    </row>
    <row r="447" spans="1:8">
      <c r="A447" s="113" t="s">
        <v>96</v>
      </c>
      <c r="B447" s="461">
        <f t="shared" si="40"/>
        <v>313.16326530612253</v>
      </c>
      <c r="C447" s="119">
        <f t="shared" si="34"/>
        <v>11617.153132308322</v>
      </c>
      <c r="D447" s="441">
        <f t="shared" si="35"/>
        <v>27016.635191414702</v>
      </c>
      <c r="E447" s="444">
        <f t="shared" si="36"/>
        <v>26956.971448985038</v>
      </c>
      <c r="F447" s="561">
        <f t="shared" si="37"/>
        <v>2.6956971448985036E-2</v>
      </c>
      <c r="G447" s="444">
        <f t="shared" si="38"/>
        <v>11591.497723063567</v>
      </c>
      <c r="H447" s="462">
        <f t="shared" si="39"/>
        <v>1.1591497723063567E-2</v>
      </c>
    </row>
    <row r="448" spans="1:8">
      <c r="A448" s="113" t="s">
        <v>97</v>
      </c>
      <c r="B448" s="461">
        <f t="shared" si="40"/>
        <v>626.12764927826709</v>
      </c>
      <c r="C448" s="119">
        <f t="shared" si="34"/>
        <v>11617.153132308322</v>
      </c>
      <c r="D448" s="441">
        <f t="shared" si="35"/>
        <v>27016.635191414702</v>
      </c>
      <c r="E448" s="444">
        <f t="shared" si="36"/>
        <v>53896.823270492248</v>
      </c>
      <c r="F448" s="561">
        <f t="shared" si="37"/>
        <v>5.389682327049225E-2</v>
      </c>
      <c r="G448" s="444">
        <f t="shared" si="38"/>
        <v>23175.634006311666</v>
      </c>
      <c r="H448" s="462">
        <f t="shared" si="39"/>
        <v>2.3175634006311667E-2</v>
      </c>
    </row>
    <row r="449" spans="1:8">
      <c r="A449" s="113" t="s">
        <v>84</v>
      </c>
      <c r="B449" s="461">
        <f t="shared" si="40"/>
        <v>1.2059665369753458</v>
      </c>
      <c r="C449" s="119">
        <f t="shared" si="34"/>
        <v>11617.153132308322</v>
      </c>
      <c r="D449" s="441">
        <f t="shared" si="35"/>
        <v>27016.635191414702</v>
      </c>
      <c r="E449" s="444">
        <f t="shared" si="36"/>
        <v>103.80912804028098</v>
      </c>
      <c r="F449" s="561">
        <f t="shared" si="37"/>
        <v>1.0380912804028098E-4</v>
      </c>
      <c r="G449" s="444">
        <f t="shared" si="38"/>
        <v>44.637925057320821</v>
      </c>
      <c r="H449" s="462">
        <f t="shared" si="39"/>
        <v>4.4637925057320824E-5</v>
      </c>
    </row>
    <row r="450" spans="1:8">
      <c r="A450" s="113" t="s">
        <v>249</v>
      </c>
      <c r="B450" s="461">
        <f t="shared" si="40"/>
        <v>226.8</v>
      </c>
      <c r="C450" s="119">
        <f t="shared" si="34"/>
        <v>11617.153132308322</v>
      </c>
      <c r="D450" s="441">
        <f t="shared" si="35"/>
        <v>27016.635191414702</v>
      </c>
      <c r="E450" s="444">
        <f t="shared" si="36"/>
        <v>19522.855334432094</v>
      </c>
      <c r="F450" s="561">
        <f t="shared" si="37"/>
        <v>1.9522855334432092E-2</v>
      </c>
      <c r="G450" s="444">
        <f t="shared" si="38"/>
        <v>8394.8277938058</v>
      </c>
      <c r="H450" s="462">
        <f t="shared" si="39"/>
        <v>8.3948277938057994E-3</v>
      </c>
    </row>
    <row r="451" spans="1:8">
      <c r="A451" s="113" t="s">
        <v>250</v>
      </c>
      <c r="B451" s="461">
        <f t="shared" si="40"/>
        <v>783.67346938775506</v>
      </c>
      <c r="C451" s="119">
        <f t="shared" si="34"/>
        <v>11617.153132308322</v>
      </c>
      <c r="D451" s="441">
        <f t="shared" si="35"/>
        <v>27016.635191414702</v>
      </c>
      <c r="E451" s="444">
        <f t="shared" si="36"/>
        <v>67458.305874292942</v>
      </c>
      <c r="F451" s="561">
        <f t="shared" si="37"/>
        <v>6.745830587429294E-2</v>
      </c>
      <c r="G451" s="444">
        <f t="shared" si="38"/>
        <v>29007.071525945961</v>
      </c>
      <c r="H451" s="462">
        <f t="shared" si="39"/>
        <v>2.9007071525945963E-2</v>
      </c>
    </row>
    <row r="452" spans="1:8">
      <c r="A452" s="113" t="s">
        <v>251</v>
      </c>
      <c r="B452" s="461">
        <f t="shared" si="40"/>
        <v>1010.4734693877551</v>
      </c>
      <c r="C452" s="119">
        <f t="shared" si="34"/>
        <v>11617.153132308322</v>
      </c>
      <c r="D452" s="441">
        <f t="shared" si="35"/>
        <v>27016.635191414702</v>
      </c>
      <c r="E452" s="444">
        <f t="shared" si="36"/>
        <v>86981.16120872504</v>
      </c>
      <c r="F452" s="561">
        <f t="shared" si="37"/>
        <v>8.6981161208725039E-2</v>
      </c>
      <c r="G452" s="444">
        <f t="shared" si="38"/>
        <v>37401.899319751763</v>
      </c>
      <c r="H452" s="462">
        <f t="shared" si="39"/>
        <v>3.7401899319751762E-2</v>
      </c>
    </row>
    <row r="453" spans="1:8">
      <c r="A453" s="394" t="s">
        <v>238</v>
      </c>
      <c r="B453" s="461">
        <f t="shared" si="40"/>
        <v>3031.4204081632652</v>
      </c>
      <c r="C453" s="119">
        <f t="shared" si="34"/>
        <v>11617.153132308322</v>
      </c>
      <c r="D453" s="441">
        <f t="shared" si="35"/>
        <v>27016.635191414702</v>
      </c>
      <c r="E453" s="444">
        <f t="shared" si="36"/>
        <v>260943.48362617509</v>
      </c>
      <c r="F453" s="561">
        <f t="shared" si="37"/>
        <v>0.26094348362617509</v>
      </c>
      <c r="G453" s="444">
        <f t="shared" si="38"/>
        <v>112205.6979592553</v>
      </c>
      <c r="H453" s="462">
        <f t="shared" si="39"/>
        <v>0.11220569795925529</v>
      </c>
    </row>
    <row r="454" spans="1:8">
      <c r="A454" s="394" t="s">
        <v>239</v>
      </c>
      <c r="B454" s="461">
        <f t="shared" si="40"/>
        <v>4294.5122448979591</v>
      </c>
      <c r="C454" s="119">
        <f t="shared" si="34"/>
        <v>11617.153132308322</v>
      </c>
      <c r="D454" s="441">
        <f t="shared" si="35"/>
        <v>27016.635191414702</v>
      </c>
      <c r="E454" s="444">
        <f t="shared" si="36"/>
        <v>369669.93513708143</v>
      </c>
      <c r="F454" s="561">
        <f t="shared" si="37"/>
        <v>0.36966993513708141</v>
      </c>
      <c r="G454" s="444">
        <f t="shared" si="38"/>
        <v>158958.07210894499</v>
      </c>
      <c r="H454" s="462">
        <f t="shared" si="39"/>
        <v>0.158958072108945</v>
      </c>
    </row>
    <row r="455" spans="1:8">
      <c r="A455" s="394" t="s">
        <v>248</v>
      </c>
      <c r="B455" s="461">
        <f t="shared" si="40"/>
        <v>17.71849815232261</v>
      </c>
      <c r="C455" s="119">
        <f t="shared" si="34"/>
        <v>11617.153132308322</v>
      </c>
      <c r="D455" s="441">
        <f t="shared" si="35"/>
        <v>27016.635191414702</v>
      </c>
      <c r="E455" s="444">
        <f>B455/C455*1000000</f>
        <v>1525.2013940528952</v>
      </c>
      <c r="F455" s="561">
        <f>E455/1000000</f>
        <v>1.5252013940528952E-3</v>
      </c>
      <c r="G455" s="444">
        <f>B455/D455*1000000</f>
        <v>655.83659944274496</v>
      </c>
      <c r="H455" s="462">
        <f>G455/1000000</f>
        <v>6.5583659944274493E-4</v>
      </c>
    </row>
    <row r="456" spans="1:8" ht="14.65" thickBot="1">
      <c r="A456" s="114" t="s">
        <v>86</v>
      </c>
      <c r="B456" s="463">
        <f t="shared" si="40"/>
        <v>27.709536861187019</v>
      </c>
      <c r="C456" s="135">
        <f t="shared" si="34"/>
        <v>11617.153132308322</v>
      </c>
      <c r="D456" s="442">
        <f t="shared" si="35"/>
        <v>27016.635191414702</v>
      </c>
      <c r="E456" s="445">
        <f t="shared" si="36"/>
        <v>2385.2261001987113</v>
      </c>
      <c r="F456" s="562">
        <f t="shared" si="37"/>
        <v>2.3852261001987111E-3</v>
      </c>
      <c r="G456" s="445">
        <f t="shared" si="38"/>
        <v>1025.6472230854456</v>
      </c>
      <c r="H456" s="464">
        <f t="shared" si="39"/>
        <v>1.0256472230854457E-3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1">$B$462*B469/1000000</f>
        <v>0.54249999999999998</v>
      </c>
      <c r="E469" s="136">
        <f t="shared" ref="E469:E482" si="42">$C$462*C469/1000000</f>
        <v>7.0000000000000007E-2</v>
      </c>
      <c r="F469" s="473">
        <f t="shared" ref="F469:F482" si="43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1"/>
        <v>1494.9375</v>
      </c>
      <c r="E470" s="136">
        <f t="shared" si="42"/>
        <v>780.17240000000004</v>
      </c>
      <c r="F470" s="473">
        <f t="shared" si="43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1"/>
        <v>3.85E-2</v>
      </c>
      <c r="E471" s="136">
        <f t="shared" si="42"/>
        <v>1.4E-2</v>
      </c>
      <c r="F471" s="473">
        <f t="shared" si="43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1"/>
        <v>1.5925</v>
      </c>
      <c r="E472" s="136">
        <f t="shared" si="42"/>
        <v>0.37730000000000002</v>
      </c>
      <c r="F472" s="473">
        <f t="shared" si="43"/>
        <v>1.9698</v>
      </c>
    </row>
    <row r="473" spans="1:6">
      <c r="A473" s="232" t="s">
        <v>77</v>
      </c>
      <c r="B473" s="356">
        <v>663</v>
      </c>
      <c r="C473" s="408">
        <v>1099</v>
      </c>
      <c r="D473" s="228">
        <f t="shared" si="41"/>
        <v>11.602499999999999</v>
      </c>
      <c r="E473" s="136">
        <f t="shared" si="42"/>
        <v>7.6929999999999996</v>
      </c>
      <c r="F473" s="473">
        <f t="shared" si="43"/>
        <v>19.295499999999997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1"/>
        <v>1907.5</v>
      </c>
      <c r="E474" s="136">
        <f t="shared" si="42"/>
        <v>170.20500000000001</v>
      </c>
      <c r="F474" s="473">
        <f t="shared" si="43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1"/>
        <v>164.0625</v>
      </c>
      <c r="E475" s="136">
        <f t="shared" si="42"/>
        <v>68.936700000000002</v>
      </c>
      <c r="F475" s="473">
        <f t="shared" si="43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1"/>
        <v>213.35708333333335</v>
      </c>
      <c r="E476" s="136">
        <f t="shared" si="42"/>
        <v>88.942700000000002</v>
      </c>
      <c r="F476" s="473">
        <f t="shared" si="43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1"/>
        <v>44.274999999999999</v>
      </c>
      <c r="E477" s="136">
        <f t="shared" si="42"/>
        <v>23.422699999999999</v>
      </c>
      <c r="F477" s="473">
        <f t="shared" si="43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1"/>
        <v>1.1287499999999999</v>
      </c>
      <c r="E478" s="136">
        <f t="shared" si="42"/>
        <v>0.3332</v>
      </c>
      <c r="F478" s="473">
        <f t="shared" si="43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1"/>
        <v>1237.25</v>
      </c>
      <c r="E479" s="136">
        <f t="shared" si="42"/>
        <v>591.96900000000005</v>
      </c>
      <c r="F479" s="473">
        <f t="shared" si="43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1"/>
        <v>2.0474999999999999</v>
      </c>
      <c r="E480" s="136">
        <f t="shared" si="42"/>
        <v>0.56140000000000001</v>
      </c>
      <c r="F480" s="473">
        <f t="shared" si="43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1"/>
        <v>102.51305555555555</v>
      </c>
      <c r="E481" s="136">
        <f t="shared" si="42"/>
        <v>21.7959</v>
      </c>
      <c r="F481" s="473">
        <f t="shared" si="43"/>
        <v>124.30895555555556</v>
      </c>
    </row>
    <row r="482" spans="1:7" ht="14.65" thickBot="1">
      <c r="A482" s="233" t="s">
        <v>86</v>
      </c>
      <c r="B482" s="358">
        <v>2260</v>
      </c>
      <c r="C482" s="409">
        <v>1989</v>
      </c>
      <c r="D482" s="727">
        <f t="shared" si="41"/>
        <v>39.549999999999997</v>
      </c>
      <c r="E482" s="728">
        <f t="shared" si="42"/>
        <v>13.923</v>
      </c>
      <c r="F482" s="474">
        <f t="shared" si="43"/>
        <v>53.472999999999999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246.32517484496358</v>
      </c>
      <c r="C488" s="428">
        <f>F468</f>
        <v>1547.5740000000001</v>
      </c>
      <c r="D488" s="428">
        <f>B488+C488</f>
        <v>1793.8991748449637</v>
      </c>
      <c r="E488" s="382">
        <f>$C$391+$D$462</f>
        <v>33926.035706937968</v>
      </c>
      <c r="F488" s="557">
        <f>D488/E488*1000000</f>
        <v>52876.76963913902</v>
      </c>
      <c r="G488" s="460">
        <f>F488/1000000</f>
        <v>5.2876769639139017E-2</v>
      </c>
    </row>
    <row r="489" spans="1:7">
      <c r="A489" s="149" t="s">
        <v>73</v>
      </c>
      <c r="B489" s="541">
        <f>B409</f>
        <v>2.8459309992772908E-2</v>
      </c>
      <c r="C489" s="235">
        <f>F469</f>
        <v>0.61250000000000004</v>
      </c>
      <c r="D489" s="235">
        <f t="shared" ref="D489:D504" si="44">B489+C489</f>
        <v>0.64095930999277295</v>
      </c>
      <c r="E489" s="82">
        <f>$C$391+$D$462</f>
        <v>33926.035706937968</v>
      </c>
      <c r="F489" s="558">
        <f t="shared" ref="F489:F504" si="45">D489/E489*1000000</f>
        <v>18.892844290135997</v>
      </c>
      <c r="G489" s="462">
        <f t="shared" ref="G489:G504" si="46">F489/1000000</f>
        <v>1.8892844290135998E-5</v>
      </c>
    </row>
    <row r="490" spans="1:7">
      <c r="A490" s="232" t="s">
        <v>74</v>
      </c>
      <c r="B490" s="541">
        <f t="shared" ref="B490:B503" si="47">B410</f>
        <v>478.37219712488445</v>
      </c>
      <c r="C490" s="235">
        <f t="shared" ref="C490:C498" si="48">F470</f>
        <v>2275.1098999999999</v>
      </c>
      <c r="D490" s="235">
        <f t="shared" si="44"/>
        <v>2753.4820971248846</v>
      </c>
      <c r="E490" s="82">
        <f t="shared" ref="E490:E503" si="49">$C$391+$D$462</f>
        <v>33926.035706937968</v>
      </c>
      <c r="F490" s="558">
        <f t="shared" si="45"/>
        <v>81161.327568896886</v>
      </c>
      <c r="G490" s="462">
        <f t="shared" si="46"/>
        <v>8.1161327568896879E-2</v>
      </c>
    </row>
    <row r="491" spans="1:7">
      <c r="A491" s="232" t="s">
        <v>75</v>
      </c>
      <c r="B491" s="541">
        <f t="shared" si="47"/>
        <v>3.5729860954997889E-4</v>
      </c>
      <c r="C491" s="235">
        <f t="shared" si="48"/>
        <v>5.2499999999999998E-2</v>
      </c>
      <c r="D491" s="235">
        <f t="shared" si="44"/>
        <v>5.2857298609549977E-2</v>
      </c>
      <c r="E491" s="82">
        <f t="shared" si="49"/>
        <v>33926.035706937968</v>
      </c>
      <c r="F491" s="558">
        <f t="shared" si="45"/>
        <v>1.5580157689553016</v>
      </c>
      <c r="G491" s="462">
        <f t="shared" si="46"/>
        <v>1.5580157689553015E-6</v>
      </c>
    </row>
    <row r="492" spans="1:7">
      <c r="A492" s="232" t="s">
        <v>76</v>
      </c>
      <c r="B492" s="541">
        <f t="shared" si="47"/>
        <v>0.57445446857278615</v>
      </c>
      <c r="C492" s="235">
        <f t="shared" si="48"/>
        <v>1.9698</v>
      </c>
      <c r="D492" s="235">
        <f t="shared" si="44"/>
        <v>2.5442544685727864</v>
      </c>
      <c r="E492" s="82">
        <f t="shared" si="49"/>
        <v>33926.035706937968</v>
      </c>
      <c r="F492" s="558">
        <f t="shared" si="45"/>
        <v>74.994157600691295</v>
      </c>
      <c r="G492" s="462">
        <f t="shared" si="46"/>
        <v>7.4994157600691294E-5</v>
      </c>
    </row>
    <row r="493" spans="1:7">
      <c r="A493" s="150" t="s">
        <v>77</v>
      </c>
      <c r="B493" s="541">
        <f t="shared" si="47"/>
        <v>1.7100073055854814E-2</v>
      </c>
      <c r="C493" s="235">
        <f t="shared" si="48"/>
        <v>19.295499999999997</v>
      </c>
      <c r="D493" s="235">
        <f t="shared" si="44"/>
        <v>19.312600073055851</v>
      </c>
      <c r="E493" s="82">
        <f t="shared" si="49"/>
        <v>33926.035706937968</v>
      </c>
      <c r="F493" s="558">
        <f t="shared" si="45"/>
        <v>569.25602035802763</v>
      </c>
      <c r="G493" s="462">
        <f t="shared" si="46"/>
        <v>5.6925602035802763E-4</v>
      </c>
    </row>
    <row r="494" spans="1:7">
      <c r="A494" s="150" t="s">
        <v>78</v>
      </c>
      <c r="B494" s="541">
        <f t="shared" si="47"/>
        <v>491.81414514798553</v>
      </c>
      <c r="C494" s="235">
        <f t="shared" si="48"/>
        <v>2077.7049999999999</v>
      </c>
      <c r="D494" s="235">
        <f t="shared" si="44"/>
        <v>2569.5191451479855</v>
      </c>
      <c r="E494" s="82">
        <f t="shared" si="49"/>
        <v>33926.035706937968</v>
      </c>
      <c r="F494" s="558">
        <f t="shared" si="45"/>
        <v>75738.856356344389</v>
      </c>
      <c r="G494" s="462">
        <f t="shared" si="46"/>
        <v>7.5738856356344392E-2</v>
      </c>
    </row>
    <row r="495" spans="1:7">
      <c r="A495" s="150" t="s">
        <v>79</v>
      </c>
      <c r="B495" s="541">
        <f t="shared" si="47"/>
        <v>63.223407661809738</v>
      </c>
      <c r="C495" s="235">
        <f t="shared" si="48"/>
        <v>232.9992</v>
      </c>
      <c r="D495" s="235">
        <f t="shared" si="44"/>
        <v>296.22260766180972</v>
      </c>
      <c r="E495" s="82">
        <f t="shared" si="49"/>
        <v>33926.035706937968</v>
      </c>
      <c r="F495" s="558">
        <f t="shared" si="45"/>
        <v>8731.4241552021758</v>
      </c>
      <c r="G495" s="462">
        <f t="shared" si="46"/>
        <v>8.7314241552021755E-3</v>
      </c>
    </row>
    <row r="496" spans="1:7">
      <c r="A496" s="150" t="s">
        <v>80</v>
      </c>
      <c r="B496" s="541">
        <f t="shared" si="47"/>
        <v>96.236330766085601</v>
      </c>
      <c r="C496" s="235">
        <f t="shared" si="48"/>
        <v>302.29978333333338</v>
      </c>
      <c r="D496" s="235">
        <f t="shared" si="44"/>
        <v>398.53611409941897</v>
      </c>
      <c r="E496" s="82">
        <f t="shared" si="49"/>
        <v>33926.035706937968</v>
      </c>
      <c r="F496" s="558">
        <f t="shared" si="45"/>
        <v>11747.205525045098</v>
      </c>
      <c r="G496" s="462">
        <f t="shared" si="46"/>
        <v>1.1747205525045098E-2</v>
      </c>
    </row>
    <row r="497" spans="1:7">
      <c r="A497" s="150" t="s">
        <v>81</v>
      </c>
      <c r="B497" s="541">
        <f t="shared" si="47"/>
        <v>76.856270056612061</v>
      </c>
      <c r="C497" s="235">
        <f t="shared" si="48"/>
        <v>67.697699999999998</v>
      </c>
      <c r="D497" s="235">
        <f t="shared" si="44"/>
        <v>144.55397005661206</v>
      </c>
      <c r="E497" s="82">
        <f t="shared" si="49"/>
        <v>33926.035706937968</v>
      </c>
      <c r="F497" s="558">
        <f t="shared" si="45"/>
        <v>4260.8565087093384</v>
      </c>
      <c r="G497" s="462">
        <f t="shared" si="46"/>
        <v>4.260856508709338E-3</v>
      </c>
    </row>
    <row r="498" spans="1:7">
      <c r="A498" s="150" t="s">
        <v>82</v>
      </c>
      <c r="B498" s="541">
        <f t="shared" si="47"/>
        <v>0.46181057466472719</v>
      </c>
      <c r="C498" s="235">
        <f t="shared" si="48"/>
        <v>1.4619499999999999</v>
      </c>
      <c r="D498" s="235">
        <f t="shared" si="44"/>
        <v>1.9237605746647271</v>
      </c>
      <c r="E498" s="82">
        <f t="shared" si="49"/>
        <v>33926.035706937968</v>
      </c>
      <c r="F498" s="558">
        <f t="shared" si="45"/>
        <v>56.704549605579551</v>
      </c>
      <c r="G498" s="462">
        <f t="shared" si="46"/>
        <v>5.6704549605579551E-5</v>
      </c>
    </row>
    <row r="499" spans="1:7">
      <c r="A499" s="150" t="s">
        <v>213</v>
      </c>
      <c r="B499" s="541">
        <f t="shared" si="47"/>
        <v>666.45161602785549</v>
      </c>
      <c r="C499" s="235">
        <f>$F$479</f>
        <v>1829.2190000000001</v>
      </c>
      <c r="D499" s="235">
        <f t="shared" si="44"/>
        <v>2495.6706160278554</v>
      </c>
      <c r="E499" s="82">
        <f t="shared" si="49"/>
        <v>33926.035706937968</v>
      </c>
      <c r="F499" s="558">
        <f t="shared" si="45"/>
        <v>73562.105445685302</v>
      </c>
      <c r="G499" s="462">
        <f t="shared" si="46"/>
        <v>7.3562105445685297E-2</v>
      </c>
    </row>
    <row r="500" spans="1:7">
      <c r="A500" s="150" t="s">
        <v>96</v>
      </c>
      <c r="B500" s="541">
        <f t="shared" si="47"/>
        <v>1774.5918367346944</v>
      </c>
      <c r="C500" s="235">
        <v>0</v>
      </c>
      <c r="D500" s="235">
        <f t="shared" si="44"/>
        <v>1774.5918367346944</v>
      </c>
      <c r="E500" s="82">
        <f t="shared" si="49"/>
        <v>33926.035706937968</v>
      </c>
      <c r="F500" s="558">
        <f t="shared" si="45"/>
        <v>52307.668719802285</v>
      </c>
      <c r="G500" s="462">
        <f t="shared" si="46"/>
        <v>5.2307668719802282E-2</v>
      </c>
    </row>
    <row r="501" spans="1:7">
      <c r="A501" s="582" t="s">
        <v>97</v>
      </c>
      <c r="B501" s="541">
        <f t="shared" si="47"/>
        <v>2441.0434527625498</v>
      </c>
      <c r="C501" s="235">
        <f>C499+C500</f>
        <v>1829.2190000000001</v>
      </c>
      <c r="D501" s="235">
        <f t="shared" si="44"/>
        <v>4270.2624527625503</v>
      </c>
      <c r="E501" s="82">
        <f t="shared" si="49"/>
        <v>33926.035706937968</v>
      </c>
      <c r="F501" s="597">
        <f t="shared" si="45"/>
        <v>125869.77416548759</v>
      </c>
      <c r="G501" s="583">
        <f t="shared" si="46"/>
        <v>0.12586977416548759</v>
      </c>
    </row>
    <row r="502" spans="1:7">
      <c r="A502" s="186" t="s">
        <v>84</v>
      </c>
      <c r="B502" s="541">
        <f t="shared" si="47"/>
        <v>0.28203346302465415</v>
      </c>
      <c r="C502" s="235">
        <f>F480</f>
        <v>2.6088999999999998</v>
      </c>
      <c r="D502" s="235">
        <f t="shared" si="44"/>
        <v>2.8909334630246537</v>
      </c>
      <c r="E502" s="82">
        <f t="shared" si="49"/>
        <v>33926.035706937968</v>
      </c>
      <c r="F502" s="558">
        <f t="shared" si="45"/>
        <v>85.212828518996389</v>
      </c>
      <c r="G502" s="462">
        <f t="shared" si="46"/>
        <v>8.5212828518996394E-5</v>
      </c>
    </row>
    <row r="503" spans="1:7">
      <c r="A503" s="150" t="s">
        <v>85</v>
      </c>
      <c r="B503" s="541">
        <f t="shared" si="47"/>
        <v>0</v>
      </c>
      <c r="C503" s="235">
        <f>F481</f>
        <v>124.30895555555556</v>
      </c>
      <c r="D503" s="235">
        <f t="shared" si="44"/>
        <v>124.30895555555556</v>
      </c>
      <c r="E503" s="82">
        <f t="shared" si="49"/>
        <v>33926.035706937968</v>
      </c>
      <c r="F503" s="558">
        <f t="shared" si="45"/>
        <v>3664.1167458930086</v>
      </c>
      <c r="G503" s="462">
        <f t="shared" si="46"/>
        <v>3.6641167458930086E-3</v>
      </c>
    </row>
    <row r="504" spans="1:7" ht="14.65" thickBot="1">
      <c r="A504" s="152" t="s">
        <v>86</v>
      </c>
      <c r="B504" s="542">
        <f>B429</f>
        <v>0.52646313881298212</v>
      </c>
      <c r="C504" s="236">
        <f>F482</f>
        <v>53.472999999999999</v>
      </c>
      <c r="D504" s="236">
        <f t="shared" si="44"/>
        <v>53.999463138812985</v>
      </c>
      <c r="E504" s="237">
        <f>$C$391+$D$462</f>
        <v>33926.035706937968</v>
      </c>
      <c r="F504" s="559">
        <f t="shared" si="45"/>
        <v>1591.6820817284568</v>
      </c>
      <c r="G504" s="464">
        <f t="shared" si="46"/>
        <v>1.5916820817284568E-3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2441.0434527625498</v>
      </c>
      <c r="C512" s="501">
        <f>$C$391</f>
        <v>9426.0357069379643</v>
      </c>
      <c r="D512" s="227">
        <f>B512/C512*1000000</f>
        <v>258968.19497149132</v>
      </c>
      <c r="E512" s="475">
        <f>D512/1000000</f>
        <v>0.25896819497149132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0">D513/1000000</f>
        <v>7.4662000000000006E-2</v>
      </c>
    </row>
    <row r="514" spans="1:5">
      <c r="A514" s="478" t="s">
        <v>150</v>
      </c>
      <c r="B514" s="480">
        <f>C514*31/98</f>
        <v>2864.8685658597847</v>
      </c>
      <c r="C514" s="587">
        <v>9056.6812727180277</v>
      </c>
      <c r="D514" s="229">
        <f>B514/C514*1000000</f>
        <v>316326.53061224491</v>
      </c>
      <c r="E514" s="476">
        <f t="shared" si="50"/>
        <v>0.31632653061224492</v>
      </c>
    </row>
    <row r="515" spans="1:5" ht="14.65" thickBot="1">
      <c r="A515" s="479" t="s">
        <v>306</v>
      </c>
      <c r="B515" s="162">
        <f>SUM($B$512:$B$514)</f>
        <v>7135.1310186223345</v>
      </c>
      <c r="C515" s="503">
        <f>SUM($C$512:$C$514)</f>
        <v>42982.716979655997</v>
      </c>
      <c r="D515" s="588">
        <f>B515/C515*1000000</f>
        <v>165999.99999998693</v>
      </c>
      <c r="E515" s="584">
        <f t="shared" si="50"/>
        <v>0.16599999999998694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9056.6812727180277</v>
      </c>
    </row>
    <row r="520" spans="1:5">
      <c r="A520" s="257" t="s">
        <v>436</v>
      </c>
      <c r="B520" s="178" t="s">
        <v>35</v>
      </c>
      <c r="C520" s="84">
        <f>C519/75%*25%</f>
        <v>3018.8937575726759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12075.575030290704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9426.0357069379643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9056.6812727180277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42982.716979655997</v>
      </c>
    </row>
    <row r="537" spans="1:3">
      <c r="A537" s="276" t="s">
        <v>345</v>
      </c>
      <c r="B537" s="296" t="s">
        <v>35</v>
      </c>
      <c r="C537" s="342">
        <f>C536/C527*C528</f>
        <v>52534.431864024002</v>
      </c>
    </row>
    <row r="538" spans="1:3">
      <c r="A538" s="257" t="s">
        <v>342</v>
      </c>
      <c r="B538" s="278" t="s">
        <v>35</v>
      </c>
      <c r="C538" s="347">
        <f>$C$400</f>
        <v>43429.105886573059</v>
      </c>
    </row>
    <row r="539" spans="1:3">
      <c r="A539" s="257" t="s">
        <v>436</v>
      </c>
      <c r="B539" s="278" t="s">
        <v>35</v>
      </c>
      <c r="C539" s="347">
        <f>$C$520</f>
        <v>3018.8937575726759</v>
      </c>
    </row>
    <row r="540" spans="1:3" ht="14.65" thickBot="1">
      <c r="A540" s="670" t="s">
        <v>363</v>
      </c>
      <c r="B540" s="713" t="s">
        <v>35</v>
      </c>
      <c r="C540" s="671">
        <f>C537-C538-C539</f>
        <v>6086.4322198782666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9105.3259774509424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52855.14159351102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12075.575030290704</v>
      </c>
    </row>
    <row r="549" spans="1:3" ht="14.65" thickBot="1">
      <c r="A549" s="339" t="s">
        <v>363</v>
      </c>
      <c r="B549" s="271" t="s">
        <v>35</v>
      </c>
      <c r="C549" s="340">
        <f>$C$540</f>
        <v>6086.4322198782666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52855.14159351102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12075.575030290704</v>
      </c>
    </row>
    <row r="557" spans="1:3">
      <c r="A557" s="375" t="s">
        <v>363</v>
      </c>
      <c r="B557" s="287" t="s">
        <v>35</v>
      </c>
      <c r="C557" s="279">
        <f>$C$540</f>
        <v>6086.4322198782666</v>
      </c>
    </row>
    <row r="558" spans="1:3" ht="14.65" thickBot="1">
      <c r="A558" s="689" t="s">
        <v>305</v>
      </c>
      <c r="B558" s="677" t="s">
        <v>35</v>
      </c>
      <c r="C558" s="256">
        <f>SUM(C553:C557)</f>
        <v>95517.14884367997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9426.0357069379643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9056.6812727180277</v>
      </c>
    </row>
    <row r="566" spans="1:3">
      <c r="A566" s="257" t="s">
        <v>309</v>
      </c>
      <c r="B566" s="287" t="s">
        <v>35</v>
      </c>
      <c r="C566" s="279">
        <f>C562+C563+C564+C565</f>
        <v>42982.716979655997</v>
      </c>
    </row>
    <row r="567" spans="1:3">
      <c r="A567" s="257" t="s">
        <v>305</v>
      </c>
      <c r="B567" s="287" t="s">
        <v>35</v>
      </c>
      <c r="C567" s="279">
        <f>$C$558</f>
        <v>95517.14884367997</v>
      </c>
    </row>
    <row r="568" spans="1:3">
      <c r="A568" s="299" t="s">
        <v>64</v>
      </c>
      <c r="B568" s="258" t="s">
        <v>24</v>
      </c>
      <c r="C568" s="300">
        <f>C566/C567</f>
        <v>0.45000000000000012</v>
      </c>
    </row>
    <row r="569" spans="1:3">
      <c r="A569" s="68" t="s">
        <v>436</v>
      </c>
      <c r="B569" s="287" t="s">
        <v>35</v>
      </c>
      <c r="C569" s="279">
        <f>C539</f>
        <v>3018.8937575726759</v>
      </c>
    </row>
    <row r="570" spans="1:3">
      <c r="A570" s="375" t="s">
        <v>363</v>
      </c>
      <c r="B570" s="287" t="s">
        <v>35</v>
      </c>
      <c r="C570" s="279">
        <f>$C$540</f>
        <v>6086.4322198782666</v>
      </c>
    </row>
    <row r="571" spans="1:3">
      <c r="A571" s="257" t="s">
        <v>342</v>
      </c>
      <c r="B571" s="287" t="s">
        <v>35</v>
      </c>
      <c r="C571" s="279">
        <f>$C$400</f>
        <v>43429.105886573059</v>
      </c>
    </row>
    <row r="572" spans="1:3">
      <c r="A572" s="257" t="s">
        <v>345</v>
      </c>
      <c r="B572" s="287" t="s">
        <v>35</v>
      </c>
      <c r="C572" s="279">
        <f>C569+C570+C571</f>
        <v>52534.431864024002</v>
      </c>
    </row>
    <row r="573" spans="1:3">
      <c r="A573" s="257" t="s">
        <v>305</v>
      </c>
      <c r="B573" s="287" t="s">
        <v>35</v>
      </c>
      <c r="C573" s="279">
        <f>$C$558</f>
        <v>95517.14884367997</v>
      </c>
    </row>
    <row r="574" spans="1:3" ht="14.65" thickBot="1">
      <c r="A574" s="301" t="s">
        <v>66</v>
      </c>
      <c r="B574" s="259" t="s">
        <v>24</v>
      </c>
      <c r="C574" s="303">
        <f>C572/C573</f>
        <v>0.55000000000000016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246.32517484496358</v>
      </c>
      <c r="C580" s="378">
        <f>F468</f>
        <v>1547.5740000000001</v>
      </c>
      <c r="D580" s="378">
        <v>0</v>
      </c>
      <c r="E580" s="378">
        <f>B580+C580+D580</f>
        <v>1793.8991748449637</v>
      </c>
      <c r="F580" s="657">
        <f t="shared" ref="F580:F594" si="51">$C$566</f>
        <v>42982.716979655997</v>
      </c>
      <c r="G580" s="634">
        <f>E580/F580*1000000</f>
        <v>41735.360184281228</v>
      </c>
      <c r="H580" s="481">
        <f>G580/1000000</f>
        <v>4.1735360184281228E-2</v>
      </c>
    </row>
    <row r="581" spans="1:8">
      <c r="A581" s="149" t="s">
        <v>73</v>
      </c>
      <c r="B581" s="592">
        <f>B489</f>
        <v>2.8459309992772908E-2</v>
      </c>
      <c r="C581" s="364">
        <f>F469</f>
        <v>0.61250000000000004</v>
      </c>
      <c r="D581" s="364">
        <v>0</v>
      </c>
      <c r="E581" s="364">
        <f t="shared" ref="E581:E594" si="52">B581+C581+D581</f>
        <v>0.64095930999277295</v>
      </c>
      <c r="F581" s="658">
        <f t="shared" si="51"/>
        <v>42982.716979655997</v>
      </c>
      <c r="G581" s="558">
        <f t="shared" ref="G581:G593" si="53">E581/F581*1000000</f>
        <v>14.912024065303811</v>
      </c>
      <c r="H581" s="462">
        <f t="shared" ref="H581:H594" si="54">G581/1000000</f>
        <v>1.491202406530381E-5</v>
      </c>
    </row>
    <row r="582" spans="1:8">
      <c r="A582" s="149" t="s">
        <v>74</v>
      </c>
      <c r="B582" s="592">
        <f t="shared" ref="B582:B584" si="55">B490</f>
        <v>478.37219712488445</v>
      </c>
      <c r="C582" s="364">
        <f t="shared" ref="C582:C593" si="56">F470</f>
        <v>2275.1098999999999</v>
      </c>
      <c r="D582" s="364">
        <v>0</v>
      </c>
      <c r="E582" s="364">
        <f t="shared" si="52"/>
        <v>2753.4820971248846</v>
      </c>
      <c r="F582" s="658">
        <f t="shared" si="51"/>
        <v>42982.716979655997</v>
      </c>
      <c r="G582" s="558">
        <f t="shared" si="53"/>
        <v>64060.215142475186</v>
      </c>
      <c r="H582" s="462">
        <f t="shared" si="54"/>
        <v>6.4060215142475188E-2</v>
      </c>
    </row>
    <row r="583" spans="1:8">
      <c r="A583" s="149" t="s">
        <v>75</v>
      </c>
      <c r="B583" s="592">
        <f t="shared" si="55"/>
        <v>3.5729860954997889E-4</v>
      </c>
      <c r="C583" s="364">
        <f t="shared" si="56"/>
        <v>5.2499999999999998E-2</v>
      </c>
      <c r="D583" s="364">
        <v>0</v>
      </c>
      <c r="E583" s="364">
        <f t="shared" si="52"/>
        <v>5.2857298609549977E-2</v>
      </c>
      <c r="F583" s="658">
        <f t="shared" si="51"/>
        <v>42982.716979655997</v>
      </c>
      <c r="G583" s="558">
        <f t="shared" si="53"/>
        <v>1.2297337703097662</v>
      </c>
      <c r="H583" s="462">
        <f t="shared" si="54"/>
        <v>1.2297337703097663E-6</v>
      </c>
    </row>
    <row r="584" spans="1:8">
      <c r="A584" s="149" t="s">
        <v>76</v>
      </c>
      <c r="B584" s="592">
        <f t="shared" si="55"/>
        <v>0.57445446857278615</v>
      </c>
      <c r="C584" s="364">
        <f t="shared" si="56"/>
        <v>1.9698</v>
      </c>
      <c r="D584" s="364">
        <v>0</v>
      </c>
      <c r="E584" s="364">
        <f t="shared" si="52"/>
        <v>2.5442544685727864</v>
      </c>
      <c r="F584" s="658">
        <f t="shared" si="51"/>
        <v>42982.716979655997</v>
      </c>
      <c r="G584" s="558">
        <f t="shared" si="53"/>
        <v>59.192499854697388</v>
      </c>
      <c r="H584" s="462">
        <f t="shared" si="54"/>
        <v>5.9192499854697386E-5</v>
      </c>
    </row>
    <row r="585" spans="1:8">
      <c r="A585" s="150" t="s">
        <v>77</v>
      </c>
      <c r="B585" s="592">
        <f>B493</f>
        <v>1.7100073055854814E-2</v>
      </c>
      <c r="C585" s="364">
        <f t="shared" si="56"/>
        <v>19.295499999999997</v>
      </c>
      <c r="D585" s="364">
        <v>0</v>
      </c>
      <c r="E585" s="364">
        <f t="shared" si="52"/>
        <v>19.312600073055851</v>
      </c>
      <c r="F585" s="658">
        <f t="shared" si="51"/>
        <v>42982.716979655997</v>
      </c>
      <c r="G585" s="558">
        <f t="shared" si="53"/>
        <v>449.31082607450412</v>
      </c>
      <c r="H585" s="462">
        <f t="shared" si="54"/>
        <v>4.4931082607450412E-4</v>
      </c>
    </row>
    <row r="586" spans="1:8">
      <c r="A586" s="150" t="s">
        <v>78</v>
      </c>
      <c r="B586" s="592">
        <f>B494</f>
        <v>491.81414514798553</v>
      </c>
      <c r="C586" s="364">
        <f t="shared" si="56"/>
        <v>2077.7049999999999</v>
      </c>
      <c r="D586" s="364">
        <v>0</v>
      </c>
      <c r="E586" s="364">
        <f t="shared" si="52"/>
        <v>2569.5191451479855</v>
      </c>
      <c r="F586" s="658">
        <f t="shared" si="51"/>
        <v>42982.716979655997</v>
      </c>
      <c r="G586" s="558">
        <f t="shared" si="53"/>
        <v>59780.286722315759</v>
      </c>
      <c r="H586" s="462">
        <f t="shared" si="54"/>
        <v>5.9780286722315758E-2</v>
      </c>
    </row>
    <row r="587" spans="1:8">
      <c r="A587" s="150" t="s">
        <v>79</v>
      </c>
      <c r="B587" s="592">
        <f>B495</f>
        <v>63.223407661809738</v>
      </c>
      <c r="C587" s="364">
        <f t="shared" si="56"/>
        <v>232.9992</v>
      </c>
      <c r="D587" s="364">
        <v>0</v>
      </c>
      <c r="E587" s="364">
        <f t="shared" si="52"/>
        <v>296.22260766180972</v>
      </c>
      <c r="F587" s="658">
        <f t="shared" si="51"/>
        <v>42982.716979655997</v>
      </c>
      <c r="G587" s="558">
        <f t="shared" si="53"/>
        <v>6891.6678255126089</v>
      </c>
      <c r="H587" s="462">
        <f t="shared" si="54"/>
        <v>6.8916678255126086E-3</v>
      </c>
    </row>
    <row r="588" spans="1:8">
      <c r="A588" s="150" t="s">
        <v>80</v>
      </c>
      <c r="B588" s="592">
        <f>B496</f>
        <v>96.236330766085601</v>
      </c>
      <c r="C588" s="364">
        <f t="shared" si="56"/>
        <v>302.29978333333338</v>
      </c>
      <c r="D588" s="364">
        <v>0</v>
      </c>
      <c r="E588" s="364">
        <f t="shared" si="52"/>
        <v>398.53611409941897</v>
      </c>
      <c r="F588" s="658">
        <f t="shared" si="51"/>
        <v>42982.716979655997</v>
      </c>
      <c r="G588" s="558">
        <f t="shared" si="53"/>
        <v>9272.00842813284</v>
      </c>
      <c r="H588" s="462">
        <f t="shared" si="54"/>
        <v>9.2720084281328399E-3</v>
      </c>
    </row>
    <row r="589" spans="1:8">
      <c r="A589" s="150" t="s">
        <v>81</v>
      </c>
      <c r="B589" s="592">
        <f>B497</f>
        <v>76.856270056612061</v>
      </c>
      <c r="C589" s="364">
        <f t="shared" si="56"/>
        <v>67.697699999999998</v>
      </c>
      <c r="D589" s="364">
        <v>0</v>
      </c>
      <c r="E589" s="364">
        <f t="shared" si="52"/>
        <v>144.55397005661206</v>
      </c>
      <c r="F589" s="658">
        <f t="shared" si="51"/>
        <v>42982.716979655997</v>
      </c>
      <c r="G589" s="558">
        <f t="shared" si="53"/>
        <v>3363.071955759111</v>
      </c>
      <c r="H589" s="462">
        <f t="shared" si="54"/>
        <v>3.3630719557591112E-3</v>
      </c>
    </row>
    <row r="590" spans="1:8">
      <c r="A590" s="150" t="s">
        <v>82</v>
      </c>
      <c r="B590" s="592">
        <f t="shared" ref="B590" si="57">B498</f>
        <v>0.46181057466472719</v>
      </c>
      <c r="C590" s="364">
        <f t="shared" si="56"/>
        <v>1.4619499999999999</v>
      </c>
      <c r="D590" s="364">
        <v>0</v>
      </c>
      <c r="E590" s="364">
        <f t="shared" si="52"/>
        <v>1.9237605746647271</v>
      </c>
      <c r="F590" s="658">
        <f t="shared" si="51"/>
        <v>42982.716979655997</v>
      </c>
      <c r="G590" s="558">
        <f t="shared" si="53"/>
        <v>44.756607070122058</v>
      </c>
      <c r="H590" s="462">
        <f t="shared" si="54"/>
        <v>4.475660707012206E-5</v>
      </c>
    </row>
    <row r="591" spans="1:8">
      <c r="A591" s="350" t="s">
        <v>154</v>
      </c>
      <c r="B591" s="592">
        <f>B501</f>
        <v>2441.0434527625498</v>
      </c>
      <c r="C591" s="364">
        <f t="shared" si="56"/>
        <v>1829.2190000000001</v>
      </c>
      <c r="D591" s="364">
        <f>$B$514</f>
        <v>2864.8685658597847</v>
      </c>
      <c r="E591" s="364">
        <f t="shared" si="52"/>
        <v>7135.1310186223345</v>
      </c>
      <c r="F591" s="658">
        <f t="shared" si="51"/>
        <v>42982.716979655997</v>
      </c>
      <c r="G591" s="597">
        <f t="shared" si="53"/>
        <v>165999.99999998693</v>
      </c>
      <c r="H591" s="583">
        <f t="shared" si="54"/>
        <v>0.16599999999998694</v>
      </c>
    </row>
    <row r="592" spans="1:8">
      <c r="A592" s="398" t="s">
        <v>84</v>
      </c>
      <c r="B592" s="592">
        <f>B502</f>
        <v>0.28203346302465415</v>
      </c>
      <c r="C592" s="364">
        <f t="shared" si="56"/>
        <v>2.6088999999999998</v>
      </c>
      <c r="D592" s="364">
        <v>0</v>
      </c>
      <c r="E592" s="364">
        <f t="shared" si="52"/>
        <v>2.8909334630246537</v>
      </c>
      <c r="F592" s="658">
        <f t="shared" si="51"/>
        <v>42982.716979655997</v>
      </c>
      <c r="G592" s="558">
        <f t="shared" si="53"/>
        <v>67.258043841038514</v>
      </c>
      <c r="H592" s="462">
        <f t="shared" si="54"/>
        <v>6.7258043841038519E-5</v>
      </c>
    </row>
    <row r="593" spans="1:8">
      <c r="A593" s="398" t="s">
        <v>85</v>
      </c>
      <c r="B593" s="592">
        <f t="shared" ref="B593:B594" si="58">B503</f>
        <v>0</v>
      </c>
      <c r="C593" s="364">
        <f t="shared" si="56"/>
        <v>124.30895555555556</v>
      </c>
      <c r="D593" s="364">
        <v>0</v>
      </c>
      <c r="E593" s="364">
        <f t="shared" si="52"/>
        <v>124.30895555555556</v>
      </c>
      <c r="F593" s="658">
        <f t="shared" si="51"/>
        <v>42982.716979655997</v>
      </c>
      <c r="G593" s="558">
        <f t="shared" si="53"/>
        <v>2892.068354226928</v>
      </c>
      <c r="H593" s="462">
        <f t="shared" si="54"/>
        <v>2.892068354226928E-3</v>
      </c>
    </row>
    <row r="594" spans="1:8" ht="14.65" thickBot="1">
      <c r="A594" s="152" t="s">
        <v>86</v>
      </c>
      <c r="B594" s="659">
        <f t="shared" si="58"/>
        <v>0.52646313881298212</v>
      </c>
      <c r="C594" s="379">
        <f>F482</f>
        <v>53.472999999999999</v>
      </c>
      <c r="D594" s="379">
        <v>0</v>
      </c>
      <c r="E594" s="379">
        <f t="shared" si="52"/>
        <v>53.999463138812985</v>
      </c>
      <c r="F594" s="660">
        <f t="shared" si="51"/>
        <v>42982.716979655997</v>
      </c>
      <c r="G594" s="559">
        <f>E594/F594*1000000</f>
        <v>1256.3064164690027</v>
      </c>
      <c r="H594" s="464">
        <f t="shared" si="54"/>
        <v>1.2563064164690027E-3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95517.14884367997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42982.716979655997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45244.965241743157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2262.2482620871597</v>
      </c>
    </row>
    <row r="610" spans="1:5" ht="14.65" thickBot="1">
      <c r="A610" s="689" t="s">
        <v>16</v>
      </c>
      <c r="B610" s="163" t="s">
        <v>35</v>
      </c>
      <c r="C610" s="690">
        <f>$C$572-C609</f>
        <v>50272.183601936842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140</v>
      </c>
      <c r="C613" s="1061"/>
      <c r="D613" s="1061"/>
      <c r="E613" s="1009"/>
    </row>
    <row r="614" spans="1:5" ht="14.65" hidden="1" thickBot="1">
      <c r="A614" s="487" t="s">
        <v>67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t="14.65" hidden="1" thickBot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3.9699845505553391E-4</v>
      </c>
      <c r="E616" s="507">
        <f>SUM(B616:D616)</f>
        <v>5.2896998455055529E-2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0.313370514471838</v>
      </c>
      <c r="E617" s="508">
        <f>SUM(B617:D617)</f>
        <v>2.9222705144718377</v>
      </c>
    </row>
    <row r="618" spans="1:5" ht="14.65" hidden="1" thickBot="1"/>
    <row r="619" spans="1:5" ht="14.65" thickBot="1">
      <c r="A619" s="512"/>
      <c r="B619" s="249" t="s">
        <v>18</v>
      </c>
      <c r="C619" s="249" t="s">
        <v>234</v>
      </c>
    </row>
    <row r="620" spans="1:5">
      <c r="A620" s="134" t="s">
        <v>232</v>
      </c>
      <c r="B620" s="509" t="s">
        <v>24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42982.716979655997</v>
      </c>
    </row>
    <row r="622" spans="1:5">
      <c r="A622" s="68" t="s">
        <v>349</v>
      </c>
      <c r="B622" s="510" t="s">
        <v>35</v>
      </c>
      <c r="C622" s="245">
        <f>C621*C620</f>
        <v>16333.432452269279</v>
      </c>
    </row>
    <row r="623" spans="1:5">
      <c r="A623" s="68" t="s">
        <v>350</v>
      </c>
      <c r="B623" s="510" t="s">
        <v>35</v>
      </c>
      <c r="C623" s="246">
        <f>E583</f>
        <v>5.2857298609549977E-2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3.2361415008151742</v>
      </c>
    </row>
    <row r="625" spans="1:4" ht="14.65" thickBot="1"/>
    <row r="626" spans="1:4" ht="14.65" thickBot="1">
      <c r="A626" s="212"/>
      <c r="B626" s="1010" t="s">
        <v>216</v>
      </c>
      <c r="C626" s="1005" t="s">
        <v>165</v>
      </c>
      <c r="D626" s="1012"/>
    </row>
    <row r="627" spans="1:4">
      <c r="A627" s="487" t="s">
        <v>67</v>
      </c>
      <c r="B627" s="1011"/>
      <c r="C627" s="3" t="s">
        <v>166</v>
      </c>
      <c r="D627" s="15" t="s">
        <v>167</v>
      </c>
    </row>
    <row r="628" spans="1:4" ht="14.65" thickBot="1">
      <c r="A628" s="133" t="s">
        <v>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14.912024065303811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3.2361415008151742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449.31082607450412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44.756607070122058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G592</f>
        <v>67.258043841038514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1256.3064164690027</v>
      </c>
      <c r="C634" s="486">
        <f>Rohdaten!$F$25</f>
        <v>5000</v>
      </c>
      <c r="D634" s="237">
        <f>Rohdaten!$H$25</f>
        <v>1500</v>
      </c>
    </row>
  </sheetData>
  <mergeCells count="45">
    <mergeCell ref="B465:C465"/>
    <mergeCell ref="D465:F465"/>
    <mergeCell ref="G578:H578"/>
    <mergeCell ref="B613:E613"/>
    <mergeCell ref="B626:B627"/>
    <mergeCell ref="C626:D626"/>
    <mergeCell ref="B485:E485"/>
    <mergeCell ref="F485:G485"/>
    <mergeCell ref="F486:G486"/>
    <mergeCell ref="D510:E510"/>
    <mergeCell ref="B577:F577"/>
    <mergeCell ref="G577:H577"/>
    <mergeCell ref="E405:H405"/>
    <mergeCell ref="B432:D432"/>
    <mergeCell ref="E432:H432"/>
    <mergeCell ref="E433:F433"/>
    <mergeCell ref="G433:H433"/>
    <mergeCell ref="B199:C199"/>
    <mergeCell ref="B200:C200"/>
    <mergeCell ref="B285:F285"/>
    <mergeCell ref="G285:L285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I286:L286"/>
    <mergeCell ref="I287:J287"/>
    <mergeCell ref="K287:L287"/>
    <mergeCell ref="B405:D405"/>
    <mergeCell ref="D63:F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DFD-D84E-45FF-8F48-87E13229774A}">
  <sheetPr codeName="Tabelle23"/>
  <dimension ref="A1:L634"/>
  <sheetViews>
    <sheetView topLeftCell="A84" zoomScale="58" zoomScaleNormal="50" workbookViewId="0">
      <selection activeCell="D84" sqref="D84"/>
    </sheetView>
  </sheetViews>
  <sheetFormatPr baseColWidth="10" defaultColWidth="8.86328125" defaultRowHeight="14.25"/>
  <cols>
    <col min="1" max="1" width="48.597656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0.2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2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0.2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2400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9.0538705296514255E-2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26508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9900</v>
      </c>
    </row>
    <row r="34" spans="1:3" ht="14.65" thickBot="1">
      <c r="A34" s="680" t="s">
        <v>427</v>
      </c>
      <c r="B34" s="694" t="s">
        <v>35</v>
      </c>
      <c r="C34" s="725">
        <f>C30+C33</f>
        <v>16500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2400</v>
      </c>
    </row>
    <row r="40" spans="1:3" hidden="1">
      <c r="A40" s="257" t="s">
        <v>33</v>
      </c>
      <c r="B40" s="287" t="s">
        <v>35</v>
      </c>
      <c r="C40" s="295">
        <f>$C$30</f>
        <v>6600.0000000000009</v>
      </c>
    </row>
    <row r="41" spans="1:3" hidden="1">
      <c r="A41" s="257" t="s">
        <v>57</v>
      </c>
      <c r="B41" s="287" t="s">
        <v>35</v>
      </c>
      <c r="C41" s="279">
        <f>C38+C39+C40</f>
        <v>21000</v>
      </c>
    </row>
    <row r="42" spans="1:3" hidden="1">
      <c r="A42" s="257" t="s">
        <v>58</v>
      </c>
      <c r="B42" s="287" t="s">
        <v>35</v>
      </c>
      <c r="C42" s="279">
        <f>$C$22+$C$25+$C$30+$C$24</f>
        <v>55008</v>
      </c>
    </row>
    <row r="43" spans="1:3" hidden="1">
      <c r="A43" s="299" t="s">
        <v>59</v>
      </c>
      <c r="B43" s="258" t="s">
        <v>24</v>
      </c>
      <c r="C43" s="300">
        <f>C41/C42</f>
        <v>0.3817626527050611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55008</v>
      </c>
    </row>
    <row r="47" spans="1:3" ht="14.65" hidden="1" thickBot="1">
      <c r="A47" s="301" t="s">
        <v>61</v>
      </c>
      <c r="B47" s="259" t="s">
        <v>24</v>
      </c>
      <c r="C47" s="302">
        <f>C44/C46</f>
        <v>0.61823734729493895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2400</v>
      </c>
    </row>
    <row r="53" spans="1:6" hidden="1">
      <c r="A53" s="257" t="s">
        <v>33</v>
      </c>
      <c r="B53" s="287" t="s">
        <v>35</v>
      </c>
      <c r="C53" s="295">
        <f>$C$30</f>
        <v>6600.0000000000009</v>
      </c>
    </row>
    <row r="54" spans="1:6" hidden="1">
      <c r="A54" s="257" t="s">
        <v>430</v>
      </c>
      <c r="B54" s="287" t="s">
        <v>35</v>
      </c>
      <c r="C54" s="279">
        <f>C51+C52+C53</f>
        <v>21000</v>
      </c>
    </row>
    <row r="55" spans="1:6" hidden="1">
      <c r="A55" s="257" t="s">
        <v>58</v>
      </c>
      <c r="B55" s="287" t="s">
        <v>35</v>
      </c>
      <c r="C55" s="279">
        <f>$C$22+$C$25+$C$30+$C$24</f>
        <v>55008</v>
      </c>
    </row>
    <row r="56" spans="1:6" hidden="1">
      <c r="A56" s="299" t="s">
        <v>64</v>
      </c>
      <c r="B56" s="258" t="s">
        <v>24</v>
      </c>
      <c r="C56" s="300">
        <f>C54/C88</f>
        <v>0.3817626527050611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55008</v>
      </c>
    </row>
    <row r="60" spans="1:6" ht="14.65" hidden="1" thickBot="1">
      <c r="A60" s="301" t="s">
        <v>66</v>
      </c>
      <c r="B60" s="259" t="s">
        <v>24</v>
      </c>
      <c r="C60" s="303">
        <f>C58/C88</f>
        <v>0.61823734729493895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0.6191868864567116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289.79432334701602</v>
      </c>
      <c r="F66" s="467">
        <f t="shared" ref="F66:F78" si="2">D66*(1-B66)</f>
        <v>178.22967665298401</v>
      </c>
    </row>
    <row r="67" spans="1:7">
      <c r="A67" s="107" t="s">
        <v>73</v>
      </c>
      <c r="B67" s="448">
        <v>0.82923397414839517</v>
      </c>
      <c r="C67" s="413">
        <v>28.6</v>
      </c>
      <c r="D67" s="229">
        <f t="shared" si="0"/>
        <v>0.34320000000000001</v>
      </c>
      <c r="E67" s="424">
        <f t="shared" si="1"/>
        <v>0.28459309992772924</v>
      </c>
      <c r="F67" s="468">
        <f t="shared" si="2"/>
        <v>5.8606900072270776E-2</v>
      </c>
    </row>
    <row r="68" spans="1:7">
      <c r="A68" s="108" t="s">
        <v>74</v>
      </c>
      <c r="B68" s="448">
        <v>0.25071918088306311</v>
      </c>
      <c r="C68" s="413">
        <v>159000</v>
      </c>
      <c r="D68" s="229">
        <f t="shared" si="0"/>
        <v>1908</v>
      </c>
      <c r="E68" s="424">
        <f t="shared" si="1"/>
        <v>478.37219712488439</v>
      </c>
      <c r="F68" s="468">
        <f t="shared" si="2"/>
        <v>1429.6278028751155</v>
      </c>
      <c r="G68" s="710"/>
    </row>
    <row r="69" spans="1:7">
      <c r="A69" s="108" t="s">
        <v>75</v>
      </c>
      <c r="B69" s="448">
        <v>9.452344167988902E-3</v>
      </c>
      <c r="C69" s="413">
        <v>3.5</v>
      </c>
      <c r="D69" s="229">
        <f t="shared" si="0"/>
        <v>4.2000000000000003E-2</v>
      </c>
      <c r="E69" s="424">
        <f t="shared" si="1"/>
        <v>3.9699845505553391E-4</v>
      </c>
      <c r="F69" s="468">
        <f t="shared" si="2"/>
        <v>4.1603001544944472E-2</v>
      </c>
    </row>
    <row r="70" spans="1:7">
      <c r="A70" s="108" t="s">
        <v>76</v>
      </c>
      <c r="B70" s="448">
        <v>0.35199415966469738</v>
      </c>
      <c r="C70" s="413">
        <v>136</v>
      </c>
      <c r="D70" s="229">
        <f t="shared" si="0"/>
        <v>1.6319999999999999</v>
      </c>
      <c r="E70" s="424">
        <f t="shared" si="1"/>
        <v>0.57445446857278604</v>
      </c>
      <c r="F70" s="468">
        <f t="shared" si="2"/>
        <v>1.0575455314272137</v>
      </c>
    </row>
    <row r="71" spans="1:7">
      <c r="A71" s="108" t="s">
        <v>77</v>
      </c>
      <c r="B71" s="448">
        <v>0.2172265378030338</v>
      </c>
      <c r="C71" s="413">
        <v>656</v>
      </c>
      <c r="D71" s="229">
        <f t="shared" si="0"/>
        <v>7.8719999999999999</v>
      </c>
      <c r="E71" s="424">
        <f t="shared" si="1"/>
        <v>1.7100073055854821</v>
      </c>
      <c r="F71" s="468">
        <f t="shared" si="2"/>
        <v>6.1619926944145176</v>
      </c>
    </row>
    <row r="72" spans="1:7">
      <c r="A72" s="108" t="s">
        <v>78</v>
      </c>
      <c r="B72" s="448">
        <v>0.55056776383895401</v>
      </c>
      <c r="C72" s="413">
        <v>87577</v>
      </c>
      <c r="D72" s="229">
        <f t="shared" si="0"/>
        <v>1050.924</v>
      </c>
      <c r="E72" s="424">
        <f t="shared" si="1"/>
        <v>578.60487664468894</v>
      </c>
      <c r="F72" s="468">
        <f t="shared" si="2"/>
        <v>472.31912335531109</v>
      </c>
    </row>
    <row r="73" spans="1:7">
      <c r="A73" s="108" t="s">
        <v>79</v>
      </c>
      <c r="B73" s="448">
        <v>0.75314377887939554</v>
      </c>
      <c r="C73" s="413">
        <v>8230</v>
      </c>
      <c r="D73" s="229">
        <f t="shared" si="0"/>
        <v>98.76</v>
      </c>
      <c r="E73" s="424">
        <f t="shared" si="1"/>
        <v>74.380479602129114</v>
      </c>
      <c r="F73" s="468">
        <f t="shared" si="2"/>
        <v>24.379520397870898</v>
      </c>
    </row>
    <row r="74" spans="1:7">
      <c r="A74" s="108" t="s">
        <v>80</v>
      </c>
      <c r="B74" s="448">
        <v>0.73139026270014895</v>
      </c>
      <c r="C74" s="413">
        <v>12900</v>
      </c>
      <c r="D74" s="229">
        <f t="shared" si="0"/>
        <v>154.80000000000001</v>
      </c>
      <c r="E74" s="424">
        <f t="shared" si="1"/>
        <v>113.21921266598306</v>
      </c>
      <c r="F74" s="468">
        <f t="shared" si="2"/>
        <v>41.580787334016946</v>
      </c>
    </row>
    <row r="75" spans="1:7">
      <c r="A75" s="108" t="s">
        <v>81</v>
      </c>
      <c r="B75" s="448">
        <v>0.79070236683757267</v>
      </c>
      <c r="C75" s="413">
        <v>8100</v>
      </c>
      <c r="D75" s="229">
        <f t="shared" si="0"/>
        <v>97.2</v>
      </c>
      <c r="E75" s="424">
        <f t="shared" si="1"/>
        <v>76.856270056612061</v>
      </c>
      <c r="F75" s="468">
        <f t="shared" si="2"/>
        <v>20.343729943387938</v>
      </c>
    </row>
    <row r="76" spans="1:7">
      <c r="A76" s="108" t="s">
        <v>82</v>
      </c>
      <c r="B76" s="448">
        <v>0.36220437228606051</v>
      </c>
      <c r="C76" s="413">
        <v>125</v>
      </c>
      <c r="D76" s="229">
        <f t="shared" si="0"/>
        <v>1.5</v>
      </c>
      <c r="E76" s="424">
        <f t="shared" si="1"/>
        <v>0.54330655842909081</v>
      </c>
      <c r="F76" s="468">
        <f t="shared" si="2"/>
        <v>0.95669344157090919</v>
      </c>
    </row>
    <row r="77" spans="1:7">
      <c r="A77" s="108" t="s">
        <v>83</v>
      </c>
      <c r="B77" s="448">
        <v>0.80053901992478527</v>
      </c>
      <c r="C77" s="413">
        <v>81618</v>
      </c>
      <c r="D77" s="229">
        <f t="shared" si="0"/>
        <v>979.41600000000005</v>
      </c>
      <c r="E77" s="424">
        <f t="shared" si="1"/>
        <v>784.06072473865356</v>
      </c>
      <c r="F77" s="468">
        <f t="shared" si="2"/>
        <v>195.35527526134652</v>
      </c>
    </row>
    <row r="78" spans="1:7">
      <c r="A78" s="108" t="s">
        <v>84</v>
      </c>
      <c r="B78" s="448">
        <v>0.21059846402677285</v>
      </c>
      <c r="C78" s="413">
        <v>124</v>
      </c>
      <c r="D78" s="229">
        <f t="shared" si="0"/>
        <v>1.488</v>
      </c>
      <c r="E78" s="424">
        <f t="shared" si="1"/>
        <v>0.313370514471838</v>
      </c>
      <c r="F78" s="468">
        <f t="shared" si="2"/>
        <v>1.174629485528162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0.37290206744084387</v>
      </c>
      <c r="C80" s="414">
        <v>2353</v>
      </c>
      <c r="D80" s="230">
        <f t="shared" si="0"/>
        <v>28.236000000000001</v>
      </c>
      <c r="E80" s="435">
        <f>B80*D80</f>
        <v>10.529262776259667</v>
      </c>
      <c r="F80" s="469">
        <f>D80*(1-B80)</f>
        <v>17.706737223740333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2400</v>
      </c>
    </row>
    <row r="87" spans="1:3">
      <c r="A87" s="257" t="s">
        <v>428</v>
      </c>
      <c r="B87" s="278" t="s">
        <v>35</v>
      </c>
      <c r="C87" s="289">
        <f>C30</f>
        <v>6600.0000000000009</v>
      </c>
    </row>
    <row r="88" spans="1:3" ht="14.65" thickBot="1">
      <c r="A88" s="255" t="s">
        <v>4</v>
      </c>
      <c r="B88" s="271" t="s">
        <v>35</v>
      </c>
      <c r="C88" s="256">
        <f>C84+C85+C86+C87</f>
        <v>55008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2409.2434759016687</v>
      </c>
    </row>
    <row r="94" spans="1:3" hidden="1">
      <c r="A94" s="257" t="s">
        <v>57</v>
      </c>
      <c r="B94" s="278" t="s">
        <v>35</v>
      </c>
      <c r="C94" s="279">
        <f>C92-C93</f>
        <v>9590.7565240983313</v>
      </c>
    </row>
    <row r="95" spans="1:3" hidden="1">
      <c r="A95" s="257" t="s">
        <v>4</v>
      </c>
      <c r="B95" s="278" t="s">
        <v>35</v>
      </c>
      <c r="C95" s="279">
        <f>$C$88</f>
        <v>55008</v>
      </c>
    </row>
    <row r="96" spans="1:3" hidden="1">
      <c r="A96" s="299" t="s">
        <v>59</v>
      </c>
      <c r="B96" s="260" t="s">
        <v>24</v>
      </c>
      <c r="C96" s="300">
        <f>C94/C95</f>
        <v>0.17435203105181668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2400</v>
      </c>
    </row>
    <row r="99" spans="1:3" hidden="1">
      <c r="A99" s="257" t="s">
        <v>33</v>
      </c>
      <c r="B99" s="278" t="s">
        <v>35</v>
      </c>
      <c r="C99" s="295">
        <f>$C$30</f>
        <v>6600.0000000000009</v>
      </c>
    </row>
    <row r="100" spans="1:3" hidden="1">
      <c r="A100" s="257" t="s">
        <v>87</v>
      </c>
      <c r="B100" s="278" t="s">
        <v>35</v>
      </c>
      <c r="C100" s="295">
        <f>SUM($E$66:$E$80)</f>
        <v>2409.2434759016687</v>
      </c>
    </row>
    <row r="101" spans="1:3" hidden="1">
      <c r="A101" s="257" t="s">
        <v>60</v>
      </c>
      <c r="B101" s="278" t="s">
        <v>35</v>
      </c>
      <c r="C101" s="279">
        <f>SUM(C97:C100)</f>
        <v>45417.243475901669</v>
      </c>
    </row>
    <row r="102" spans="1:3" hidden="1">
      <c r="A102" s="257" t="s">
        <v>4</v>
      </c>
      <c r="B102" s="278" t="s">
        <v>35</v>
      </c>
      <c r="C102" s="279">
        <f>$C$88</f>
        <v>55008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0.82564796894818338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2400</v>
      </c>
    </row>
    <row r="109" spans="1:3">
      <c r="A109" s="257" t="s">
        <v>428</v>
      </c>
      <c r="B109" s="278" t="s">
        <v>35</v>
      </c>
      <c r="C109" s="295">
        <f>$C$30</f>
        <v>6600.0000000000009</v>
      </c>
    </row>
    <row r="110" spans="1:3">
      <c r="A110" s="257" t="s">
        <v>336</v>
      </c>
      <c r="B110" s="278" t="s">
        <v>35</v>
      </c>
      <c r="C110" s="279">
        <f>C107+C108+C109</f>
        <v>21000</v>
      </c>
    </row>
    <row r="111" spans="1:3">
      <c r="A111" s="257" t="s">
        <v>4</v>
      </c>
      <c r="B111" s="278" t="s">
        <v>35</v>
      </c>
      <c r="C111" s="279">
        <f>$C$88</f>
        <v>55008</v>
      </c>
    </row>
    <row r="112" spans="1:3">
      <c r="A112" s="299" t="s">
        <v>64</v>
      </c>
      <c r="B112" s="260" t="s">
        <v>24</v>
      </c>
      <c r="C112" s="300">
        <f>C110/C111</f>
        <v>0.3817626527050611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55008</v>
      </c>
    </row>
    <row r="116" spans="1:12" ht="14.65" thickBot="1">
      <c r="A116" s="301" t="s">
        <v>66</v>
      </c>
      <c r="B116" s="277" t="s">
        <v>24</v>
      </c>
      <c r="C116" s="303">
        <f>C114/C115</f>
        <v>0.61823734729493895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289.79432334701602</v>
      </c>
      <c r="D123" s="428">
        <f t="shared" ref="D123:D134" si="5">F66</f>
        <v>178.22967665298401</v>
      </c>
      <c r="E123" s="160">
        <f>$C$110</f>
        <v>21000</v>
      </c>
      <c r="F123" s="440">
        <f>$C$88</f>
        <v>55008</v>
      </c>
      <c r="G123" s="443">
        <f t="shared" ref="G123:G143" si="6">B123/E123*1000000</f>
        <v>22286.857142857141</v>
      </c>
      <c r="H123" s="554">
        <f>G123/1000000</f>
        <v>2.2286857142857143E-2</v>
      </c>
      <c r="I123" s="557">
        <f t="shared" ref="I123:I143" si="7">C123/F123*1000000</f>
        <v>5268.2214104678596</v>
      </c>
      <c r="J123" s="432">
        <f>I123/1000000</f>
        <v>5.2682214104678594E-3</v>
      </c>
      <c r="K123" s="431">
        <f t="shared" ref="K123:K143" si="8">D123/F123*1000000</f>
        <v>3240.0682928480223</v>
      </c>
      <c r="L123" s="433">
        <f>K123/1000000</f>
        <v>3.2400682928480223E-3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0.28459309992772924</v>
      </c>
      <c r="D124" s="235">
        <f t="shared" si="5"/>
        <v>5.8606900072270776E-2</v>
      </c>
      <c r="E124" s="119">
        <f t="shared" ref="E124:E143" si="9">$C$110</f>
        <v>21000</v>
      </c>
      <c r="F124" s="441">
        <f t="shared" ref="F124:F143" si="10">$C$88</f>
        <v>55008</v>
      </c>
      <c r="G124" s="444">
        <f t="shared" si="6"/>
        <v>16.342857142857142</v>
      </c>
      <c r="H124" s="555">
        <f t="shared" ref="H124:H143" si="11">G124/1000000</f>
        <v>1.6342857142857143E-5</v>
      </c>
      <c r="I124" s="558">
        <f t="shared" si="7"/>
        <v>5.1736674652364973</v>
      </c>
      <c r="J124" s="427">
        <f t="shared" ref="J124:J143" si="12">I124/1000000</f>
        <v>5.1736674652364977E-6</v>
      </c>
      <c r="K124" s="426">
        <f t="shared" si="8"/>
        <v>1.0654250304005013</v>
      </c>
      <c r="L124" s="434">
        <f t="shared" ref="L124:L143" si="13">K124/1000000</f>
        <v>1.0654250304005013E-6</v>
      </c>
    </row>
    <row r="125" spans="1:12">
      <c r="A125" s="149" t="s">
        <v>74</v>
      </c>
      <c r="B125" s="161">
        <f t="shared" si="3"/>
        <v>1908</v>
      </c>
      <c r="C125" s="235">
        <f t="shared" si="4"/>
        <v>478.37219712488439</v>
      </c>
      <c r="D125" s="235">
        <f t="shared" si="5"/>
        <v>1429.6278028751155</v>
      </c>
      <c r="E125" s="119">
        <f t="shared" si="9"/>
        <v>21000</v>
      </c>
      <c r="F125" s="441">
        <f t="shared" si="10"/>
        <v>55008</v>
      </c>
      <c r="G125" s="444">
        <f t="shared" si="6"/>
        <v>90857.142857142855</v>
      </c>
      <c r="H125" s="555">
        <f t="shared" si="11"/>
        <v>9.0857142857142859E-2</v>
      </c>
      <c r="I125" s="558">
        <f t="shared" si="7"/>
        <v>8696.4113787973456</v>
      </c>
      <c r="J125" s="427">
        <f t="shared" si="12"/>
        <v>8.6964113787973453E-3</v>
      </c>
      <c r="K125" s="426">
        <f t="shared" si="8"/>
        <v>25989.452495548201</v>
      </c>
      <c r="L125" s="434">
        <f t="shared" si="13"/>
        <v>2.5989452495548199E-2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3.9699845505553391E-4</v>
      </c>
      <c r="D126" s="235">
        <f t="shared" si="5"/>
        <v>4.1603001544944472E-2</v>
      </c>
      <c r="E126" s="119">
        <f t="shared" si="9"/>
        <v>21000</v>
      </c>
      <c r="F126" s="441">
        <f t="shared" si="10"/>
        <v>55008</v>
      </c>
      <c r="G126" s="444">
        <f t="shared" si="6"/>
        <v>2.0000000000000004</v>
      </c>
      <c r="H126" s="555">
        <f t="shared" si="11"/>
        <v>2.0000000000000003E-6</v>
      </c>
      <c r="I126" s="558">
        <f t="shared" si="7"/>
        <v>7.2171039677053142E-3</v>
      </c>
      <c r="J126" s="427">
        <f t="shared" si="12"/>
        <v>7.2171039677053141E-9</v>
      </c>
      <c r="K126" s="426">
        <f t="shared" si="8"/>
        <v>0.75630820144241695</v>
      </c>
      <c r="L126" s="434">
        <f t="shared" si="13"/>
        <v>7.5630820144241692E-7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0.57445446857278604</v>
      </c>
      <c r="D127" s="235">
        <f t="shared" si="5"/>
        <v>1.0575455314272137</v>
      </c>
      <c r="E127" s="119">
        <f t="shared" si="9"/>
        <v>21000</v>
      </c>
      <c r="F127" s="441">
        <f t="shared" si="10"/>
        <v>55008</v>
      </c>
      <c r="G127" s="444">
        <f t="shared" si="6"/>
        <v>77.714285714285708</v>
      </c>
      <c r="H127" s="555">
        <f t="shared" si="11"/>
        <v>7.7714285714285708E-5</v>
      </c>
      <c r="I127" s="558">
        <f t="shared" si="7"/>
        <v>10.443107703839187</v>
      </c>
      <c r="J127" s="427">
        <f t="shared" si="12"/>
        <v>1.0443107703839187E-5</v>
      </c>
      <c r="K127" s="426">
        <f t="shared" si="8"/>
        <v>19.225304163525557</v>
      </c>
      <c r="L127" s="434">
        <f t="shared" si="13"/>
        <v>1.9225304163525556E-5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1.7100073055854821</v>
      </c>
      <c r="D128" s="235">
        <f t="shared" si="5"/>
        <v>6.1619926944145176</v>
      </c>
      <c r="E128" s="119">
        <f t="shared" si="9"/>
        <v>21000</v>
      </c>
      <c r="F128" s="441">
        <f t="shared" si="10"/>
        <v>55008</v>
      </c>
      <c r="G128" s="444">
        <f t="shared" si="6"/>
        <v>374.85714285714289</v>
      </c>
      <c r="H128" s="555">
        <f t="shared" si="11"/>
        <v>3.7485714285714287E-4</v>
      </c>
      <c r="I128" s="558">
        <f t="shared" si="7"/>
        <v>31.086520244064172</v>
      </c>
      <c r="J128" s="427">
        <f t="shared" si="12"/>
        <v>3.1086520244064171E-5</v>
      </c>
      <c r="K128" s="426">
        <f t="shared" si="8"/>
        <v>112.01993699851872</v>
      </c>
      <c r="L128" s="434">
        <f t="shared" si="13"/>
        <v>1.1201993699851872E-4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578.60487664468894</v>
      </c>
      <c r="D129" s="235">
        <f t="shared" si="5"/>
        <v>472.31912335531109</v>
      </c>
      <c r="E129" s="119">
        <f t="shared" si="9"/>
        <v>21000</v>
      </c>
      <c r="F129" s="441">
        <f t="shared" si="10"/>
        <v>55008</v>
      </c>
      <c r="G129" s="444">
        <f t="shared" si="6"/>
        <v>50044</v>
      </c>
      <c r="H129" s="555">
        <f t="shared" si="11"/>
        <v>5.0043999999999998E-2</v>
      </c>
      <c r="I129" s="558">
        <f t="shared" si="7"/>
        <v>10518.558694093386</v>
      </c>
      <c r="J129" s="427">
        <f t="shared" si="12"/>
        <v>1.0518558694093386E-2</v>
      </c>
      <c r="K129" s="426">
        <f t="shared" si="8"/>
        <v>8586.371497878692</v>
      </c>
      <c r="L129" s="434">
        <f t="shared" si="13"/>
        <v>8.586371497878692E-3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74.380479602129114</v>
      </c>
      <c r="D130" s="235">
        <f t="shared" si="5"/>
        <v>24.379520397870898</v>
      </c>
      <c r="E130" s="119">
        <f t="shared" si="9"/>
        <v>21000</v>
      </c>
      <c r="F130" s="441">
        <f t="shared" si="10"/>
        <v>55008</v>
      </c>
      <c r="G130" s="444">
        <f t="shared" si="6"/>
        <v>4702.8571428571431</v>
      </c>
      <c r="H130" s="555">
        <f t="shared" si="11"/>
        <v>4.7028571428571432E-3</v>
      </c>
      <c r="I130" s="558">
        <f t="shared" si="7"/>
        <v>1352.1756763039762</v>
      </c>
      <c r="J130" s="427">
        <f t="shared" si="12"/>
        <v>1.3521756763039761E-3</v>
      </c>
      <c r="K130" s="426">
        <f t="shared" si="8"/>
        <v>443.19954184611146</v>
      </c>
      <c r="L130" s="434">
        <f t="shared" si="13"/>
        <v>4.4319954184611146E-4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113.21921266598306</v>
      </c>
      <c r="D131" s="235">
        <f t="shared" si="5"/>
        <v>41.580787334016946</v>
      </c>
      <c r="E131" s="119">
        <f t="shared" si="9"/>
        <v>21000</v>
      </c>
      <c r="F131" s="441">
        <f t="shared" si="10"/>
        <v>55008</v>
      </c>
      <c r="G131" s="444">
        <f t="shared" si="6"/>
        <v>7371.4285714285725</v>
      </c>
      <c r="H131" s="555">
        <f t="shared" si="11"/>
        <v>7.3714285714285722E-3</v>
      </c>
      <c r="I131" s="558">
        <f t="shared" si="7"/>
        <v>2058.231760216388</v>
      </c>
      <c r="J131" s="427">
        <f t="shared" si="12"/>
        <v>2.0582317602163879E-3</v>
      </c>
      <c r="K131" s="426">
        <f t="shared" si="8"/>
        <v>755.90436543806254</v>
      </c>
      <c r="L131" s="434">
        <f t="shared" si="13"/>
        <v>7.5590436543806257E-4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76.856270056612061</v>
      </c>
      <c r="D132" s="235">
        <f t="shared" si="5"/>
        <v>20.343729943387938</v>
      </c>
      <c r="E132" s="119">
        <f t="shared" si="9"/>
        <v>21000</v>
      </c>
      <c r="F132" s="441">
        <f t="shared" si="10"/>
        <v>55008</v>
      </c>
      <c r="G132" s="444">
        <f t="shared" si="6"/>
        <v>4628.5714285714294</v>
      </c>
      <c r="H132" s="555">
        <f t="shared" si="11"/>
        <v>4.6285714285714289E-3</v>
      </c>
      <c r="I132" s="558">
        <f t="shared" si="7"/>
        <v>1397.1835016108942</v>
      </c>
      <c r="J132" s="427">
        <f t="shared" si="12"/>
        <v>1.3971835016108941E-3</v>
      </c>
      <c r="K132" s="426">
        <f t="shared" si="8"/>
        <v>369.83220519538861</v>
      </c>
      <c r="L132" s="434">
        <f t="shared" si="13"/>
        <v>3.6983220519538863E-4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0.54330655842909081</v>
      </c>
      <c r="D133" s="235">
        <f t="shared" si="5"/>
        <v>0.95669344157090919</v>
      </c>
      <c r="E133" s="119">
        <f t="shared" si="9"/>
        <v>21000</v>
      </c>
      <c r="F133" s="441">
        <f t="shared" si="10"/>
        <v>55008</v>
      </c>
      <c r="G133" s="444">
        <f t="shared" si="6"/>
        <v>71.428571428571431</v>
      </c>
      <c r="H133" s="555">
        <f t="shared" si="11"/>
        <v>7.1428571428571434E-5</v>
      </c>
      <c r="I133" s="558">
        <f t="shared" si="7"/>
        <v>9.8768644275212854</v>
      </c>
      <c r="J133" s="427">
        <f t="shared" si="12"/>
        <v>9.8768644275212862E-6</v>
      </c>
      <c r="K133" s="426">
        <f t="shared" si="8"/>
        <v>17.391896479983078</v>
      </c>
      <c r="L133" s="434">
        <f t="shared" si="13"/>
        <v>1.7391896479983079E-5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784.06072473865356</v>
      </c>
      <c r="D134" s="235">
        <f t="shared" si="5"/>
        <v>195.35527526134652</v>
      </c>
      <c r="E134" s="119">
        <f t="shared" si="9"/>
        <v>21000</v>
      </c>
      <c r="F134" s="441">
        <f t="shared" si="10"/>
        <v>55008</v>
      </c>
      <c r="G134" s="444">
        <f t="shared" si="6"/>
        <v>46638.857142857145</v>
      </c>
      <c r="H134" s="555">
        <f t="shared" si="11"/>
        <v>4.6638857142857142E-2</v>
      </c>
      <c r="I134" s="558">
        <f t="shared" si="7"/>
        <v>14253.576293241957</v>
      </c>
      <c r="J134" s="427">
        <f t="shared" si="12"/>
        <v>1.4253576293241957E-2</v>
      </c>
      <c r="K134" s="426">
        <f t="shared" si="8"/>
        <v>3551.3975287475737</v>
      </c>
      <c r="L134" s="434">
        <f t="shared" si="13"/>
        <v>3.5513975287475735E-3</v>
      </c>
    </row>
    <row r="135" spans="1:12">
      <c r="A135" s="150" t="s">
        <v>96</v>
      </c>
      <c r="B135" s="161">
        <f>$C$30*31/98</f>
        <v>2087.7551020408168</v>
      </c>
      <c r="C135" s="235">
        <f>$C$30*31/98</f>
        <v>2087.7551020408168</v>
      </c>
      <c r="D135" s="235">
        <v>0</v>
      </c>
      <c r="E135" s="119">
        <f t="shared" si="9"/>
        <v>21000</v>
      </c>
      <c r="F135" s="441">
        <f t="shared" si="10"/>
        <v>55008</v>
      </c>
      <c r="G135" s="444">
        <f t="shared" si="6"/>
        <v>99416.909620991282</v>
      </c>
      <c r="H135" s="555">
        <f t="shared" si="11"/>
        <v>9.9416909620991284E-2</v>
      </c>
      <c r="I135" s="558">
        <f t="shared" si="7"/>
        <v>37953.66314064894</v>
      </c>
      <c r="J135" s="427">
        <f t="shared" si="12"/>
        <v>3.7953663140648942E-2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3067.171102040817</v>
      </c>
      <c r="C136" s="235">
        <f>C134+C135</f>
        <v>2871.8158267794706</v>
      </c>
      <c r="D136" s="235">
        <f>D134+D135</f>
        <v>195.35527526134652</v>
      </c>
      <c r="E136" s="119">
        <f t="shared" si="9"/>
        <v>21000</v>
      </c>
      <c r="F136" s="441">
        <f t="shared" si="10"/>
        <v>55008</v>
      </c>
      <c r="G136" s="444">
        <f t="shared" si="6"/>
        <v>146055.76676384843</v>
      </c>
      <c r="H136" s="555">
        <f t="shared" si="11"/>
        <v>0.14605576676384843</v>
      </c>
      <c r="I136" s="558">
        <f t="shared" si="7"/>
        <v>52207.2394338909</v>
      </c>
      <c r="J136" s="427">
        <f t="shared" si="12"/>
        <v>5.2207239433890898E-2</v>
      </c>
      <c r="K136" s="426">
        <f t="shared" si="8"/>
        <v>3551.3975287475737</v>
      </c>
      <c r="L136" s="434">
        <f t="shared" si="13"/>
        <v>3.5513975287475735E-3</v>
      </c>
    </row>
    <row r="137" spans="1:12">
      <c r="A137" s="150" t="s">
        <v>84</v>
      </c>
      <c r="B137" s="161">
        <f>D78</f>
        <v>1.488</v>
      </c>
      <c r="C137" s="235">
        <f>E78</f>
        <v>0.313370514471838</v>
      </c>
      <c r="D137" s="235">
        <f>F78</f>
        <v>1.174629485528162</v>
      </c>
      <c r="E137" s="119">
        <f t="shared" si="9"/>
        <v>21000</v>
      </c>
      <c r="F137" s="441">
        <f t="shared" si="10"/>
        <v>55008</v>
      </c>
      <c r="G137" s="444">
        <f t="shared" si="6"/>
        <v>70.857142857142847</v>
      </c>
      <c r="H137" s="555">
        <f t="shared" si="11"/>
        <v>7.0857142857142852E-5</v>
      </c>
      <c r="I137" s="558">
        <f t="shared" si="7"/>
        <v>5.6968170897294579</v>
      </c>
      <c r="J137" s="427">
        <f t="shared" si="12"/>
        <v>5.6968170897294579E-6</v>
      </c>
      <c r="K137" s="426">
        <f t="shared" si="8"/>
        <v>21.35379373051487</v>
      </c>
      <c r="L137" s="434">
        <f t="shared" si="13"/>
        <v>2.1353793730514871E-5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21000</v>
      </c>
      <c r="F138" s="441">
        <f t="shared" si="10"/>
        <v>55008</v>
      </c>
      <c r="G138" s="444">
        <f t="shared" si="6"/>
        <v>10800</v>
      </c>
      <c r="H138" s="555">
        <f t="shared" si="11"/>
        <v>1.0800000000000001E-2</v>
      </c>
      <c r="I138" s="558">
        <f t="shared" si="7"/>
        <v>0</v>
      </c>
      <c r="J138" s="427">
        <f t="shared" si="12"/>
        <v>0</v>
      </c>
      <c r="K138" s="426">
        <f t="shared" si="8"/>
        <v>4123.0366492146595</v>
      </c>
      <c r="L138" s="434">
        <f t="shared" si="13"/>
        <v>4.1230366492146595E-3</v>
      </c>
    </row>
    <row r="139" spans="1:12">
      <c r="A139" s="150" t="s">
        <v>250</v>
      </c>
      <c r="B139" s="161">
        <f>$C$25*32/98</f>
        <v>783.67346938775506</v>
      </c>
      <c r="C139" s="235">
        <v>0</v>
      </c>
      <c r="D139" s="235">
        <f>$C$25*32/98</f>
        <v>783.67346938775506</v>
      </c>
      <c r="E139" s="119">
        <f t="shared" si="9"/>
        <v>21000</v>
      </c>
      <c r="F139" s="441">
        <f t="shared" si="10"/>
        <v>55008</v>
      </c>
      <c r="G139" s="444">
        <f t="shared" si="6"/>
        <v>37317.784256559768</v>
      </c>
      <c r="H139" s="555">
        <f t="shared" si="11"/>
        <v>3.7317784256559766E-2</v>
      </c>
      <c r="I139" s="558">
        <f t="shared" si="7"/>
        <v>0</v>
      </c>
      <c r="J139" s="427">
        <f t="shared" si="12"/>
        <v>0</v>
      </c>
      <c r="K139" s="426">
        <f t="shared" si="8"/>
        <v>14246.536310859423</v>
      </c>
      <c r="L139" s="434">
        <f t="shared" si="13"/>
        <v>1.4246536310859422E-2</v>
      </c>
    </row>
    <row r="140" spans="1:12">
      <c r="A140" s="150" t="s">
        <v>251</v>
      </c>
      <c r="B140" s="161">
        <f>B138+B139</f>
        <v>1010.4734693877551</v>
      </c>
      <c r="C140" s="235">
        <v>0</v>
      </c>
      <c r="D140" s="235">
        <f>D138+D139</f>
        <v>1010.4734693877551</v>
      </c>
      <c r="E140" s="119">
        <f t="shared" si="9"/>
        <v>21000</v>
      </c>
      <c r="F140" s="441">
        <f t="shared" si="10"/>
        <v>55008</v>
      </c>
      <c r="G140" s="444">
        <f t="shared" si="6"/>
        <v>48117.784256559768</v>
      </c>
      <c r="H140" s="555">
        <f t="shared" si="11"/>
        <v>4.811778425655977E-2</v>
      </c>
      <c r="I140" s="558">
        <f t="shared" si="7"/>
        <v>0</v>
      </c>
      <c r="J140" s="427">
        <f t="shared" si="12"/>
        <v>0</v>
      </c>
      <c r="K140" s="426">
        <f t="shared" si="8"/>
        <v>18369.572960074085</v>
      </c>
      <c r="L140" s="434">
        <f t="shared" si="13"/>
        <v>1.8369572960074083E-2</v>
      </c>
    </row>
    <row r="141" spans="1:12">
      <c r="A141" s="151" t="s">
        <v>238</v>
      </c>
      <c r="B141" s="161">
        <f>B140/32*96</f>
        <v>3031.4204081632652</v>
      </c>
      <c r="C141" s="235">
        <v>0</v>
      </c>
      <c r="D141" s="235">
        <f>D140/32*96</f>
        <v>3031.4204081632652</v>
      </c>
      <c r="E141" s="119">
        <f t="shared" si="9"/>
        <v>21000</v>
      </c>
      <c r="F141" s="441">
        <f t="shared" si="10"/>
        <v>55008</v>
      </c>
      <c r="G141" s="444">
        <f t="shared" si="6"/>
        <v>144353.35276967927</v>
      </c>
      <c r="H141" s="555">
        <f t="shared" si="11"/>
        <v>0.14435335276967928</v>
      </c>
      <c r="I141" s="558">
        <f t="shared" si="7"/>
        <v>0</v>
      </c>
      <c r="J141" s="427">
        <f t="shared" si="12"/>
        <v>0</v>
      </c>
      <c r="K141" s="426">
        <f t="shared" si="8"/>
        <v>55108.718880222244</v>
      </c>
      <c r="L141" s="434">
        <f t="shared" si="13"/>
        <v>5.5108718880222243E-2</v>
      </c>
    </row>
    <row r="142" spans="1:12">
      <c r="A142" s="151" t="s">
        <v>239</v>
      </c>
      <c r="B142" s="161">
        <f>B140/32*136</f>
        <v>4294.5122448979591</v>
      </c>
      <c r="C142" s="235">
        <v>0</v>
      </c>
      <c r="D142" s="235">
        <f>D140/32*136</f>
        <v>4294.5122448979591</v>
      </c>
      <c r="E142" s="119">
        <f t="shared" si="9"/>
        <v>21000</v>
      </c>
      <c r="F142" s="441">
        <f t="shared" si="10"/>
        <v>55008</v>
      </c>
      <c r="G142" s="444">
        <f t="shared" si="6"/>
        <v>204500.58309037899</v>
      </c>
      <c r="H142" s="555">
        <f t="shared" si="11"/>
        <v>0.204500583090379</v>
      </c>
      <c r="I142" s="558">
        <f t="shared" si="7"/>
        <v>0</v>
      </c>
      <c r="J142" s="427">
        <f t="shared" si="12"/>
        <v>0</v>
      </c>
      <c r="K142" s="426">
        <f t="shared" si="8"/>
        <v>78070.685080314855</v>
      </c>
      <c r="L142" s="434">
        <f t="shared" si="13"/>
        <v>7.8070685080314853E-2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10.529262776259667</v>
      </c>
      <c r="D143" s="236">
        <f>F80</f>
        <v>17.706737223740333</v>
      </c>
      <c r="E143" s="135">
        <f t="shared" si="9"/>
        <v>21000</v>
      </c>
      <c r="F143" s="442">
        <f t="shared" si="10"/>
        <v>55008</v>
      </c>
      <c r="G143" s="445">
        <f t="shared" si="6"/>
        <v>1344.5714285714287</v>
      </c>
      <c r="H143" s="556">
        <f t="shared" si="11"/>
        <v>1.3445714285714287E-3</v>
      </c>
      <c r="I143" s="559">
        <f t="shared" si="7"/>
        <v>191.41329945207366</v>
      </c>
      <c r="J143" s="438">
        <f t="shared" si="12"/>
        <v>1.9141329945207366E-4</v>
      </c>
      <c r="K143" s="437">
        <f t="shared" si="8"/>
        <v>321.89385587078846</v>
      </c>
      <c r="L143" s="439">
        <f t="shared" si="13"/>
        <v>3.2189385587078848E-4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55008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42313.846153846149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111</v>
      </c>
      <c r="B159" s="278" t="s">
        <v>110</v>
      </c>
      <c r="C159" s="289">
        <f>C157*C158</f>
        <v>846.27692307692303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863.77678492572716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2409.2434759016687</v>
      </c>
    </row>
    <row r="167" spans="1:3" hidden="1">
      <c r="A167" s="257" t="s">
        <v>57</v>
      </c>
      <c r="B167" s="278" t="s">
        <v>35</v>
      </c>
      <c r="C167" s="279">
        <f>C165-C166</f>
        <v>9590.7565240983313</v>
      </c>
    </row>
    <row r="168" spans="1:3" hidden="1">
      <c r="A168" s="257" t="s">
        <v>114</v>
      </c>
      <c r="B168" s="278" t="s">
        <v>35</v>
      </c>
      <c r="C168" s="279">
        <f>$C$88+$C$161</f>
        <v>55871.776784925729</v>
      </c>
    </row>
    <row r="169" spans="1:3" hidden="1">
      <c r="A169" s="299" t="s">
        <v>59</v>
      </c>
      <c r="B169" s="260" t="s">
        <v>24</v>
      </c>
      <c r="C169" s="300">
        <f>C167/C168</f>
        <v>0.17165655141087136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2400</v>
      </c>
    </row>
    <row r="172" spans="1:3" hidden="1">
      <c r="A172" s="257" t="s">
        <v>33</v>
      </c>
      <c r="B172" s="278" t="s">
        <v>35</v>
      </c>
      <c r="C172" s="295">
        <f>$C$30</f>
        <v>6600.0000000000009</v>
      </c>
    </row>
    <row r="173" spans="1:3" hidden="1">
      <c r="A173" s="257" t="s">
        <v>87</v>
      </c>
      <c r="B173" s="278" t="s">
        <v>35</v>
      </c>
      <c r="C173" s="295">
        <f>SUM($E$66:$E$80)</f>
        <v>2409.2434759016687</v>
      </c>
    </row>
    <row r="174" spans="1:3" hidden="1">
      <c r="A174" s="257" t="s">
        <v>113</v>
      </c>
      <c r="B174" s="278" t="s">
        <v>35</v>
      </c>
      <c r="C174" s="295">
        <f>$C$161</f>
        <v>863.77678492572716</v>
      </c>
    </row>
    <row r="175" spans="1:3" hidden="1">
      <c r="A175" s="257" t="s">
        <v>60</v>
      </c>
      <c r="B175" s="278" t="s">
        <v>35</v>
      </c>
      <c r="C175" s="279">
        <f>C170+C171+C172+C173+C174</f>
        <v>46281.020260827398</v>
      </c>
    </row>
    <row r="176" spans="1:3" hidden="1">
      <c r="A176" s="257" t="s">
        <v>114</v>
      </c>
      <c r="B176" s="278" t="s">
        <v>35</v>
      </c>
      <c r="C176" s="279">
        <f>$C$88+$C$161</f>
        <v>55871.776784925729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0.82834344858912867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12000</v>
      </c>
    </row>
    <row r="182" spans="1:3" hidden="1">
      <c r="A182" s="282" t="s">
        <v>32</v>
      </c>
      <c r="B182" s="288" t="s">
        <v>35</v>
      </c>
      <c r="C182" s="295">
        <f>$C$25</f>
        <v>2400</v>
      </c>
    </row>
    <row r="183" spans="1:3" hidden="1">
      <c r="A183" s="282" t="s">
        <v>33</v>
      </c>
      <c r="B183" s="288" t="s">
        <v>35</v>
      </c>
      <c r="C183" s="295">
        <f>$C$30</f>
        <v>6600.0000000000009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863.77678492572716</v>
      </c>
    </row>
    <row r="186" spans="1:3" hidden="1">
      <c r="A186" s="282" t="s">
        <v>116</v>
      </c>
      <c r="B186" s="288" t="s">
        <v>35</v>
      </c>
      <c r="C186" s="295">
        <f>C185*C184</f>
        <v>43.188839246286364</v>
      </c>
    </row>
    <row r="187" spans="1:3" hidden="1">
      <c r="A187" s="282" t="s">
        <v>430</v>
      </c>
      <c r="B187" s="288" t="s">
        <v>35</v>
      </c>
      <c r="C187" s="279">
        <f>C181+C182+C183+C186</f>
        <v>21043.188839246286</v>
      </c>
    </row>
    <row r="188" spans="1:3" hidden="1">
      <c r="A188" s="282" t="s">
        <v>114</v>
      </c>
      <c r="B188" s="288" t="s">
        <v>35</v>
      </c>
      <c r="C188" s="279">
        <f>$C$88+$C$161</f>
        <v>55871.776784925729</v>
      </c>
    </row>
    <row r="189" spans="1:3" hidden="1">
      <c r="A189" s="310" t="s">
        <v>64</v>
      </c>
      <c r="B189" s="283" t="s">
        <v>24</v>
      </c>
      <c r="C189" s="300">
        <f>C187/C188</f>
        <v>0.37663360734437507</v>
      </c>
    </row>
    <row r="190" spans="1:3" hidden="1">
      <c r="A190" s="282" t="s">
        <v>34</v>
      </c>
      <c r="B190" s="288" t="s">
        <v>35</v>
      </c>
      <c r="C190" s="279">
        <f>$C$24</f>
        <v>34008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863.77678492572716</v>
      </c>
    </row>
    <row r="193" spans="1:3" hidden="1">
      <c r="A193" s="282" t="s">
        <v>118</v>
      </c>
      <c r="B193" s="81" t="s">
        <v>35</v>
      </c>
      <c r="C193" s="84">
        <f>C191*C192</f>
        <v>820.58794567944074</v>
      </c>
    </row>
    <row r="194" spans="1:3" hidden="1">
      <c r="A194" s="282" t="s">
        <v>65</v>
      </c>
      <c r="B194" s="81" t="s">
        <v>35</v>
      </c>
      <c r="C194" s="84">
        <f>C190+C193</f>
        <v>34828.587945679443</v>
      </c>
    </row>
    <row r="195" spans="1:3" hidden="1">
      <c r="A195" s="282" t="s">
        <v>114</v>
      </c>
      <c r="B195" s="81" t="s">
        <v>35</v>
      </c>
      <c r="C195" s="84">
        <f>$C$88+$C$161</f>
        <v>55871.776784925729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0.62336639265562499</v>
      </c>
    </row>
    <row r="197" spans="1:3" hidden="1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68">
        <v>2</v>
      </c>
      <c r="C199" s="1069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5">
        <v>0.15</v>
      </c>
    </row>
    <row r="205" spans="1:3">
      <c r="A205" s="232" t="s">
        <v>72</v>
      </c>
      <c r="B205" s="704" t="s">
        <v>160</v>
      </c>
      <c r="C205" s="705">
        <v>0.15</v>
      </c>
    </row>
    <row r="206" spans="1:3">
      <c r="A206" s="232" t="s">
        <v>78</v>
      </c>
      <c r="B206" s="704" t="s">
        <v>160</v>
      </c>
      <c r="C206" s="705">
        <v>0.15</v>
      </c>
    </row>
    <row r="207" spans="1:3">
      <c r="A207" s="232" t="s">
        <v>80</v>
      </c>
      <c r="B207" s="704" t="s">
        <v>160</v>
      </c>
      <c r="C207" s="705">
        <v>0.15</v>
      </c>
    </row>
    <row r="208" spans="1:3">
      <c r="A208" s="232" t="s">
        <v>83</v>
      </c>
      <c r="B208" s="704" t="s">
        <v>160</v>
      </c>
      <c r="C208" s="705">
        <v>0.15</v>
      </c>
    </row>
    <row r="209" spans="1:4">
      <c r="A209" s="232" t="s">
        <v>79</v>
      </c>
      <c r="B209" s="704" t="s">
        <v>160</v>
      </c>
      <c r="C209" s="705">
        <v>0.15</v>
      </c>
    </row>
    <row r="210" spans="1:4">
      <c r="A210" s="232" t="s">
        <v>75</v>
      </c>
      <c r="B210" s="704" t="s">
        <v>322</v>
      </c>
      <c r="C210" s="707">
        <v>0.85</v>
      </c>
    </row>
    <row r="211" spans="1:4" ht="14.65" thickBot="1">
      <c r="A211" s="233" t="s">
        <v>84</v>
      </c>
      <c r="B211" s="708" t="s">
        <v>323</v>
      </c>
      <c r="C211" s="709">
        <v>0.6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0.15</v>
      </c>
      <c r="C216" s="428">
        <f>E66</f>
        <v>289.79432334701602</v>
      </c>
      <c r="D216" s="122">
        <f>C216*B216</f>
        <v>43.469148502052398</v>
      </c>
    </row>
    <row r="217" spans="1:4">
      <c r="A217" s="185" t="s">
        <v>73</v>
      </c>
      <c r="B217" s="352">
        <f>C202</f>
        <v>0.9</v>
      </c>
      <c r="C217" s="235">
        <f>E67</f>
        <v>0.28459309992772924</v>
      </c>
      <c r="D217" s="87">
        <f>C217*B217</f>
        <v>0.25613378993495634</v>
      </c>
    </row>
    <row r="218" spans="1:4">
      <c r="A218" s="185" t="s">
        <v>75</v>
      </c>
      <c r="B218" s="400">
        <f>C210</f>
        <v>0.85</v>
      </c>
      <c r="C218" s="235">
        <f>E69</f>
        <v>3.9699845505553391E-4</v>
      </c>
      <c r="D218" s="739">
        <f t="shared" ref="D218:D234" si="14">C218*B218</f>
        <v>3.3744868679720381E-4</v>
      </c>
    </row>
    <row r="219" spans="1:4">
      <c r="A219" s="186" t="s">
        <v>77</v>
      </c>
      <c r="B219" s="352">
        <f>C201</f>
        <v>0.99</v>
      </c>
      <c r="C219" s="235">
        <f>E71</f>
        <v>1.7100073055854821</v>
      </c>
      <c r="D219" s="87">
        <f t="shared" si="14"/>
        <v>1.6929072325296273</v>
      </c>
    </row>
    <row r="220" spans="1:4">
      <c r="A220" s="186" t="s">
        <v>78</v>
      </c>
      <c r="B220" s="400">
        <f>C206</f>
        <v>0.15</v>
      </c>
      <c r="C220" s="235">
        <f>E72</f>
        <v>578.60487664468894</v>
      </c>
      <c r="D220" s="87">
        <f t="shared" si="14"/>
        <v>86.790731496703344</v>
      </c>
    </row>
    <row r="221" spans="1:4">
      <c r="A221" s="186" t="s">
        <v>79</v>
      </c>
      <c r="B221" s="400">
        <f>C209</f>
        <v>0.15</v>
      </c>
      <c r="C221" s="235">
        <f>E73</f>
        <v>74.380479602129114</v>
      </c>
      <c r="D221" s="87">
        <f t="shared" si="14"/>
        <v>11.157071940319367</v>
      </c>
    </row>
    <row r="222" spans="1:4">
      <c r="A222" s="186" t="s">
        <v>80</v>
      </c>
      <c r="B222" s="400">
        <f>C207</f>
        <v>0.15</v>
      </c>
      <c r="C222" s="235">
        <f>E74</f>
        <v>113.21921266598306</v>
      </c>
      <c r="D222" s="87">
        <f t="shared" si="14"/>
        <v>16.98288189989746</v>
      </c>
    </row>
    <row r="223" spans="1:4">
      <c r="A223" s="186" t="s">
        <v>82</v>
      </c>
      <c r="B223" s="400">
        <f>C204</f>
        <v>0.15</v>
      </c>
      <c r="C223" s="235">
        <f>E76</f>
        <v>0.54330655842909081</v>
      </c>
      <c r="D223" s="87">
        <f t="shared" si="14"/>
        <v>8.1495983764363622E-2</v>
      </c>
    </row>
    <row r="224" spans="1:4">
      <c r="A224" s="186" t="s">
        <v>213</v>
      </c>
      <c r="B224" s="400">
        <f>C208</f>
        <v>0.15</v>
      </c>
      <c r="C224" s="235">
        <f>E77</f>
        <v>784.06072473865356</v>
      </c>
      <c r="D224" s="87">
        <f t="shared" si="14"/>
        <v>117.60910871079803</v>
      </c>
    </row>
    <row r="225" spans="1:4">
      <c r="A225" s="406" t="s">
        <v>96</v>
      </c>
      <c r="B225" s="400">
        <f>C208</f>
        <v>0.15</v>
      </c>
      <c r="C225" s="235">
        <f>B135</f>
        <v>2087.7551020408168</v>
      </c>
      <c r="D225" s="87">
        <f t="shared" si="14"/>
        <v>313.16326530612253</v>
      </c>
    </row>
    <row r="226" spans="1:4">
      <c r="A226" s="406" t="s">
        <v>274</v>
      </c>
      <c r="B226" s="400">
        <f>C208</f>
        <v>0.15</v>
      </c>
      <c r="C226" s="235">
        <f>C224+C225</f>
        <v>2871.8158267794706</v>
      </c>
      <c r="D226" s="87">
        <f t="shared" si="14"/>
        <v>430.77237401692059</v>
      </c>
    </row>
    <row r="227" spans="1:4">
      <c r="A227" s="406" t="s">
        <v>84</v>
      </c>
      <c r="B227" s="400">
        <f>C211</f>
        <v>0.6</v>
      </c>
      <c r="C227" s="235">
        <f>E78</f>
        <v>0.313370514471838</v>
      </c>
      <c r="D227" s="87">
        <f t="shared" si="14"/>
        <v>0.1880223086831028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4"/>
        <v>226.8</v>
      </c>
    </row>
    <row r="229" spans="1:4">
      <c r="A229" s="186" t="s">
        <v>250</v>
      </c>
      <c r="B229" s="396">
        <v>1</v>
      </c>
      <c r="C229" s="235">
        <f>B139</f>
        <v>783.67346938775506</v>
      </c>
      <c r="D229" s="87">
        <f t="shared" si="14"/>
        <v>783.67346938775506</v>
      </c>
    </row>
    <row r="230" spans="1:4">
      <c r="A230" s="186" t="s">
        <v>251</v>
      </c>
      <c r="B230" s="397">
        <v>1</v>
      </c>
      <c r="C230" s="573">
        <f>C228+C229</f>
        <v>1010.4734693877551</v>
      </c>
      <c r="D230" s="87">
        <f>C230*B230</f>
        <v>1010.4734693877551</v>
      </c>
    </row>
    <row r="231" spans="1:4">
      <c r="A231" s="406" t="s">
        <v>238</v>
      </c>
      <c r="B231" s="397">
        <v>1</v>
      </c>
      <c r="C231" s="573">
        <f>C230/32*96</f>
        <v>3031.4204081632652</v>
      </c>
      <c r="D231" s="87">
        <f>C231*B231</f>
        <v>3031.4204081632652</v>
      </c>
    </row>
    <row r="232" spans="1:4">
      <c r="A232" s="406" t="s">
        <v>239</v>
      </c>
      <c r="B232" s="397">
        <v>1</v>
      </c>
      <c r="C232" s="573">
        <f>C230/32*136</f>
        <v>4294.5122448979591</v>
      </c>
      <c r="D232" s="87">
        <f>C232*B232</f>
        <v>4294.5122448979591</v>
      </c>
    </row>
    <row r="233" spans="1:4">
      <c r="A233" s="406" t="s">
        <v>248</v>
      </c>
      <c r="B233" s="396">
        <v>1</v>
      </c>
      <c r="C233" s="235">
        <f>C161*B147*32/78</f>
        <v>17.71849815232261</v>
      </c>
      <c r="D233" s="87">
        <f>C233*B233</f>
        <v>17.71849815232261</v>
      </c>
    </row>
    <row r="234" spans="1:4" ht="14.65" thickBot="1">
      <c r="A234" s="187" t="s">
        <v>86</v>
      </c>
      <c r="B234" s="353">
        <f>C203</f>
        <v>0.95</v>
      </c>
      <c r="C234" s="236">
        <f>E80</f>
        <v>10.529262776259667</v>
      </c>
      <c r="D234" s="88">
        <f t="shared" si="14"/>
        <v>10.002799637446683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55008</v>
      </c>
    </row>
    <row r="239" spans="1:4">
      <c r="A239" s="281" t="s">
        <v>334</v>
      </c>
      <c r="B239" s="278" t="s">
        <v>35</v>
      </c>
      <c r="C239" s="289">
        <f>C161</f>
        <v>863.77678492572716</v>
      </c>
    </row>
    <row r="240" spans="1:4" ht="14.65" thickBot="1">
      <c r="A240" s="255" t="s">
        <v>6</v>
      </c>
      <c r="B240" s="271" t="s">
        <v>35</v>
      </c>
      <c r="C240" s="280">
        <f>C238+C239</f>
        <v>55871.776784925729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2409.2434759016687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863.77678492572716</v>
      </c>
    </row>
    <row r="248" spans="1:4" hidden="1">
      <c r="A248" s="287" t="s">
        <v>122</v>
      </c>
      <c r="B248" s="288" t="s">
        <v>35</v>
      </c>
      <c r="C248" s="289">
        <f>C247*C246</f>
        <v>43.188839246286364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10396.764368262917</v>
      </c>
    </row>
    <row r="250" spans="1:4" hidden="1">
      <c r="A250" s="282" t="s">
        <v>57</v>
      </c>
      <c r="B250" s="288" t="s">
        <v>35</v>
      </c>
      <c r="C250" s="279">
        <f>C244-C245+C248+C249</f>
        <v>20030.709731607534</v>
      </c>
    </row>
    <row r="251" spans="1:4" hidden="1">
      <c r="A251" s="282" t="s">
        <v>6</v>
      </c>
      <c r="B251" s="288" t="s">
        <v>35</v>
      </c>
      <c r="C251" s="289">
        <f>$C$240</f>
        <v>55871.776784925729</v>
      </c>
    </row>
    <row r="252" spans="1:4" hidden="1">
      <c r="A252" s="310" t="s">
        <v>59</v>
      </c>
      <c r="B252" s="283" t="s">
        <v>24</v>
      </c>
      <c r="C252" s="300">
        <f>C250/C251</f>
        <v>0.35851213052905528</v>
      </c>
    </row>
    <row r="253" spans="1:4" hidden="1">
      <c r="A253" s="282" t="s">
        <v>32</v>
      </c>
      <c r="B253" s="288" t="s">
        <v>35</v>
      </c>
      <c r="C253" s="279">
        <f>$C$25</f>
        <v>2400</v>
      </c>
    </row>
    <row r="254" spans="1:4" hidden="1">
      <c r="A254" s="282" t="s">
        <v>33</v>
      </c>
      <c r="B254" s="288" t="s">
        <v>35</v>
      </c>
      <c r="C254" s="279">
        <f>$C$30</f>
        <v>6600.0000000000009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2409.2434759016687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863.77678492572716</v>
      </c>
    </row>
    <row r="259" spans="1:4" hidden="1">
      <c r="A259" s="287" t="s">
        <v>123</v>
      </c>
      <c r="B259" s="288" t="s">
        <v>35</v>
      </c>
      <c r="C259" s="289">
        <f>C239*C257</f>
        <v>820.58794567944074</v>
      </c>
    </row>
    <row r="260" spans="1:4" hidden="1">
      <c r="A260" s="282" t="s">
        <v>121</v>
      </c>
      <c r="B260" s="288" t="s">
        <v>35</v>
      </c>
      <c r="C260" s="295">
        <f>SUM($D$216:$D$234)</f>
        <v>10396.764368262917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55871.776784925729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2400</v>
      </c>
      <c r="D268" s="99"/>
    </row>
    <row r="269" spans="1:4">
      <c r="A269" s="282" t="s">
        <v>428</v>
      </c>
      <c r="B269" s="288" t="s">
        <v>35</v>
      </c>
      <c r="C269" s="295">
        <f>C30</f>
        <v>6600.0000000000009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863.77678492572716</v>
      </c>
      <c r="D271" s="99"/>
    </row>
    <row r="272" spans="1:4">
      <c r="A272" s="282" t="s">
        <v>429</v>
      </c>
      <c r="B272" s="288" t="s">
        <v>35</v>
      </c>
      <c r="C272" s="295">
        <f>C271*C270</f>
        <v>43.188839246286364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21043.188839246286</v>
      </c>
      <c r="D273" s="99"/>
    </row>
    <row r="274" spans="1:12">
      <c r="A274" s="282" t="s">
        <v>6</v>
      </c>
      <c r="B274" s="288" t="s">
        <v>35</v>
      </c>
      <c r="C274" s="289">
        <f>C240</f>
        <v>55871.776784925729</v>
      </c>
    </row>
    <row r="275" spans="1:12">
      <c r="A275" s="310" t="s">
        <v>64</v>
      </c>
      <c r="B275" s="283" t="s">
        <v>24</v>
      </c>
      <c r="C275" s="300">
        <f>C273/C274</f>
        <v>0.37663360734437507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863.77678492572716</v>
      </c>
    </row>
    <row r="279" spans="1:12">
      <c r="A279" s="282" t="s">
        <v>356</v>
      </c>
      <c r="B279" s="288" t="s">
        <v>35</v>
      </c>
      <c r="C279" s="279">
        <f>C277*C278</f>
        <v>820.58794567944074</v>
      </c>
    </row>
    <row r="280" spans="1:12">
      <c r="A280" s="282" t="s">
        <v>335</v>
      </c>
      <c r="B280" s="288" t="s">
        <v>35</v>
      </c>
      <c r="C280" s="279">
        <f>C276+C279</f>
        <v>34828.587945679443</v>
      </c>
    </row>
    <row r="281" spans="1:12">
      <c r="A281" s="282" t="s">
        <v>6</v>
      </c>
      <c r="B281" s="288" t="s">
        <v>35</v>
      </c>
      <c r="C281" s="289">
        <f>C240</f>
        <v>55871.776784925729</v>
      </c>
    </row>
    <row r="282" spans="1:12" ht="14.65" thickBot="1">
      <c r="A282" s="311" t="s">
        <v>66</v>
      </c>
      <c r="B282" s="284" t="s">
        <v>24</v>
      </c>
      <c r="C282" s="303">
        <f>C280/C281</f>
        <v>0.62336639265562499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246.32517484496358</v>
      </c>
      <c r="D289" s="428">
        <f>D123+D216</f>
        <v>221.69882515503642</v>
      </c>
      <c r="E289" s="160">
        <f>$C$273</f>
        <v>21043.188839246286</v>
      </c>
      <c r="F289" s="429">
        <f>$C$240</f>
        <v>55871.776784925729</v>
      </c>
      <c r="G289" s="404">
        <f t="shared" ref="G289:G308" si="15">B289/E289*1000000</f>
        <v>22241.115810694948</v>
      </c>
      <c r="H289" s="560">
        <f>G289/1000000</f>
        <v>2.2241115810694947E-2</v>
      </c>
      <c r="I289" s="557">
        <f>C289/F289*1000000</f>
        <v>4408.7585722067533</v>
      </c>
      <c r="J289" s="430">
        <f>I289/1000000</f>
        <v>4.4087585722067529E-3</v>
      </c>
      <c r="K289" s="431">
        <f>D289/F289*1000000</f>
        <v>3967.9931069392987</v>
      </c>
      <c r="L289" s="433">
        <f>K289/1000000</f>
        <v>3.967993106939299E-3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6">B290-D290</f>
        <v>2.8459309992772908E-2</v>
      </c>
      <c r="D290" s="235">
        <f>D124+D217</f>
        <v>0.3147406900072271</v>
      </c>
      <c r="E290" s="119">
        <f t="shared" ref="E290:E310" si="17">$C$273</f>
        <v>21043.188839246286</v>
      </c>
      <c r="F290" s="424">
        <f t="shared" ref="F290:F310" si="18">$C$240</f>
        <v>55871.776784925729</v>
      </c>
      <c r="G290" s="395">
        <f t="shared" si="15"/>
        <v>16.309315219370173</v>
      </c>
      <c r="H290" s="561">
        <f t="shared" ref="H290:H310" si="19">G290/1000000</f>
        <v>1.6309315219370174E-5</v>
      </c>
      <c r="I290" s="558">
        <f t="shared" ref="I290:I310" si="20">C290/F290*1000000</f>
        <v>0.50936826480970732</v>
      </c>
      <c r="J290" s="425">
        <f t="shared" ref="J290:J310" si="21">I290/1000000</f>
        <v>5.0936826480970729E-7</v>
      </c>
      <c r="K290" s="426">
        <f t="shared" ref="K290:K310" si="22">D290/F290*1000000</f>
        <v>5.6332679595781983</v>
      </c>
      <c r="L290" s="434">
        <f t="shared" ref="L290:L310" si="23">K290/1000000</f>
        <v>5.6332679595781985E-6</v>
      </c>
    </row>
    <row r="291" spans="1:12">
      <c r="A291" s="149" t="s">
        <v>74</v>
      </c>
      <c r="B291" s="161">
        <f t="shared" ref="B291:B305" si="24">B125</f>
        <v>1908</v>
      </c>
      <c r="C291" s="424">
        <f t="shared" si="16"/>
        <v>478.37219712488445</v>
      </c>
      <c r="D291" s="235">
        <f>D125</f>
        <v>1429.6278028751155</v>
      </c>
      <c r="E291" s="119">
        <f t="shared" si="17"/>
        <v>21043.188839246286</v>
      </c>
      <c r="F291" s="424">
        <f t="shared" si="18"/>
        <v>55871.776784925729</v>
      </c>
      <c r="G291" s="395">
        <f t="shared" si="15"/>
        <v>90670.668527267742</v>
      </c>
      <c r="H291" s="561">
        <f t="shared" si="19"/>
        <v>9.0670668527267739E-2</v>
      </c>
      <c r="I291" s="558">
        <f t="shared" si="20"/>
        <v>8561.9649965015924</v>
      </c>
      <c r="J291" s="425">
        <f t="shared" si="21"/>
        <v>8.5619649965015931E-3</v>
      </c>
      <c r="K291" s="426">
        <f t="shared" si="22"/>
        <v>25587.655971249351</v>
      </c>
      <c r="L291" s="434">
        <f t="shared" si="23"/>
        <v>2.5587655971249349E-2</v>
      </c>
    </row>
    <row r="292" spans="1:12">
      <c r="A292" s="149" t="s">
        <v>75</v>
      </c>
      <c r="B292" s="161">
        <f t="shared" si="24"/>
        <v>4.2000000000000003E-2</v>
      </c>
      <c r="C292" s="424">
        <f t="shared" si="16"/>
        <v>5.9549768258324032E-5</v>
      </c>
      <c r="D292" s="235">
        <f>D218+D126</f>
        <v>4.1940450231741679E-2</v>
      </c>
      <c r="E292" s="119">
        <f t="shared" si="17"/>
        <v>21043.188839246286</v>
      </c>
      <c r="F292" s="424">
        <f t="shared" si="18"/>
        <v>55871.776784925729</v>
      </c>
      <c r="G292" s="395">
        <f t="shared" si="15"/>
        <v>1.9958952191536923</v>
      </c>
      <c r="H292" s="561">
        <f t="shared" si="19"/>
        <v>1.9958952191536924E-6</v>
      </c>
      <c r="I292" s="558">
        <f t="shared" si="20"/>
        <v>1.0658291481861488E-3</v>
      </c>
      <c r="J292" s="425">
        <f t="shared" si="21"/>
        <v>1.0658291481861488E-9</v>
      </c>
      <c r="K292" s="426">
        <f t="shared" si="22"/>
        <v>0.75065538712306112</v>
      </c>
      <c r="L292" s="434">
        <f t="shared" si="23"/>
        <v>7.506553871230611E-7</v>
      </c>
    </row>
    <row r="293" spans="1:12">
      <c r="A293" s="149" t="s">
        <v>76</v>
      </c>
      <c r="B293" s="161">
        <f t="shared" si="24"/>
        <v>1.6319999999999999</v>
      </c>
      <c r="C293" s="424">
        <f t="shared" si="16"/>
        <v>0.57445446857278615</v>
      </c>
      <c r="D293" s="235">
        <f>D127</f>
        <v>1.0575455314272137</v>
      </c>
      <c r="E293" s="119">
        <f t="shared" si="17"/>
        <v>21043.188839246286</v>
      </c>
      <c r="F293" s="424">
        <f t="shared" si="18"/>
        <v>55871.776784925729</v>
      </c>
      <c r="G293" s="395">
        <f t="shared" si="15"/>
        <v>77.554785658543466</v>
      </c>
      <c r="H293" s="561">
        <f t="shared" si="19"/>
        <v>7.7554785658543468E-5</v>
      </c>
      <c r="I293" s="558">
        <f t="shared" si="20"/>
        <v>10.281657423999709</v>
      </c>
      <c r="J293" s="425">
        <f t="shared" si="21"/>
        <v>1.0281657423999709E-5</v>
      </c>
      <c r="K293" s="426">
        <f t="shared" si="22"/>
        <v>18.928081265397324</v>
      </c>
      <c r="L293" s="434">
        <f t="shared" si="23"/>
        <v>1.8928081265397324E-5</v>
      </c>
    </row>
    <row r="294" spans="1:12">
      <c r="A294" s="150" t="s">
        <v>77</v>
      </c>
      <c r="B294" s="161">
        <f t="shared" si="24"/>
        <v>7.8719999999999999</v>
      </c>
      <c r="C294" s="424">
        <f t="shared" si="16"/>
        <v>1.7100073055854814E-2</v>
      </c>
      <c r="D294" s="235">
        <f>D128+D219</f>
        <v>7.8548999269441451</v>
      </c>
      <c r="E294" s="119">
        <f t="shared" si="17"/>
        <v>21043.188839246286</v>
      </c>
      <c r="F294" s="424">
        <f t="shared" si="18"/>
        <v>55871.776784925729</v>
      </c>
      <c r="G294" s="395">
        <f t="shared" si="15"/>
        <v>374.08778964709205</v>
      </c>
      <c r="H294" s="561">
        <f t="shared" si="19"/>
        <v>3.7408778964709207E-4</v>
      </c>
      <c r="I294" s="558">
        <f t="shared" si="20"/>
        <v>0.30605923133034202</v>
      </c>
      <c r="J294" s="425">
        <f t="shared" si="21"/>
        <v>3.0605923133034199E-7</v>
      </c>
      <c r="K294" s="426">
        <f t="shared" si="22"/>
        <v>140.58797444693769</v>
      </c>
      <c r="L294" s="434">
        <f t="shared" si="23"/>
        <v>1.4058797444693771E-4</v>
      </c>
    </row>
    <row r="295" spans="1:12">
      <c r="A295" s="150" t="s">
        <v>78</v>
      </c>
      <c r="B295" s="161">
        <f t="shared" si="24"/>
        <v>1050.924</v>
      </c>
      <c r="C295" s="424">
        <f t="shared" si="16"/>
        <v>491.81414514798553</v>
      </c>
      <c r="D295" s="235">
        <f>D129+D220</f>
        <v>559.10985485201445</v>
      </c>
      <c r="E295" s="119">
        <f t="shared" si="17"/>
        <v>21043.188839246286</v>
      </c>
      <c r="F295" s="424">
        <f t="shared" si="18"/>
        <v>55871.776784925729</v>
      </c>
      <c r="G295" s="395">
        <f t="shared" si="15"/>
        <v>49941.290173663685</v>
      </c>
      <c r="H295" s="561">
        <f t="shared" si="19"/>
        <v>4.9941290173663687E-2</v>
      </c>
      <c r="I295" s="558">
        <f t="shared" si="20"/>
        <v>8802.550651667796</v>
      </c>
      <c r="J295" s="425">
        <f t="shared" si="21"/>
        <v>8.8025506516677954E-3</v>
      </c>
      <c r="K295" s="426">
        <f t="shared" si="22"/>
        <v>10007.017621871351</v>
      </c>
      <c r="L295" s="434">
        <f t="shared" si="23"/>
        <v>1.0007017621871351E-2</v>
      </c>
    </row>
    <row r="296" spans="1:12">
      <c r="A296" s="150" t="s">
        <v>79</v>
      </c>
      <c r="B296" s="161">
        <f t="shared" si="24"/>
        <v>98.76</v>
      </c>
      <c r="C296" s="424">
        <f t="shared" si="16"/>
        <v>63.223407661809738</v>
      </c>
      <c r="D296" s="235">
        <f>D130+D221</f>
        <v>35.536592338190268</v>
      </c>
      <c r="E296" s="119">
        <f t="shared" si="17"/>
        <v>21043.188839246286</v>
      </c>
      <c r="F296" s="424">
        <f t="shared" si="18"/>
        <v>55871.776784925729</v>
      </c>
      <c r="G296" s="395">
        <f t="shared" si="15"/>
        <v>4693.205043895683</v>
      </c>
      <c r="H296" s="561">
        <f t="shared" si="19"/>
        <v>4.6932050438956829E-3</v>
      </c>
      <c r="I296" s="558">
        <f t="shared" si="20"/>
        <v>1131.5804024844881</v>
      </c>
      <c r="J296" s="425">
        <f t="shared" si="21"/>
        <v>1.1315804024844881E-3</v>
      </c>
      <c r="K296" s="426">
        <f t="shared" si="22"/>
        <v>636.0383432047588</v>
      </c>
      <c r="L296" s="434">
        <f t="shared" si="23"/>
        <v>6.3603834320475879E-4</v>
      </c>
    </row>
    <row r="297" spans="1:12">
      <c r="A297" s="150" t="s">
        <v>80</v>
      </c>
      <c r="B297" s="161">
        <f t="shared" si="24"/>
        <v>154.80000000000001</v>
      </c>
      <c r="C297" s="424">
        <f t="shared" si="16"/>
        <v>96.236330766085601</v>
      </c>
      <c r="D297" s="235">
        <f>D131+D222</f>
        <v>58.56366923391441</v>
      </c>
      <c r="E297" s="119">
        <f t="shared" si="17"/>
        <v>21043.188839246286</v>
      </c>
      <c r="F297" s="424">
        <f t="shared" si="18"/>
        <v>55871.776784925729</v>
      </c>
      <c r="G297" s="395">
        <f t="shared" si="15"/>
        <v>7356.2995220236098</v>
      </c>
      <c r="H297" s="561">
        <f t="shared" si="19"/>
        <v>7.3562995220236094E-3</v>
      </c>
      <c r="I297" s="558">
        <f t="shared" si="20"/>
        <v>1722.4498003086646</v>
      </c>
      <c r="J297" s="425">
        <f t="shared" si="21"/>
        <v>1.7224498003086646E-3</v>
      </c>
      <c r="K297" s="426">
        <f t="shared" si="22"/>
        <v>1048.1798253767895</v>
      </c>
      <c r="L297" s="434">
        <f t="shared" si="23"/>
        <v>1.0481798253767895E-3</v>
      </c>
    </row>
    <row r="298" spans="1:12">
      <c r="A298" s="150" t="s">
        <v>81</v>
      </c>
      <c r="B298" s="161">
        <f t="shared" si="24"/>
        <v>97.2</v>
      </c>
      <c r="C298" s="424">
        <f t="shared" si="16"/>
        <v>76.856270056612061</v>
      </c>
      <c r="D298" s="235">
        <f>D132</f>
        <v>20.343729943387938</v>
      </c>
      <c r="E298" s="119">
        <f t="shared" si="17"/>
        <v>21043.188839246286</v>
      </c>
      <c r="F298" s="424">
        <f t="shared" si="18"/>
        <v>55871.776784925729</v>
      </c>
      <c r="G298" s="395">
        <f t="shared" si="15"/>
        <v>4619.071792898545</v>
      </c>
      <c r="H298" s="561">
        <f t="shared" si="19"/>
        <v>4.6190717928985452E-3</v>
      </c>
      <c r="I298" s="558">
        <f t="shared" si="20"/>
        <v>1375.5830667863775</v>
      </c>
      <c r="J298" s="425">
        <f t="shared" si="21"/>
        <v>1.3755830667863775E-3</v>
      </c>
      <c r="K298" s="426">
        <f t="shared" si="22"/>
        <v>364.1146051556517</v>
      </c>
      <c r="L298" s="434">
        <f t="shared" si="23"/>
        <v>3.6411460515565168E-4</v>
      </c>
    </row>
    <row r="299" spans="1:12">
      <c r="A299" s="150" t="s">
        <v>82</v>
      </c>
      <c r="B299" s="161">
        <f t="shared" si="24"/>
        <v>1.5</v>
      </c>
      <c r="C299" s="424">
        <f t="shared" si="16"/>
        <v>0.46181057466472719</v>
      </c>
      <c r="D299" s="235">
        <f>D133+D223</f>
        <v>1.0381894253352728</v>
      </c>
      <c r="E299" s="119">
        <f t="shared" si="17"/>
        <v>21043.188839246286</v>
      </c>
      <c r="F299" s="424">
        <f t="shared" si="18"/>
        <v>55871.776784925729</v>
      </c>
      <c r="G299" s="395">
        <f t="shared" si="15"/>
        <v>71.281972112631877</v>
      </c>
      <c r="H299" s="561">
        <f t="shared" si="19"/>
        <v>7.1281972112631871E-5</v>
      </c>
      <c r="I299" s="558">
        <f t="shared" si="20"/>
        <v>8.2655430208069589</v>
      </c>
      <c r="J299" s="425">
        <f t="shared" si="21"/>
        <v>8.2655430208069595E-6</v>
      </c>
      <c r="K299" s="426">
        <f t="shared" si="22"/>
        <v>18.581643274594725</v>
      </c>
      <c r="L299" s="434">
        <f t="shared" si="23"/>
        <v>1.8581643274594725E-5</v>
      </c>
    </row>
    <row r="300" spans="1:12">
      <c r="A300" s="150" t="s">
        <v>213</v>
      </c>
      <c r="B300" s="161">
        <f t="shared" si="24"/>
        <v>979.41600000000005</v>
      </c>
      <c r="C300" s="424">
        <f t="shared" si="16"/>
        <v>666.45161602785549</v>
      </c>
      <c r="D300" s="235">
        <f>D134+D224</f>
        <v>312.96438397214456</v>
      </c>
      <c r="E300" s="119">
        <f t="shared" si="17"/>
        <v>21043.188839246286</v>
      </c>
      <c r="F300" s="424">
        <f t="shared" si="18"/>
        <v>55871.776784925729</v>
      </c>
      <c r="G300" s="395">
        <f t="shared" si="15"/>
        <v>46543.135999110309</v>
      </c>
      <c r="H300" s="561">
        <f t="shared" si="19"/>
        <v>4.6543135999110308E-2</v>
      </c>
      <c r="I300" s="558">
        <f t="shared" si="20"/>
        <v>11928.233794914231</v>
      </c>
      <c r="J300" s="425">
        <f t="shared" si="21"/>
        <v>1.1928233794914232E-2</v>
      </c>
      <c r="K300" s="426">
        <f t="shared" si="22"/>
        <v>5601.4754135505273</v>
      </c>
      <c r="L300" s="434">
        <f t="shared" si="23"/>
        <v>5.601475413550527E-3</v>
      </c>
    </row>
    <row r="301" spans="1:12">
      <c r="A301" s="150" t="s">
        <v>96</v>
      </c>
      <c r="B301" s="161">
        <f t="shared" si="24"/>
        <v>2087.7551020408168</v>
      </c>
      <c r="C301" s="424">
        <f t="shared" si="16"/>
        <v>1774.5918367346944</v>
      </c>
      <c r="D301" s="235">
        <f>D135+D225</f>
        <v>313.16326530612253</v>
      </c>
      <c r="E301" s="119">
        <f t="shared" si="17"/>
        <v>21043.188839246286</v>
      </c>
      <c r="F301" s="424">
        <f t="shared" si="18"/>
        <v>55871.776784925729</v>
      </c>
      <c r="G301" s="395">
        <f t="shared" si="15"/>
        <v>99212.867307785607</v>
      </c>
      <c r="H301" s="561">
        <f t="shared" si="19"/>
        <v>9.9212867307785613E-2</v>
      </c>
      <c r="I301" s="558">
        <f t="shared" si="20"/>
        <v>31761.865092743592</v>
      </c>
      <c r="J301" s="425">
        <f t="shared" si="21"/>
        <v>3.1761865092743591E-2</v>
      </c>
      <c r="K301" s="426">
        <f t="shared" si="22"/>
        <v>5605.0350163665162</v>
      </c>
      <c r="L301" s="434">
        <f t="shared" si="23"/>
        <v>5.6050350163665162E-3</v>
      </c>
    </row>
    <row r="302" spans="1:12">
      <c r="A302" s="150" t="s">
        <v>97</v>
      </c>
      <c r="B302" s="161">
        <f t="shared" si="24"/>
        <v>3067.171102040817</v>
      </c>
      <c r="C302" s="424">
        <f t="shared" si="16"/>
        <v>2441.0434527625498</v>
      </c>
      <c r="D302" s="235">
        <f>D136+D226</f>
        <v>626.12764927826709</v>
      </c>
      <c r="E302" s="119">
        <f t="shared" si="17"/>
        <v>21043.188839246286</v>
      </c>
      <c r="F302" s="424">
        <f t="shared" si="18"/>
        <v>55871.776784925729</v>
      </c>
      <c r="G302" s="395">
        <f t="shared" si="15"/>
        <v>145756.00330689593</v>
      </c>
      <c r="H302" s="561">
        <f t="shared" si="19"/>
        <v>0.14575600330689592</v>
      </c>
      <c r="I302" s="558">
        <f t="shared" si="20"/>
        <v>43690.098887657827</v>
      </c>
      <c r="J302" s="425">
        <f t="shared" si="21"/>
        <v>4.3690098887657826E-2</v>
      </c>
      <c r="K302" s="426">
        <f t="shared" si="22"/>
        <v>11206.510429917042</v>
      </c>
      <c r="L302" s="434">
        <f t="shared" si="23"/>
        <v>1.1206510429917042E-2</v>
      </c>
    </row>
    <row r="303" spans="1:12">
      <c r="A303" s="150" t="s">
        <v>84</v>
      </c>
      <c r="B303" s="161">
        <f t="shared" si="24"/>
        <v>1.488</v>
      </c>
      <c r="C303" s="424">
        <f t="shared" si="16"/>
        <v>0.12534820578873518</v>
      </c>
      <c r="D303" s="235">
        <f>D227+D137</f>
        <v>1.3626517942112648</v>
      </c>
      <c r="E303" s="119">
        <f t="shared" si="17"/>
        <v>21043.188839246286</v>
      </c>
      <c r="F303" s="424">
        <f t="shared" si="18"/>
        <v>55871.776784925729</v>
      </c>
      <c r="G303" s="395">
        <f t="shared" si="15"/>
        <v>70.711716335730813</v>
      </c>
      <c r="H303" s="561">
        <f t="shared" si="19"/>
        <v>7.0711716335730812E-5</v>
      </c>
      <c r="I303" s="558">
        <f t="shared" si="20"/>
        <v>2.2434977550696811</v>
      </c>
      <c r="J303" s="425">
        <f t="shared" si="21"/>
        <v>2.243497755069681E-6</v>
      </c>
      <c r="K303" s="426">
        <f t="shared" si="22"/>
        <v>24.38891104996879</v>
      </c>
      <c r="L303" s="434">
        <f t="shared" si="23"/>
        <v>2.4388911049968791E-5</v>
      </c>
    </row>
    <row r="304" spans="1:12">
      <c r="A304" s="150" t="s">
        <v>249</v>
      </c>
      <c r="B304" s="161">
        <f t="shared" si="24"/>
        <v>226.8</v>
      </c>
      <c r="C304" s="424">
        <f t="shared" si="16"/>
        <v>0</v>
      </c>
      <c r="D304" s="235">
        <f t="shared" ref="D304:D309" si="25">D228</f>
        <v>226.8</v>
      </c>
      <c r="E304" s="119">
        <f t="shared" si="17"/>
        <v>21043.188839246286</v>
      </c>
      <c r="F304" s="424">
        <f t="shared" si="18"/>
        <v>55871.776784925729</v>
      </c>
      <c r="G304" s="395">
        <f t="shared" si="15"/>
        <v>10777.834183429939</v>
      </c>
      <c r="H304" s="561">
        <f t="shared" si="19"/>
        <v>1.077783418342994E-2</v>
      </c>
      <c r="I304" s="558">
        <f t="shared" si="20"/>
        <v>0</v>
      </c>
      <c r="J304" s="425">
        <f t="shared" si="21"/>
        <v>0</v>
      </c>
      <c r="K304" s="426">
        <f t="shared" si="22"/>
        <v>4059.2945678647352</v>
      </c>
      <c r="L304" s="434">
        <f t="shared" si="23"/>
        <v>4.059294567864735E-3</v>
      </c>
    </row>
    <row r="305" spans="1:12">
      <c r="A305" s="150" t="s">
        <v>250</v>
      </c>
      <c r="B305" s="161">
        <f t="shared" si="24"/>
        <v>783.67346938775506</v>
      </c>
      <c r="C305" s="424">
        <f t="shared" si="16"/>
        <v>0</v>
      </c>
      <c r="D305" s="235">
        <f t="shared" si="25"/>
        <v>783.67346938775506</v>
      </c>
      <c r="E305" s="119">
        <f t="shared" si="17"/>
        <v>21043.188839246286</v>
      </c>
      <c r="F305" s="424">
        <f t="shared" si="18"/>
        <v>55871.776784925729</v>
      </c>
      <c r="G305" s="395">
        <f t="shared" si="15"/>
        <v>37241.193593538279</v>
      </c>
      <c r="H305" s="561">
        <f t="shared" si="19"/>
        <v>3.724119359353828E-2</v>
      </c>
      <c r="I305" s="558">
        <f t="shared" si="20"/>
        <v>0</v>
      </c>
      <c r="J305" s="425">
        <f t="shared" si="21"/>
        <v>0</v>
      </c>
      <c r="K305" s="426">
        <f t="shared" si="22"/>
        <v>14026.285084944553</v>
      </c>
      <c r="L305" s="434">
        <f t="shared" si="23"/>
        <v>1.4026285084944553E-2</v>
      </c>
    </row>
    <row r="306" spans="1:12">
      <c r="A306" s="150" t="s">
        <v>251</v>
      </c>
      <c r="B306" s="161">
        <f>B304+B305</f>
        <v>1010.4734693877551</v>
      </c>
      <c r="C306" s="424">
        <f>B306-D306</f>
        <v>0</v>
      </c>
      <c r="D306" s="235">
        <f t="shared" si="25"/>
        <v>1010.4734693877551</v>
      </c>
      <c r="E306" s="119">
        <f t="shared" si="17"/>
        <v>21043.188839246286</v>
      </c>
      <c r="F306" s="424">
        <f t="shared" si="18"/>
        <v>55871.776784925729</v>
      </c>
      <c r="G306" s="395">
        <f t="shared" si="15"/>
        <v>48019.027776968222</v>
      </c>
      <c r="H306" s="561">
        <f t="shared" si="19"/>
        <v>4.8019027776968225E-2</v>
      </c>
      <c r="I306" s="558">
        <f>C306/F306*1000000</f>
        <v>0</v>
      </c>
      <c r="J306" s="425">
        <f>I306/1000000</f>
        <v>0</v>
      </c>
      <c r="K306" s="426">
        <f>D306/F306*1000000</f>
        <v>18085.579652809291</v>
      </c>
      <c r="L306" s="434">
        <f>K306/1000000</f>
        <v>1.808557965280929E-2</v>
      </c>
    </row>
    <row r="307" spans="1:12">
      <c r="A307" s="151" t="s">
        <v>238</v>
      </c>
      <c r="B307" s="161">
        <f>B306/32*96</f>
        <v>3031.4204081632652</v>
      </c>
      <c r="C307" s="424">
        <f>B307-D307</f>
        <v>0</v>
      </c>
      <c r="D307" s="235">
        <f t="shared" si="25"/>
        <v>3031.4204081632652</v>
      </c>
      <c r="E307" s="119">
        <f t="shared" si="17"/>
        <v>21043.188839246286</v>
      </c>
      <c r="F307" s="424">
        <f t="shared" si="18"/>
        <v>55871.776784925729</v>
      </c>
      <c r="G307" s="395">
        <f t="shared" si="15"/>
        <v>144057.08333090466</v>
      </c>
      <c r="H307" s="561">
        <f t="shared" si="19"/>
        <v>0.14405708333090467</v>
      </c>
      <c r="I307" s="558">
        <f>C307/F307*1000000</f>
        <v>0</v>
      </c>
      <c r="J307" s="425">
        <f>I307/1000000</f>
        <v>0</v>
      </c>
      <c r="K307" s="426">
        <f>D307/F307*1000000</f>
        <v>54256.738958427864</v>
      </c>
      <c r="L307" s="434">
        <f>K307/1000000</f>
        <v>5.4256738958427864E-2</v>
      </c>
    </row>
    <row r="308" spans="1:12">
      <c r="A308" s="151" t="s">
        <v>239</v>
      </c>
      <c r="B308" s="161">
        <f>B306/32*136</f>
        <v>4294.5122448979591</v>
      </c>
      <c r="C308" s="424">
        <f>B308-D308</f>
        <v>0</v>
      </c>
      <c r="D308" s="235">
        <f t="shared" si="25"/>
        <v>4294.5122448979591</v>
      </c>
      <c r="E308" s="119">
        <f t="shared" si="17"/>
        <v>21043.188839246286</v>
      </c>
      <c r="F308" s="424">
        <f t="shared" si="18"/>
        <v>55871.776784925729</v>
      </c>
      <c r="G308" s="395">
        <f t="shared" si="15"/>
        <v>204080.86805211494</v>
      </c>
      <c r="H308" s="561">
        <f t="shared" si="19"/>
        <v>0.20408086805211495</v>
      </c>
      <c r="I308" s="558">
        <f>C308/F308*1000000</f>
        <v>0</v>
      </c>
      <c r="J308" s="425">
        <f>I308/1000000</f>
        <v>0</v>
      </c>
      <c r="K308" s="426">
        <f>D308/F308*1000000</f>
        <v>76863.713524439474</v>
      </c>
      <c r="L308" s="434">
        <f>K308/1000000</f>
        <v>7.6863713524439478E-2</v>
      </c>
    </row>
    <row r="309" spans="1:12">
      <c r="A309" s="151" t="s">
        <v>248</v>
      </c>
      <c r="B309" s="161">
        <f>C233</f>
        <v>17.71849815232261</v>
      </c>
      <c r="C309" s="424">
        <f>B309-D309</f>
        <v>0</v>
      </c>
      <c r="D309" s="235">
        <f t="shared" si="25"/>
        <v>17.71849815232261</v>
      </c>
      <c r="E309" s="119">
        <f t="shared" si="17"/>
        <v>21043.188839246286</v>
      </c>
      <c r="F309" s="424">
        <f t="shared" si="18"/>
        <v>55871.776784925729</v>
      </c>
      <c r="G309" s="395">
        <f>B309/E309*1000000</f>
        <v>842.00632744771974</v>
      </c>
      <c r="H309" s="561">
        <f t="shared" si="19"/>
        <v>8.4200632744771972E-4</v>
      </c>
      <c r="I309" s="558">
        <f>C309/F309*1000000</f>
        <v>0</v>
      </c>
      <c r="J309" s="425">
        <f>I309/1000000</f>
        <v>0</v>
      </c>
      <c r="K309" s="426">
        <f>D309/F309*1000000</f>
        <v>317.1278805134238</v>
      </c>
      <c r="L309" s="434">
        <f>K309/1000000</f>
        <v>3.1712788051342378E-4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6"/>
        <v>0.52646313881298212</v>
      </c>
      <c r="D310" s="236">
        <f>D143+D234</f>
        <v>27.709536861187019</v>
      </c>
      <c r="E310" s="135">
        <f t="shared" si="17"/>
        <v>21043.188839246286</v>
      </c>
      <c r="F310" s="435">
        <f t="shared" si="18"/>
        <v>55871.776784925729</v>
      </c>
      <c r="G310" s="405">
        <f>B310/E310*1000000</f>
        <v>1341.8118430481823</v>
      </c>
      <c r="H310" s="562">
        <f t="shared" si="19"/>
        <v>1.3418118430481823E-3</v>
      </c>
      <c r="I310" s="559">
        <f t="shared" si="20"/>
        <v>9.4227026435826993</v>
      </c>
      <c r="J310" s="436">
        <f t="shared" si="21"/>
        <v>9.4227026435826985E-6</v>
      </c>
      <c r="K310" s="437">
        <f t="shared" si="22"/>
        <v>495.94873218105857</v>
      </c>
      <c r="L310" s="439">
        <f t="shared" si="23"/>
        <v>4.9594873218105858E-4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0.66174991619175327</v>
      </c>
      <c r="B315" s="457">
        <v>0.33825008380824673</v>
      </c>
      <c r="C315" s="458">
        <v>0.43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55871.776784925729</v>
      </c>
    </row>
    <row r="320" spans="1:12">
      <c r="A320" s="415" t="s">
        <v>338</v>
      </c>
      <c r="B320" s="37" t="s">
        <v>52</v>
      </c>
      <c r="C320" s="631">
        <v>2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24000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2409.2434759016687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863.77678492572716</v>
      </c>
    </row>
    <row r="330" spans="1:3" hidden="1">
      <c r="A330" s="282" t="s">
        <v>116</v>
      </c>
      <c r="B330" s="288" t="s">
        <v>35</v>
      </c>
      <c r="C330" s="295">
        <f>C329*C328</f>
        <v>43.188839246286364</v>
      </c>
    </row>
    <row r="331" spans="1:3" hidden="1">
      <c r="A331" s="282" t="s">
        <v>121</v>
      </c>
      <c r="B331" s="288" t="s">
        <v>35</v>
      </c>
      <c r="C331" s="295">
        <f>SUM($D$216:$D$234)</f>
        <v>10396.764368262917</v>
      </c>
    </row>
    <row r="332" spans="1:3" hidden="1">
      <c r="A332" s="282" t="s">
        <v>57</v>
      </c>
      <c r="B332" s="288" t="s">
        <v>35</v>
      </c>
      <c r="C332" s="279">
        <f>C326-C327+C330+C331</f>
        <v>20030.709731607534</v>
      </c>
    </row>
    <row r="333" spans="1:3" hidden="1">
      <c r="A333" s="282" t="s">
        <v>128</v>
      </c>
      <c r="B333" s="288" t="s">
        <v>35</v>
      </c>
      <c r="C333" s="279">
        <f>$C$319+$C$322</f>
        <v>79871.776784925722</v>
      </c>
    </row>
    <row r="334" spans="1:3" hidden="1">
      <c r="A334" s="310" t="s">
        <v>59</v>
      </c>
      <c r="B334" s="283" t="s">
        <v>24</v>
      </c>
      <c r="C334" s="300">
        <f>C332/C333</f>
        <v>0.25078582871074867</v>
      </c>
    </row>
    <row r="335" spans="1:3" hidden="1">
      <c r="A335" s="282" t="s">
        <v>32</v>
      </c>
      <c r="B335" s="288" t="s">
        <v>35</v>
      </c>
      <c r="C335" s="279">
        <f>$C$25</f>
        <v>2400</v>
      </c>
    </row>
    <row r="336" spans="1:3" hidden="1">
      <c r="A336" s="282" t="s">
        <v>33</v>
      </c>
      <c r="B336" s="288" t="s">
        <v>35</v>
      </c>
      <c r="C336" s="279">
        <f>$C$30</f>
        <v>6600.0000000000009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2409.2434759016687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863.77678492572716</v>
      </c>
    </row>
    <row r="341" spans="1:3" hidden="1">
      <c r="A341" s="282" t="s">
        <v>118</v>
      </c>
      <c r="B341" s="288" t="s">
        <v>35</v>
      </c>
      <c r="C341" s="279">
        <f>C339*C340</f>
        <v>820.58794567944074</v>
      </c>
    </row>
    <row r="342" spans="1:3" hidden="1">
      <c r="A342" s="282" t="s">
        <v>37</v>
      </c>
      <c r="B342" s="288" t="s">
        <v>35</v>
      </c>
      <c r="C342" s="279">
        <f>$C$322</f>
        <v>24000</v>
      </c>
    </row>
    <row r="343" spans="1:3" hidden="1">
      <c r="A343" s="282" t="s">
        <v>121</v>
      </c>
      <c r="B343" s="288" t="s">
        <v>35</v>
      </c>
      <c r="C343" s="295">
        <f>SUM($D$216:$D$234)</f>
        <v>10396.764368262917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79871.776784925722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2400</v>
      </c>
    </row>
    <row r="352" spans="1:3" hidden="1">
      <c r="A352" s="282" t="s">
        <v>33</v>
      </c>
      <c r="B352" s="288" t="s">
        <v>35</v>
      </c>
      <c r="C352" s="295">
        <f>$C$30</f>
        <v>6600.0000000000009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863.77678492572716</v>
      </c>
    </row>
    <row r="355" spans="1:3" hidden="1">
      <c r="A355" s="282" t="s">
        <v>116</v>
      </c>
      <c r="B355" s="288" t="s">
        <v>35</v>
      </c>
      <c r="C355" s="295">
        <f>C354*C353</f>
        <v>43.188839246286364</v>
      </c>
    </row>
    <row r="356" spans="1:3" hidden="1">
      <c r="A356" s="282" t="s">
        <v>430</v>
      </c>
      <c r="B356" s="288" t="s">
        <v>35</v>
      </c>
      <c r="C356" s="279">
        <f>C350+C351+C352+C355</f>
        <v>21043.188839246286</v>
      </c>
    </row>
    <row r="357" spans="1:3" hidden="1">
      <c r="A357" s="282" t="s">
        <v>114</v>
      </c>
      <c r="B357" s="288" t="s">
        <v>35</v>
      </c>
      <c r="C357" s="279">
        <f>$C$319+$C$322</f>
        <v>79871.776784925722</v>
      </c>
    </row>
    <row r="358" spans="1:3" hidden="1">
      <c r="A358" s="310" t="s">
        <v>64</v>
      </c>
      <c r="B358" s="283" t="s">
        <v>24</v>
      </c>
      <c r="C358" s="300">
        <f>C356/C357</f>
        <v>0.263462135015604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863.77678492572716</v>
      </c>
    </row>
    <row r="362" spans="1:3" hidden="1">
      <c r="A362" s="282" t="s">
        <v>118</v>
      </c>
      <c r="B362" s="288" t="s">
        <v>35</v>
      </c>
      <c r="C362" s="279">
        <f>C360*C361</f>
        <v>820.58794567944074</v>
      </c>
    </row>
    <row r="363" spans="1:3" hidden="1">
      <c r="A363" s="282" t="s">
        <v>37</v>
      </c>
      <c r="B363" s="288" t="s">
        <v>35</v>
      </c>
      <c r="C363" s="279">
        <f>$C$322</f>
        <v>24000</v>
      </c>
    </row>
    <row r="364" spans="1:3" hidden="1">
      <c r="A364" s="282" t="s">
        <v>65</v>
      </c>
      <c r="B364" s="288" t="s">
        <v>35</v>
      </c>
      <c r="C364" s="279">
        <f>C359+C362+C363</f>
        <v>58828.587945679443</v>
      </c>
    </row>
    <row r="365" spans="1:3" hidden="1">
      <c r="A365" s="282" t="s">
        <v>114</v>
      </c>
      <c r="B365" s="288" t="s">
        <v>35</v>
      </c>
      <c r="C365" s="279">
        <f>$C$319+$C$322</f>
        <v>79871.776784925722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0.73653786498439611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55871.776784925729</v>
      </c>
    </row>
    <row r="371" spans="1:3">
      <c r="A371" s="257" t="s">
        <v>338</v>
      </c>
      <c r="B371" s="278" t="s">
        <v>35</v>
      </c>
      <c r="C371" s="279">
        <f>C322</f>
        <v>24000</v>
      </c>
    </row>
    <row r="372" spans="1:3">
      <c r="A372" s="257" t="s">
        <v>339</v>
      </c>
      <c r="B372" s="278" t="s">
        <v>35</v>
      </c>
      <c r="C372" s="279">
        <f>C370+C371</f>
        <v>79871.776784925722</v>
      </c>
    </row>
    <row r="373" spans="1:3">
      <c r="A373" s="257" t="s">
        <v>130</v>
      </c>
      <c r="B373" s="278" t="s">
        <v>24</v>
      </c>
      <c r="C373" s="314">
        <f>A315</f>
        <v>0.66174991619175327</v>
      </c>
    </row>
    <row r="374" spans="1:3">
      <c r="A374" s="253" t="s">
        <v>9</v>
      </c>
      <c r="B374" s="270" t="s">
        <v>35</v>
      </c>
      <c r="C374" s="254">
        <f>C372*C373</f>
        <v>52855.14159351102</v>
      </c>
    </row>
    <row r="375" spans="1:3">
      <c r="A375" s="257" t="s">
        <v>131</v>
      </c>
      <c r="B375" s="278" t="s">
        <v>24</v>
      </c>
      <c r="C375" s="314">
        <f>B315</f>
        <v>0.33825008380824673</v>
      </c>
    </row>
    <row r="376" spans="1:3">
      <c r="A376" s="253" t="s">
        <v>11</v>
      </c>
      <c r="B376" s="270" t="s">
        <v>35</v>
      </c>
      <c r="C376" s="322">
        <f>C372*C375</f>
        <v>27016.635191414702</v>
      </c>
    </row>
    <row r="377" spans="1:3">
      <c r="A377" s="281" t="s">
        <v>355</v>
      </c>
      <c r="B377" s="278" t="s">
        <v>24</v>
      </c>
      <c r="C377" s="318">
        <f>C315</f>
        <v>0.43</v>
      </c>
    </row>
    <row r="378" spans="1:3">
      <c r="A378" s="281" t="s">
        <v>421</v>
      </c>
      <c r="B378" s="278" t="s">
        <v>35</v>
      </c>
      <c r="C378" s="289">
        <f>C376*C377</f>
        <v>11617.153132308322</v>
      </c>
    </row>
    <row r="379" spans="1:3">
      <c r="A379" s="281" t="s">
        <v>132</v>
      </c>
      <c r="B379" s="278" t="s">
        <v>24</v>
      </c>
      <c r="C379" s="318">
        <f>1-C377</f>
        <v>0.57000000000000006</v>
      </c>
    </row>
    <row r="380" spans="1:3" ht="14.65" thickBot="1">
      <c r="A380" s="319" t="s">
        <v>340</v>
      </c>
      <c r="B380" s="320" t="s">
        <v>35</v>
      </c>
      <c r="C380" s="321">
        <f>C376*C379</f>
        <v>15399.482059106382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2400</v>
      </c>
    </row>
    <row r="386" spans="1:3">
      <c r="A386" s="257" t="s">
        <v>428</v>
      </c>
      <c r="B386" s="278" t="s">
        <v>35</v>
      </c>
      <c r="C386" s="295">
        <f>$C$30</f>
        <v>6600.0000000000009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863.77678492572716</v>
      </c>
    </row>
    <row r="389" spans="1:3">
      <c r="A389" s="257" t="s">
        <v>429</v>
      </c>
      <c r="B389" s="278" t="s">
        <v>35</v>
      </c>
      <c r="C389" s="295">
        <f>C388*C387</f>
        <v>43.188839246286364</v>
      </c>
    </row>
    <row r="390" spans="1:3">
      <c r="A390" s="281" t="s">
        <v>421</v>
      </c>
      <c r="B390" s="278" t="s">
        <v>35</v>
      </c>
      <c r="C390" s="289">
        <f>$C$378</f>
        <v>11617.153132308322</v>
      </c>
    </row>
    <row r="391" spans="1:3">
      <c r="A391" s="257" t="s">
        <v>341</v>
      </c>
      <c r="B391" s="278" t="s">
        <v>35</v>
      </c>
      <c r="C391" s="279">
        <f>C384+C385+C386+C389-C390</f>
        <v>9426.0357069379643</v>
      </c>
    </row>
    <row r="392" spans="1:3">
      <c r="A392" s="257" t="s">
        <v>9</v>
      </c>
      <c r="B392" s="278" t="s">
        <v>35</v>
      </c>
      <c r="C392" s="279">
        <f>$C$374</f>
        <v>52855.14159351102</v>
      </c>
    </row>
    <row r="393" spans="1:3">
      <c r="A393" s="299" t="s">
        <v>64</v>
      </c>
      <c r="B393" s="260" t="s">
        <v>24</v>
      </c>
      <c r="C393" s="300">
        <f>C391/C392</f>
        <v>0.17833715742226278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863.77678492572716</v>
      </c>
    </row>
    <row r="397" spans="1:3">
      <c r="A397" s="257" t="s">
        <v>356</v>
      </c>
      <c r="B397" s="278" t="s">
        <v>35</v>
      </c>
      <c r="C397" s="279">
        <f>C395*C396</f>
        <v>820.58794567944074</v>
      </c>
    </row>
    <row r="398" spans="1:3">
      <c r="A398" s="257" t="s">
        <v>338</v>
      </c>
      <c r="B398" s="278" t="s">
        <v>35</v>
      </c>
      <c r="C398" s="279">
        <f>$C$322</f>
        <v>24000</v>
      </c>
    </row>
    <row r="399" spans="1:3">
      <c r="A399" s="281" t="s">
        <v>340</v>
      </c>
      <c r="B399" s="278" t="s">
        <v>35</v>
      </c>
      <c r="C399" s="289">
        <f>$C$380</f>
        <v>15399.482059106382</v>
      </c>
    </row>
    <row r="400" spans="1:3">
      <c r="A400" s="257" t="s">
        <v>342</v>
      </c>
      <c r="B400" s="278" t="s">
        <v>35</v>
      </c>
      <c r="C400" s="279">
        <f>C394+C397+C398-C399</f>
        <v>43429.105886573059</v>
      </c>
    </row>
    <row r="401" spans="1:8">
      <c r="A401" s="257" t="s">
        <v>9</v>
      </c>
      <c r="B401" s="278" t="s">
        <v>35</v>
      </c>
      <c r="C401" s="279">
        <f>$C$374</f>
        <v>52855.14159351102</v>
      </c>
    </row>
    <row r="402" spans="1:8" ht="14.65" thickBot="1">
      <c r="A402" s="301" t="s">
        <v>66</v>
      </c>
      <c r="B402" s="277" t="s">
        <v>24</v>
      </c>
      <c r="C402" s="303">
        <f>C400/C401</f>
        <v>0.82166284257773725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246.32517484496358</v>
      </c>
      <c r="C408" s="160">
        <f>$C$391</f>
        <v>9426.0357069379643</v>
      </c>
      <c r="D408" s="467">
        <f>$C$374</f>
        <v>52855.14159351102</v>
      </c>
      <c r="E408" s="465">
        <f>B408/C408*1000000</f>
        <v>26132.425391053606</v>
      </c>
      <c r="F408" s="560">
        <f>E408/1000000</f>
        <v>2.6132425391053607E-2</v>
      </c>
      <c r="G408" s="443">
        <f>B408/D408*1000000</f>
        <v>4660.3824607898641</v>
      </c>
      <c r="H408" s="460">
        <f>G408/1000000</f>
        <v>4.660382460789864E-3</v>
      </c>
    </row>
    <row r="409" spans="1:8">
      <c r="A409" s="112" t="s">
        <v>73</v>
      </c>
      <c r="B409" s="461">
        <f>C290</f>
        <v>2.8459309992772908E-2</v>
      </c>
      <c r="C409" s="119">
        <f t="shared" ref="C409:C429" si="26">$C$391</f>
        <v>9426.0357069379643</v>
      </c>
      <c r="D409" s="468">
        <f t="shared" ref="D409:D429" si="27">$C$374</f>
        <v>52855.14159351102</v>
      </c>
      <c r="E409" s="331">
        <f t="shared" ref="E409:E429" si="28">B409/C409*1000000</f>
        <v>3.019223656433387</v>
      </c>
      <c r="F409" s="561">
        <f t="shared" ref="F409:F429" si="29">E409/1000000</f>
        <v>3.019223656433387E-6</v>
      </c>
      <c r="G409" s="444">
        <f t="shared" ref="G409:G429" si="30">B409/D409*1000000</f>
        <v>0.53843976451038078</v>
      </c>
      <c r="H409" s="462">
        <f t="shared" ref="H409:H429" si="31">G409/1000000</f>
        <v>5.384397645103808E-7</v>
      </c>
    </row>
    <row r="410" spans="1:8">
      <c r="A410" s="112" t="s">
        <v>74</v>
      </c>
      <c r="B410" s="461">
        <f t="shared" ref="B410:B412" si="32">C291</f>
        <v>478.37219712488445</v>
      </c>
      <c r="C410" s="119">
        <f t="shared" si="26"/>
        <v>9426.0357069379643</v>
      </c>
      <c r="D410" s="468">
        <f t="shared" si="27"/>
        <v>52855.14159351102</v>
      </c>
      <c r="E410" s="331">
        <f t="shared" si="28"/>
        <v>50750.093888651638</v>
      </c>
      <c r="F410" s="561">
        <f t="shared" si="29"/>
        <v>5.0750093888651635E-2</v>
      </c>
      <c r="G410" s="444">
        <f t="shared" si="30"/>
        <v>9050.6274830150833</v>
      </c>
      <c r="H410" s="462">
        <f t="shared" si="31"/>
        <v>9.0506274830150831E-3</v>
      </c>
    </row>
    <row r="411" spans="1:8">
      <c r="A411" s="112" t="s">
        <v>75</v>
      </c>
      <c r="B411" s="461">
        <f t="shared" si="32"/>
        <v>5.9549768258324032E-5</v>
      </c>
      <c r="C411" s="119">
        <f t="shared" si="26"/>
        <v>9426.0357069379643</v>
      </c>
      <c r="D411" s="468">
        <f t="shared" si="27"/>
        <v>52855.14159351102</v>
      </c>
      <c r="E411" s="331">
        <f t="shared" si="28"/>
        <v>6.3175835642647589E-3</v>
      </c>
      <c r="F411" s="561">
        <f t="shared" si="29"/>
        <v>6.3175835642647589E-9</v>
      </c>
      <c r="G411" s="444">
        <f t="shared" si="30"/>
        <v>1.1266598946285842E-3</v>
      </c>
      <c r="H411" s="462">
        <f t="shared" si="31"/>
        <v>1.1266598946285843E-9</v>
      </c>
    </row>
    <row r="412" spans="1:8">
      <c r="A412" s="112" t="s">
        <v>76</v>
      </c>
      <c r="B412" s="461">
        <f t="shared" si="32"/>
        <v>0.57445446857278615</v>
      </c>
      <c r="C412" s="119">
        <f t="shared" si="26"/>
        <v>9426.0357069379643</v>
      </c>
      <c r="D412" s="468">
        <f t="shared" si="27"/>
        <v>52855.14159351102</v>
      </c>
      <c r="E412" s="331">
        <f t="shared" si="28"/>
        <v>60.943379214017106</v>
      </c>
      <c r="F412" s="561">
        <f t="shared" si="29"/>
        <v>6.0943379214017103E-5</v>
      </c>
      <c r="G412" s="444">
        <f t="shared" si="30"/>
        <v>10.868469012734826</v>
      </c>
      <c r="H412" s="462">
        <f t="shared" si="31"/>
        <v>1.0868469012734827E-5</v>
      </c>
    </row>
    <row r="413" spans="1:8">
      <c r="A413" s="113" t="s">
        <v>77</v>
      </c>
      <c r="B413" s="461">
        <f>C294</f>
        <v>1.7100073055854814E-2</v>
      </c>
      <c r="C413" s="119">
        <f t="shared" si="26"/>
        <v>9426.0357069379643</v>
      </c>
      <c r="D413" s="468">
        <f t="shared" si="27"/>
        <v>52855.14159351102</v>
      </c>
      <c r="E413" s="331">
        <f t="shared" si="28"/>
        <v>1.8141320049603071</v>
      </c>
      <c r="F413" s="561">
        <f t="shared" si="29"/>
        <v>1.8141320049603071E-6</v>
      </c>
      <c r="G413" s="444">
        <f t="shared" si="30"/>
        <v>0.32352714495337148</v>
      </c>
      <c r="H413" s="462">
        <f t="shared" si="31"/>
        <v>3.2352714495337148E-7</v>
      </c>
    </row>
    <row r="414" spans="1:8">
      <c r="A414" s="113" t="s">
        <v>78</v>
      </c>
      <c r="B414" s="461">
        <f>C295</f>
        <v>491.81414514798553</v>
      </c>
      <c r="C414" s="119">
        <f t="shared" si="26"/>
        <v>9426.0357069379643</v>
      </c>
      <c r="D414" s="468">
        <f t="shared" si="27"/>
        <v>52855.14159351102</v>
      </c>
      <c r="E414" s="331">
        <f t="shared" si="28"/>
        <v>52176.13856331876</v>
      </c>
      <c r="F414" s="561">
        <f t="shared" si="29"/>
        <v>5.2176138563318764E-2</v>
      </c>
      <c r="G414" s="444">
        <f t="shared" si="30"/>
        <v>9304.9442366523745</v>
      </c>
      <c r="H414" s="462">
        <f t="shared" si="31"/>
        <v>9.3049442366523738E-3</v>
      </c>
    </row>
    <row r="415" spans="1:8">
      <c r="A415" s="113" t="s">
        <v>79</v>
      </c>
      <c r="B415" s="461">
        <f>C296</f>
        <v>63.223407661809738</v>
      </c>
      <c r="C415" s="119">
        <f t="shared" si="26"/>
        <v>9426.0357069379643</v>
      </c>
      <c r="D415" s="468">
        <f t="shared" si="27"/>
        <v>52855.14159351102</v>
      </c>
      <c r="E415" s="331">
        <f t="shared" si="28"/>
        <v>6707.3168007707218</v>
      </c>
      <c r="F415" s="561">
        <f t="shared" si="29"/>
        <v>6.7073168007707219E-3</v>
      </c>
      <c r="G415" s="444">
        <f t="shared" si="30"/>
        <v>1196.1638121800363</v>
      </c>
      <c r="H415" s="462">
        <f t="shared" si="31"/>
        <v>1.1961638121800362E-3</v>
      </c>
    </row>
    <row r="416" spans="1:8">
      <c r="A416" s="113" t="s">
        <v>80</v>
      </c>
      <c r="B416" s="461">
        <f>C297</f>
        <v>96.236330766085601</v>
      </c>
      <c r="C416" s="119">
        <f t="shared" si="26"/>
        <v>9426.0357069379643</v>
      </c>
      <c r="D416" s="468">
        <f t="shared" si="27"/>
        <v>52855.14159351102</v>
      </c>
      <c r="E416" s="331">
        <f t="shared" si="28"/>
        <v>10209.62934558497</v>
      </c>
      <c r="F416" s="561">
        <f t="shared" si="29"/>
        <v>1.020962934558497E-2</v>
      </c>
      <c r="G416" s="444">
        <f t="shared" si="30"/>
        <v>1820.7562758265403</v>
      </c>
      <c r="H416" s="462">
        <f t="shared" si="31"/>
        <v>1.8207562758265404E-3</v>
      </c>
    </row>
    <row r="417" spans="1:8">
      <c r="A417" s="113" t="s">
        <v>81</v>
      </c>
      <c r="B417" s="461">
        <f t="shared" ref="B417:B429" si="33">C298</f>
        <v>76.856270056612061</v>
      </c>
      <c r="C417" s="119">
        <f t="shared" si="26"/>
        <v>9426.0357069379643</v>
      </c>
      <c r="D417" s="468">
        <f t="shared" si="27"/>
        <v>52855.14159351102</v>
      </c>
      <c r="E417" s="331">
        <f t="shared" si="28"/>
        <v>8153.6154165045837</v>
      </c>
      <c r="F417" s="561">
        <f t="shared" si="29"/>
        <v>8.1536154165045838E-3</v>
      </c>
      <c r="G417" s="444">
        <f t="shared" si="30"/>
        <v>1454.0925960937666</v>
      </c>
      <c r="H417" s="462">
        <f t="shared" si="31"/>
        <v>1.4540925960937665E-3</v>
      </c>
    </row>
    <row r="418" spans="1:8">
      <c r="A418" s="113" t="s">
        <v>82</v>
      </c>
      <c r="B418" s="461">
        <f t="shared" si="33"/>
        <v>0.46181057466472719</v>
      </c>
      <c r="C418" s="119">
        <f t="shared" si="26"/>
        <v>9426.0357069379643</v>
      </c>
      <c r="D418" s="468">
        <f t="shared" si="27"/>
        <v>52855.14159351102</v>
      </c>
      <c r="E418" s="331">
        <f t="shared" si="28"/>
        <v>48.993085643078444</v>
      </c>
      <c r="F418" s="561">
        <f t="shared" si="29"/>
        <v>4.8993085643078441E-5</v>
      </c>
      <c r="G418" s="444">
        <f t="shared" si="30"/>
        <v>8.7372876269320852</v>
      </c>
      <c r="H418" s="462">
        <f t="shared" si="31"/>
        <v>8.7372876269320844E-6</v>
      </c>
    </row>
    <row r="419" spans="1:8">
      <c r="A419" s="113" t="s">
        <v>213</v>
      </c>
      <c r="B419" s="461">
        <f t="shared" si="33"/>
        <v>666.45161602785549</v>
      </c>
      <c r="C419" s="119">
        <f t="shared" si="26"/>
        <v>9426.0357069379643</v>
      </c>
      <c r="D419" s="468">
        <f t="shared" si="27"/>
        <v>52855.14159351102</v>
      </c>
      <c r="E419" s="331">
        <f t="shared" si="28"/>
        <v>70703.277257619411</v>
      </c>
      <c r="F419" s="561">
        <f t="shared" si="29"/>
        <v>7.0703277257619407E-2</v>
      </c>
      <c r="G419" s="444">
        <f t="shared" si="30"/>
        <v>12609.021486561966</v>
      </c>
      <c r="H419" s="462">
        <f t="shared" si="31"/>
        <v>1.2609021486561966E-2</v>
      </c>
    </row>
    <row r="420" spans="1:8">
      <c r="A420" s="113" t="s">
        <v>96</v>
      </c>
      <c r="B420" s="461">
        <f t="shared" si="33"/>
        <v>1774.5918367346944</v>
      </c>
      <c r="C420" s="119">
        <f t="shared" si="26"/>
        <v>9426.0357069379643</v>
      </c>
      <c r="D420" s="468">
        <f t="shared" si="27"/>
        <v>52855.14159351102</v>
      </c>
      <c r="E420" s="331">
        <f t="shared" si="28"/>
        <v>188264.91771387192</v>
      </c>
      <c r="F420" s="561">
        <f t="shared" si="29"/>
        <v>0.18826491771387194</v>
      </c>
      <c r="G420" s="444">
        <f t="shared" si="30"/>
        <v>33574.630267428132</v>
      </c>
      <c r="H420" s="462">
        <f t="shared" si="31"/>
        <v>3.3574630267428129E-2</v>
      </c>
    </row>
    <row r="421" spans="1:8">
      <c r="A421" s="113" t="s">
        <v>97</v>
      </c>
      <c r="B421" s="461">
        <f t="shared" si="33"/>
        <v>2441.0434527625498</v>
      </c>
      <c r="C421" s="119">
        <f t="shared" si="26"/>
        <v>9426.0357069379643</v>
      </c>
      <c r="D421" s="468">
        <f t="shared" si="27"/>
        <v>52855.14159351102</v>
      </c>
      <c r="E421" s="331">
        <f t="shared" si="28"/>
        <v>258968.19497149132</v>
      </c>
      <c r="F421" s="561">
        <f t="shared" si="29"/>
        <v>0.25896819497149132</v>
      </c>
      <c r="G421" s="444">
        <f t="shared" si="30"/>
        <v>46183.651753990089</v>
      </c>
      <c r="H421" s="462">
        <f t="shared" si="31"/>
        <v>4.6183651753990092E-2</v>
      </c>
    </row>
    <row r="422" spans="1:8">
      <c r="A422" s="113" t="s">
        <v>84</v>
      </c>
      <c r="B422" s="461">
        <f t="shared" si="33"/>
        <v>0.12534820578873518</v>
      </c>
      <c r="C422" s="119">
        <f t="shared" si="26"/>
        <v>9426.0357069379643</v>
      </c>
      <c r="D422" s="468">
        <f t="shared" si="27"/>
        <v>52855.14159351102</v>
      </c>
      <c r="E422" s="331">
        <f t="shared" si="28"/>
        <v>13.298083063325715</v>
      </c>
      <c r="F422" s="561">
        <f t="shared" si="29"/>
        <v>1.3298083063325715E-5</v>
      </c>
      <c r="G422" s="444">
        <f t="shared" si="30"/>
        <v>2.3715423326786449</v>
      </c>
      <c r="H422" s="462">
        <f t="shared" si="31"/>
        <v>2.3715423326786448E-6</v>
      </c>
    </row>
    <row r="423" spans="1:8">
      <c r="A423" s="113" t="s">
        <v>249</v>
      </c>
      <c r="B423" s="461">
        <f t="shared" si="33"/>
        <v>0</v>
      </c>
      <c r="C423" s="119">
        <f t="shared" si="26"/>
        <v>9426.0357069379643</v>
      </c>
      <c r="D423" s="468">
        <f t="shared" si="27"/>
        <v>52855.14159351102</v>
      </c>
      <c r="E423" s="331">
        <f t="shared" si="28"/>
        <v>0</v>
      </c>
      <c r="F423" s="561">
        <f t="shared" si="29"/>
        <v>0</v>
      </c>
      <c r="G423" s="444">
        <f t="shared" si="30"/>
        <v>0</v>
      </c>
      <c r="H423" s="462">
        <f t="shared" si="31"/>
        <v>0</v>
      </c>
    </row>
    <row r="424" spans="1:8">
      <c r="A424" s="113" t="s">
        <v>250</v>
      </c>
      <c r="B424" s="461">
        <f t="shared" si="33"/>
        <v>0</v>
      </c>
      <c r="C424" s="119">
        <f t="shared" si="26"/>
        <v>9426.0357069379643</v>
      </c>
      <c r="D424" s="468">
        <f t="shared" si="27"/>
        <v>52855.14159351102</v>
      </c>
      <c r="E424" s="331">
        <f t="shared" si="28"/>
        <v>0</v>
      </c>
      <c r="F424" s="561">
        <f t="shared" si="29"/>
        <v>0</v>
      </c>
      <c r="G424" s="444">
        <f t="shared" si="30"/>
        <v>0</v>
      </c>
      <c r="H424" s="462">
        <f t="shared" si="31"/>
        <v>0</v>
      </c>
    </row>
    <row r="425" spans="1:8">
      <c r="A425" s="113" t="s">
        <v>251</v>
      </c>
      <c r="B425" s="461">
        <f t="shared" si="33"/>
        <v>0</v>
      </c>
      <c r="C425" s="119">
        <f t="shared" si="26"/>
        <v>9426.0357069379643</v>
      </c>
      <c r="D425" s="468">
        <f t="shared" si="27"/>
        <v>52855.14159351102</v>
      </c>
      <c r="E425" s="331">
        <f t="shared" si="28"/>
        <v>0</v>
      </c>
      <c r="F425" s="561">
        <f t="shared" si="29"/>
        <v>0</v>
      </c>
      <c r="G425" s="444">
        <f t="shared" si="30"/>
        <v>0</v>
      </c>
      <c r="H425" s="462">
        <f t="shared" si="31"/>
        <v>0</v>
      </c>
    </row>
    <row r="426" spans="1:8">
      <c r="A426" s="394" t="s">
        <v>238</v>
      </c>
      <c r="B426" s="461">
        <f t="shared" si="33"/>
        <v>0</v>
      </c>
      <c r="C426" s="119">
        <f t="shared" si="26"/>
        <v>9426.0357069379643</v>
      </c>
      <c r="D426" s="468">
        <f t="shared" si="27"/>
        <v>52855.14159351102</v>
      </c>
      <c r="E426" s="331">
        <f t="shared" si="28"/>
        <v>0</v>
      </c>
      <c r="F426" s="561">
        <f t="shared" si="29"/>
        <v>0</v>
      </c>
      <c r="G426" s="444">
        <f t="shared" si="30"/>
        <v>0</v>
      </c>
      <c r="H426" s="462">
        <f t="shared" si="31"/>
        <v>0</v>
      </c>
    </row>
    <row r="427" spans="1:8">
      <c r="A427" s="394" t="s">
        <v>239</v>
      </c>
      <c r="B427" s="461">
        <f t="shared" si="33"/>
        <v>0</v>
      </c>
      <c r="C427" s="119">
        <f t="shared" si="26"/>
        <v>9426.0357069379643</v>
      </c>
      <c r="D427" s="468">
        <f t="shared" si="27"/>
        <v>52855.14159351102</v>
      </c>
      <c r="E427" s="331">
        <f t="shared" si="28"/>
        <v>0</v>
      </c>
      <c r="F427" s="561">
        <f t="shared" si="29"/>
        <v>0</v>
      </c>
      <c r="G427" s="444">
        <f t="shared" si="30"/>
        <v>0</v>
      </c>
      <c r="H427" s="462">
        <f t="shared" si="31"/>
        <v>0</v>
      </c>
    </row>
    <row r="428" spans="1:8">
      <c r="A428" s="394" t="s">
        <v>248</v>
      </c>
      <c r="B428" s="461">
        <f t="shared" si="33"/>
        <v>0</v>
      </c>
      <c r="C428" s="119">
        <f t="shared" si="26"/>
        <v>9426.0357069379643</v>
      </c>
      <c r="D428" s="468">
        <f t="shared" si="27"/>
        <v>52855.14159351102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3"/>
        <v>0.52646313881298212</v>
      </c>
      <c r="C429" s="135">
        <f t="shared" si="26"/>
        <v>9426.0357069379643</v>
      </c>
      <c r="D429" s="469">
        <f t="shared" si="27"/>
        <v>52855.14159351102</v>
      </c>
      <c r="E429" s="466">
        <f t="shared" si="28"/>
        <v>55.852020423122603</v>
      </c>
      <c r="F429" s="562">
        <f t="shared" si="29"/>
        <v>5.5852020423122605E-5</v>
      </c>
      <c r="G429" s="445">
        <f t="shared" si="30"/>
        <v>9.9604905585498535</v>
      </c>
      <c r="H429" s="464">
        <f t="shared" si="31"/>
        <v>9.9604905585498527E-6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221.69882515503642</v>
      </c>
      <c r="C435" s="160">
        <f>$C$378</f>
        <v>11617.153132308322</v>
      </c>
      <c r="D435" s="440">
        <f>$C$376</f>
        <v>27016.635191414702</v>
      </c>
      <c r="E435" s="443">
        <f>B435/C435*1000000</f>
        <v>19083.748198039375</v>
      </c>
      <c r="F435" s="560">
        <f>E435/1000000</f>
        <v>1.9083748198039374E-2</v>
      </c>
      <c r="G435" s="443">
        <f>B435/D435*1000000</f>
        <v>8206.0117251569318</v>
      </c>
      <c r="H435" s="460">
        <f>G435/1000000</f>
        <v>8.2060117251569319E-3</v>
      </c>
    </row>
    <row r="436" spans="1:8">
      <c r="A436" s="112" t="s">
        <v>73</v>
      </c>
      <c r="B436" s="461">
        <f>D290</f>
        <v>0.3147406900072271</v>
      </c>
      <c r="C436" s="119">
        <f t="shared" ref="C436:C456" si="34">$C$378</f>
        <v>11617.153132308322</v>
      </c>
      <c r="D436" s="441">
        <f t="shared" ref="D436:D456" si="35">$C$376</f>
        <v>27016.635191414702</v>
      </c>
      <c r="E436" s="444">
        <f t="shared" ref="E436:E456" si="36">B436/C436*1000000</f>
        <v>27.092755550575092</v>
      </c>
      <c r="F436" s="561">
        <f t="shared" ref="F436:F456" si="37">E436/1000000</f>
        <v>2.7092755550575091E-5</v>
      </c>
      <c r="G436" s="444">
        <f t="shared" ref="G436:G456" si="38">B436/D436*1000000</f>
        <v>11.649884886747289</v>
      </c>
      <c r="H436" s="462">
        <f t="shared" ref="H436:H456" si="39">G436/1000000</f>
        <v>1.1649884886747289E-5</v>
      </c>
    </row>
    <row r="437" spans="1:8">
      <c r="A437" s="112" t="s">
        <v>74</v>
      </c>
      <c r="B437" s="461">
        <f t="shared" ref="B437:B456" si="40">D291</f>
        <v>1429.6278028751155</v>
      </c>
      <c r="C437" s="119">
        <f t="shared" si="34"/>
        <v>11617.153132308322</v>
      </c>
      <c r="D437" s="441">
        <f t="shared" si="35"/>
        <v>27016.635191414702</v>
      </c>
      <c r="E437" s="444">
        <f t="shared" si="36"/>
        <v>123061.80237042716</v>
      </c>
      <c r="F437" s="561">
        <f t="shared" si="37"/>
        <v>0.12306180237042716</v>
      </c>
      <c r="G437" s="444">
        <f t="shared" si="38"/>
        <v>52916.575019283679</v>
      </c>
      <c r="H437" s="462">
        <f t="shared" si="39"/>
        <v>5.2916575019283679E-2</v>
      </c>
    </row>
    <row r="438" spans="1:8">
      <c r="A438" s="112" t="s">
        <v>75</v>
      </c>
      <c r="B438" s="461">
        <f t="shared" si="40"/>
        <v>4.1940450231741679E-2</v>
      </c>
      <c r="C438" s="119">
        <f t="shared" si="34"/>
        <v>11617.153132308322</v>
      </c>
      <c r="D438" s="441">
        <f t="shared" si="35"/>
        <v>27016.635191414702</v>
      </c>
      <c r="E438" s="444">
        <f t="shared" si="36"/>
        <v>3.6102175596791959</v>
      </c>
      <c r="F438" s="561">
        <f t="shared" si="37"/>
        <v>3.6102175596791959E-6</v>
      </c>
      <c r="G438" s="444">
        <f t="shared" si="38"/>
        <v>1.5523935506620543</v>
      </c>
      <c r="H438" s="462">
        <f t="shared" si="39"/>
        <v>1.5523935506620544E-6</v>
      </c>
    </row>
    <row r="439" spans="1:8">
      <c r="A439" s="112" t="s">
        <v>76</v>
      </c>
      <c r="B439" s="461">
        <f t="shared" si="40"/>
        <v>1.0575455314272137</v>
      </c>
      <c r="C439" s="119">
        <f t="shared" si="34"/>
        <v>11617.153132308322</v>
      </c>
      <c r="D439" s="441">
        <f t="shared" si="35"/>
        <v>27016.635191414702</v>
      </c>
      <c r="E439" s="444">
        <f t="shared" si="36"/>
        <v>91.03310590665167</v>
      </c>
      <c r="F439" s="561">
        <f t="shared" si="37"/>
        <v>9.1033105906651674E-5</v>
      </c>
      <c r="G439" s="444">
        <f t="shared" si="38"/>
        <v>39.144235539860226</v>
      </c>
      <c r="H439" s="462">
        <f t="shared" si="39"/>
        <v>3.9144235539860223E-5</v>
      </c>
    </row>
    <row r="440" spans="1:8">
      <c r="A440" s="113" t="s">
        <v>77</v>
      </c>
      <c r="B440" s="461">
        <f t="shared" si="40"/>
        <v>7.8548999269441451</v>
      </c>
      <c r="C440" s="119">
        <f t="shared" si="34"/>
        <v>11617.153132308322</v>
      </c>
      <c r="D440" s="441">
        <f t="shared" si="35"/>
        <v>27016.635191414702</v>
      </c>
      <c r="E440" s="444">
        <f t="shared" si="36"/>
        <v>676.14671490375554</v>
      </c>
      <c r="F440" s="561">
        <f t="shared" si="37"/>
        <v>6.7614671490375553E-4</v>
      </c>
      <c r="G440" s="444">
        <f t="shared" si="38"/>
        <v>290.74308740861483</v>
      </c>
      <c r="H440" s="462">
        <f t="shared" si="39"/>
        <v>2.9074308740861484E-4</v>
      </c>
    </row>
    <row r="441" spans="1:8">
      <c r="A441" s="113" t="s">
        <v>78</v>
      </c>
      <c r="B441" s="461">
        <f t="shared" si="40"/>
        <v>559.10985485201445</v>
      </c>
      <c r="C441" s="119">
        <f t="shared" si="34"/>
        <v>11617.153132308322</v>
      </c>
      <c r="D441" s="441">
        <f t="shared" si="35"/>
        <v>27016.635191414702</v>
      </c>
      <c r="E441" s="444">
        <f t="shared" si="36"/>
        <v>48127.957726328052</v>
      </c>
      <c r="F441" s="561">
        <f t="shared" si="37"/>
        <v>4.8127957726328052E-2</v>
      </c>
      <c r="G441" s="444">
        <f t="shared" si="38"/>
        <v>20695.021822321061</v>
      </c>
      <c r="H441" s="462">
        <f t="shared" si="39"/>
        <v>2.0695021822321063E-2</v>
      </c>
    </row>
    <row r="442" spans="1:8">
      <c r="A442" s="113" t="s">
        <v>79</v>
      </c>
      <c r="B442" s="461">
        <f t="shared" si="40"/>
        <v>35.536592338190268</v>
      </c>
      <c r="C442" s="119">
        <f t="shared" si="34"/>
        <v>11617.153132308322</v>
      </c>
      <c r="D442" s="441">
        <f t="shared" si="35"/>
        <v>27016.635191414702</v>
      </c>
      <c r="E442" s="444">
        <f t="shared" si="36"/>
        <v>3058.9759757371094</v>
      </c>
      <c r="F442" s="561">
        <f t="shared" si="37"/>
        <v>3.0589759757371094E-3</v>
      </c>
      <c r="G442" s="444">
        <f t="shared" si="38"/>
        <v>1315.3596695669571</v>
      </c>
      <c r="H442" s="462">
        <f t="shared" si="39"/>
        <v>1.3153596695669571E-3</v>
      </c>
    </row>
    <row r="443" spans="1:8">
      <c r="A443" s="113" t="s">
        <v>80</v>
      </c>
      <c r="B443" s="461">
        <f t="shared" si="40"/>
        <v>58.56366923391441</v>
      </c>
      <c r="C443" s="119">
        <f t="shared" si="34"/>
        <v>11617.153132308322</v>
      </c>
      <c r="D443" s="441">
        <f t="shared" si="35"/>
        <v>27016.635191414702</v>
      </c>
      <c r="E443" s="444">
        <f t="shared" si="36"/>
        <v>5041.1377526774359</v>
      </c>
      <c r="F443" s="561">
        <f t="shared" si="37"/>
        <v>5.0411377526774362E-3</v>
      </c>
      <c r="G443" s="444">
        <f t="shared" si="38"/>
        <v>2167.6892336512974</v>
      </c>
      <c r="H443" s="462">
        <f t="shared" si="39"/>
        <v>2.1676892336512975E-3</v>
      </c>
    </row>
    <row r="444" spans="1:8">
      <c r="A444" s="113" t="s">
        <v>81</v>
      </c>
      <c r="B444" s="461">
        <f t="shared" si="40"/>
        <v>20.343729943387938</v>
      </c>
      <c r="C444" s="119">
        <f t="shared" si="34"/>
        <v>11617.153132308322</v>
      </c>
      <c r="D444" s="441">
        <f t="shared" si="35"/>
        <v>27016.635191414702</v>
      </c>
      <c r="E444" s="444">
        <f t="shared" si="36"/>
        <v>1751.1803203153311</v>
      </c>
      <c r="F444" s="561">
        <f t="shared" si="37"/>
        <v>1.7511803203153311E-3</v>
      </c>
      <c r="G444" s="444">
        <f t="shared" si="38"/>
        <v>753.00753773559234</v>
      </c>
      <c r="H444" s="462">
        <f t="shared" si="39"/>
        <v>7.5300753773559236E-4</v>
      </c>
    </row>
    <row r="445" spans="1:8">
      <c r="A445" s="113" t="s">
        <v>82</v>
      </c>
      <c r="B445" s="461">
        <f t="shared" si="40"/>
        <v>1.0381894253352728</v>
      </c>
      <c r="C445" s="119">
        <f t="shared" si="34"/>
        <v>11617.153132308322</v>
      </c>
      <c r="D445" s="441">
        <f t="shared" si="35"/>
        <v>27016.635191414702</v>
      </c>
      <c r="E445" s="444">
        <f t="shared" si="36"/>
        <v>89.366939861365594</v>
      </c>
      <c r="F445" s="561">
        <f t="shared" si="37"/>
        <v>8.9366939861365598E-5</v>
      </c>
      <c r="G445" s="444">
        <f t="shared" si="38"/>
        <v>38.42778414038721</v>
      </c>
      <c r="H445" s="462">
        <f t="shared" si="39"/>
        <v>3.8427784140387208E-5</v>
      </c>
    </row>
    <row r="446" spans="1:8">
      <c r="A446" s="113" t="s">
        <v>213</v>
      </c>
      <c r="B446" s="461">
        <f t="shared" si="40"/>
        <v>312.96438397214456</v>
      </c>
      <c r="C446" s="119">
        <f t="shared" si="34"/>
        <v>11617.153132308322</v>
      </c>
      <c r="D446" s="441">
        <f t="shared" si="35"/>
        <v>27016.635191414702</v>
      </c>
      <c r="E446" s="444">
        <f t="shared" si="36"/>
        <v>26939.851821507214</v>
      </c>
      <c r="F446" s="561">
        <f t="shared" si="37"/>
        <v>2.6939851821507214E-2</v>
      </c>
      <c r="G446" s="444">
        <f t="shared" si="38"/>
        <v>11584.136283248103</v>
      </c>
      <c r="H446" s="462">
        <f t="shared" si="39"/>
        <v>1.1584136283248102E-2</v>
      </c>
    </row>
    <row r="447" spans="1:8">
      <c r="A447" s="113" t="s">
        <v>96</v>
      </c>
      <c r="B447" s="461">
        <f t="shared" si="40"/>
        <v>313.16326530612253</v>
      </c>
      <c r="C447" s="119">
        <f t="shared" si="34"/>
        <v>11617.153132308322</v>
      </c>
      <c r="D447" s="441">
        <f t="shared" si="35"/>
        <v>27016.635191414702</v>
      </c>
      <c r="E447" s="444">
        <f t="shared" si="36"/>
        <v>26956.971448985038</v>
      </c>
      <c r="F447" s="561">
        <f t="shared" si="37"/>
        <v>2.6956971448985036E-2</v>
      </c>
      <c r="G447" s="444">
        <f t="shared" si="38"/>
        <v>11591.497723063567</v>
      </c>
      <c r="H447" s="462">
        <f t="shared" si="39"/>
        <v>1.1591497723063567E-2</v>
      </c>
    </row>
    <row r="448" spans="1:8">
      <c r="A448" s="113" t="s">
        <v>97</v>
      </c>
      <c r="B448" s="461">
        <f t="shared" si="40"/>
        <v>626.12764927826709</v>
      </c>
      <c r="C448" s="119">
        <f t="shared" si="34"/>
        <v>11617.153132308322</v>
      </c>
      <c r="D448" s="441">
        <f t="shared" si="35"/>
        <v>27016.635191414702</v>
      </c>
      <c r="E448" s="444">
        <f t="shared" si="36"/>
        <v>53896.823270492248</v>
      </c>
      <c r="F448" s="561">
        <f t="shared" si="37"/>
        <v>5.389682327049225E-2</v>
      </c>
      <c r="G448" s="444">
        <f t="shared" si="38"/>
        <v>23175.634006311666</v>
      </c>
      <c r="H448" s="462">
        <f t="shared" si="39"/>
        <v>2.3175634006311667E-2</v>
      </c>
    </row>
    <row r="449" spans="1:8">
      <c r="A449" s="113" t="s">
        <v>84</v>
      </c>
      <c r="B449" s="461">
        <f t="shared" si="40"/>
        <v>1.3626517942112648</v>
      </c>
      <c r="C449" s="119">
        <f t="shared" si="34"/>
        <v>11617.153132308322</v>
      </c>
      <c r="D449" s="441">
        <f t="shared" si="35"/>
        <v>27016.635191414702</v>
      </c>
      <c r="E449" s="444">
        <f t="shared" si="36"/>
        <v>117.29653372835472</v>
      </c>
      <c r="F449" s="561">
        <f t="shared" si="37"/>
        <v>1.1729653372835472E-4</v>
      </c>
      <c r="G449" s="444">
        <f t="shared" si="38"/>
        <v>50.43750950319253</v>
      </c>
      <c r="H449" s="462">
        <f t="shared" si="39"/>
        <v>5.043750950319253E-5</v>
      </c>
    </row>
    <row r="450" spans="1:8">
      <c r="A450" s="113" t="s">
        <v>249</v>
      </c>
      <c r="B450" s="461">
        <f t="shared" si="40"/>
        <v>226.8</v>
      </c>
      <c r="C450" s="119">
        <f t="shared" si="34"/>
        <v>11617.153132308322</v>
      </c>
      <c r="D450" s="441">
        <f t="shared" si="35"/>
        <v>27016.635191414702</v>
      </c>
      <c r="E450" s="444">
        <f t="shared" si="36"/>
        <v>19522.855334432094</v>
      </c>
      <c r="F450" s="561">
        <f t="shared" si="37"/>
        <v>1.9522855334432092E-2</v>
      </c>
      <c r="G450" s="444">
        <f t="shared" si="38"/>
        <v>8394.8277938058</v>
      </c>
      <c r="H450" s="462">
        <f t="shared" si="39"/>
        <v>8.3948277938057994E-3</v>
      </c>
    </row>
    <row r="451" spans="1:8">
      <c r="A451" s="113" t="s">
        <v>250</v>
      </c>
      <c r="B451" s="461">
        <f t="shared" si="40"/>
        <v>783.67346938775506</v>
      </c>
      <c r="C451" s="119">
        <f t="shared" si="34"/>
        <v>11617.153132308322</v>
      </c>
      <c r="D451" s="441">
        <f t="shared" si="35"/>
        <v>27016.635191414702</v>
      </c>
      <c r="E451" s="444">
        <f t="shared" si="36"/>
        <v>67458.305874292942</v>
      </c>
      <c r="F451" s="561">
        <f t="shared" si="37"/>
        <v>6.745830587429294E-2</v>
      </c>
      <c r="G451" s="444">
        <f t="shared" si="38"/>
        <v>29007.071525945961</v>
      </c>
      <c r="H451" s="462">
        <f t="shared" si="39"/>
        <v>2.9007071525945963E-2</v>
      </c>
    </row>
    <row r="452" spans="1:8">
      <c r="A452" s="113" t="s">
        <v>251</v>
      </c>
      <c r="B452" s="461">
        <f t="shared" si="40"/>
        <v>1010.4734693877551</v>
      </c>
      <c r="C452" s="119">
        <f t="shared" si="34"/>
        <v>11617.153132308322</v>
      </c>
      <c r="D452" s="441">
        <f t="shared" si="35"/>
        <v>27016.635191414702</v>
      </c>
      <c r="E452" s="444">
        <f t="shared" si="36"/>
        <v>86981.16120872504</v>
      </c>
      <c r="F452" s="561">
        <f t="shared" si="37"/>
        <v>8.6981161208725039E-2</v>
      </c>
      <c r="G452" s="444">
        <f t="shared" si="38"/>
        <v>37401.899319751763</v>
      </c>
      <c r="H452" s="462">
        <f t="shared" si="39"/>
        <v>3.7401899319751762E-2</v>
      </c>
    </row>
    <row r="453" spans="1:8">
      <c r="A453" s="394" t="s">
        <v>238</v>
      </c>
      <c r="B453" s="461">
        <f t="shared" si="40"/>
        <v>3031.4204081632652</v>
      </c>
      <c r="C453" s="119">
        <f t="shared" si="34"/>
        <v>11617.153132308322</v>
      </c>
      <c r="D453" s="441">
        <f t="shared" si="35"/>
        <v>27016.635191414702</v>
      </c>
      <c r="E453" s="444">
        <f t="shared" si="36"/>
        <v>260943.48362617509</v>
      </c>
      <c r="F453" s="561">
        <f t="shared" si="37"/>
        <v>0.26094348362617509</v>
      </c>
      <c r="G453" s="444">
        <f t="shared" si="38"/>
        <v>112205.6979592553</v>
      </c>
      <c r="H453" s="462">
        <f t="shared" si="39"/>
        <v>0.11220569795925529</v>
      </c>
    </row>
    <row r="454" spans="1:8">
      <c r="A454" s="394" t="s">
        <v>239</v>
      </c>
      <c r="B454" s="461">
        <f t="shared" si="40"/>
        <v>4294.5122448979591</v>
      </c>
      <c r="C454" s="119">
        <f t="shared" si="34"/>
        <v>11617.153132308322</v>
      </c>
      <c r="D454" s="441">
        <f t="shared" si="35"/>
        <v>27016.635191414702</v>
      </c>
      <c r="E454" s="444">
        <f t="shared" si="36"/>
        <v>369669.93513708143</v>
      </c>
      <c r="F454" s="561">
        <f t="shared" si="37"/>
        <v>0.36966993513708141</v>
      </c>
      <c r="G454" s="444">
        <f t="shared" si="38"/>
        <v>158958.07210894499</v>
      </c>
      <c r="H454" s="462">
        <f t="shared" si="39"/>
        <v>0.158958072108945</v>
      </c>
    </row>
    <row r="455" spans="1:8">
      <c r="A455" s="394" t="s">
        <v>248</v>
      </c>
      <c r="B455" s="461">
        <f t="shared" si="40"/>
        <v>17.71849815232261</v>
      </c>
      <c r="C455" s="119">
        <f t="shared" si="34"/>
        <v>11617.153132308322</v>
      </c>
      <c r="D455" s="441">
        <f t="shared" si="35"/>
        <v>27016.635191414702</v>
      </c>
      <c r="E455" s="444">
        <f>B455/C455*1000000</f>
        <v>1525.2013940528952</v>
      </c>
      <c r="F455" s="561">
        <f>E455/1000000</f>
        <v>1.5252013940528952E-3</v>
      </c>
      <c r="G455" s="444">
        <f>B455/D455*1000000</f>
        <v>655.83659944274496</v>
      </c>
      <c r="H455" s="462">
        <f>G455/1000000</f>
        <v>6.5583659944274493E-4</v>
      </c>
    </row>
    <row r="456" spans="1:8" ht="14.65" thickBot="1">
      <c r="A456" s="114" t="s">
        <v>86</v>
      </c>
      <c r="B456" s="463">
        <f t="shared" si="40"/>
        <v>27.709536861187019</v>
      </c>
      <c r="C456" s="135">
        <f t="shared" si="34"/>
        <v>11617.153132308322</v>
      </c>
      <c r="D456" s="442">
        <f t="shared" si="35"/>
        <v>27016.635191414702</v>
      </c>
      <c r="E456" s="445">
        <f t="shared" si="36"/>
        <v>2385.2261001987113</v>
      </c>
      <c r="F456" s="562">
        <f t="shared" si="37"/>
        <v>2.3852261001987111E-3</v>
      </c>
      <c r="G456" s="445">
        <f t="shared" si="38"/>
        <v>1025.6472230854456</v>
      </c>
      <c r="H456" s="464">
        <f t="shared" si="39"/>
        <v>1.0256472230854457E-3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1">$B$462*B469/1000000</f>
        <v>0.54249999999999998</v>
      </c>
      <c r="E469" s="136">
        <f t="shared" ref="E469:E482" si="42">$C$462*C469/1000000</f>
        <v>7.0000000000000007E-2</v>
      </c>
      <c r="F469" s="473">
        <f t="shared" ref="F469:F482" si="43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1"/>
        <v>1494.9375</v>
      </c>
      <c r="E470" s="136">
        <f t="shared" si="42"/>
        <v>780.17240000000004</v>
      </c>
      <c r="F470" s="473">
        <f t="shared" si="43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1"/>
        <v>3.85E-2</v>
      </c>
      <c r="E471" s="136">
        <f t="shared" si="42"/>
        <v>1.4E-2</v>
      </c>
      <c r="F471" s="473">
        <f t="shared" si="43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1"/>
        <v>1.5925</v>
      </c>
      <c r="E472" s="136">
        <f t="shared" si="42"/>
        <v>0.37730000000000002</v>
      </c>
      <c r="F472" s="473">
        <f t="shared" si="43"/>
        <v>1.9698</v>
      </c>
    </row>
    <row r="473" spans="1:6">
      <c r="A473" s="232" t="s">
        <v>77</v>
      </c>
      <c r="B473" s="356">
        <v>663</v>
      </c>
      <c r="C473" s="408">
        <v>1099</v>
      </c>
      <c r="D473" s="228">
        <f t="shared" si="41"/>
        <v>11.602499999999999</v>
      </c>
      <c r="E473" s="136">
        <f t="shared" si="42"/>
        <v>7.6929999999999996</v>
      </c>
      <c r="F473" s="473">
        <f t="shared" si="43"/>
        <v>19.295499999999997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1"/>
        <v>1907.5</v>
      </c>
      <c r="E474" s="136">
        <f t="shared" si="42"/>
        <v>170.20500000000001</v>
      </c>
      <c r="F474" s="473">
        <f t="shared" si="43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1"/>
        <v>164.0625</v>
      </c>
      <c r="E475" s="136">
        <f t="shared" si="42"/>
        <v>68.936700000000002</v>
      </c>
      <c r="F475" s="473">
        <f t="shared" si="43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1"/>
        <v>213.35708333333335</v>
      </c>
      <c r="E476" s="136">
        <f t="shared" si="42"/>
        <v>88.942700000000002</v>
      </c>
      <c r="F476" s="473">
        <f t="shared" si="43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1"/>
        <v>44.274999999999999</v>
      </c>
      <c r="E477" s="136">
        <f t="shared" si="42"/>
        <v>23.422699999999999</v>
      </c>
      <c r="F477" s="473">
        <f t="shared" si="43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1"/>
        <v>1.1287499999999999</v>
      </c>
      <c r="E478" s="136">
        <f t="shared" si="42"/>
        <v>0.3332</v>
      </c>
      <c r="F478" s="473">
        <f t="shared" si="43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1"/>
        <v>1237.25</v>
      </c>
      <c r="E479" s="136">
        <f t="shared" si="42"/>
        <v>591.96900000000005</v>
      </c>
      <c r="F479" s="473">
        <f t="shared" si="43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1"/>
        <v>2.0474999999999999</v>
      </c>
      <c r="E480" s="136">
        <f t="shared" si="42"/>
        <v>0.56140000000000001</v>
      </c>
      <c r="F480" s="473">
        <f t="shared" si="43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1"/>
        <v>102.51305555555555</v>
      </c>
      <c r="E481" s="136">
        <f t="shared" si="42"/>
        <v>21.7959</v>
      </c>
      <c r="F481" s="473">
        <f t="shared" si="43"/>
        <v>124.30895555555556</v>
      </c>
    </row>
    <row r="482" spans="1:7" ht="14.65" thickBot="1">
      <c r="A482" s="233" t="s">
        <v>86</v>
      </c>
      <c r="B482" s="358">
        <v>2260</v>
      </c>
      <c r="C482" s="409">
        <v>1989</v>
      </c>
      <c r="D482" s="727">
        <f t="shared" si="41"/>
        <v>39.549999999999997</v>
      </c>
      <c r="E482" s="728">
        <f t="shared" si="42"/>
        <v>13.923</v>
      </c>
      <c r="F482" s="474">
        <f t="shared" si="43"/>
        <v>53.472999999999999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246.32517484496358</v>
      </c>
      <c r="C488" s="428">
        <f>F468</f>
        <v>1547.5740000000001</v>
      </c>
      <c r="D488" s="428">
        <f>B488+C488</f>
        <v>1793.8991748449637</v>
      </c>
      <c r="E488" s="382">
        <f>$C$391+$D$462</f>
        <v>33926.035706937968</v>
      </c>
      <c r="F488" s="557">
        <f>D488/E488*1000000</f>
        <v>52876.76963913902</v>
      </c>
      <c r="G488" s="460">
        <f>F488/1000000</f>
        <v>5.2876769639139017E-2</v>
      </c>
    </row>
    <row r="489" spans="1:7">
      <c r="A489" s="149" t="s">
        <v>73</v>
      </c>
      <c r="B489" s="541">
        <f>B409</f>
        <v>2.8459309992772908E-2</v>
      </c>
      <c r="C489" s="235">
        <f>F469</f>
        <v>0.61250000000000004</v>
      </c>
      <c r="D489" s="235">
        <f t="shared" ref="D489:D504" si="44">B489+C489</f>
        <v>0.64095930999277295</v>
      </c>
      <c r="E489" s="82">
        <f>$C$391+$D$462</f>
        <v>33926.035706937968</v>
      </c>
      <c r="F489" s="558">
        <f t="shared" ref="F489:F504" si="45">D489/E489*1000000</f>
        <v>18.892844290135997</v>
      </c>
      <c r="G489" s="462">
        <f t="shared" ref="G489:G504" si="46">F489/1000000</f>
        <v>1.8892844290135998E-5</v>
      </c>
    </row>
    <row r="490" spans="1:7">
      <c r="A490" s="232" t="s">
        <v>74</v>
      </c>
      <c r="B490" s="541">
        <f t="shared" ref="B490:B503" si="47">B410</f>
        <v>478.37219712488445</v>
      </c>
      <c r="C490" s="235">
        <f t="shared" ref="C490:C498" si="48">F470</f>
        <v>2275.1098999999999</v>
      </c>
      <c r="D490" s="235">
        <f t="shared" si="44"/>
        <v>2753.4820971248846</v>
      </c>
      <c r="E490" s="82">
        <f t="shared" ref="E490:E503" si="49">$C$391+$D$462</f>
        <v>33926.035706937968</v>
      </c>
      <c r="F490" s="558">
        <f t="shared" si="45"/>
        <v>81161.327568896886</v>
      </c>
      <c r="G490" s="462">
        <f t="shared" si="46"/>
        <v>8.1161327568896879E-2</v>
      </c>
    </row>
    <row r="491" spans="1:7">
      <c r="A491" s="232" t="s">
        <v>75</v>
      </c>
      <c r="B491" s="541">
        <f t="shared" si="47"/>
        <v>5.9549768258324032E-5</v>
      </c>
      <c r="C491" s="235">
        <f t="shared" si="48"/>
        <v>5.2499999999999998E-2</v>
      </c>
      <c r="D491" s="235">
        <f t="shared" si="44"/>
        <v>5.2559549768258322E-2</v>
      </c>
      <c r="E491" s="82">
        <f t="shared" si="49"/>
        <v>33926.035706937968</v>
      </c>
      <c r="F491" s="558">
        <f t="shared" si="45"/>
        <v>1.5492393577098591</v>
      </c>
      <c r="G491" s="462">
        <f t="shared" si="46"/>
        <v>1.549239357709859E-6</v>
      </c>
    </row>
    <row r="492" spans="1:7">
      <c r="A492" s="232" t="s">
        <v>76</v>
      </c>
      <c r="B492" s="541">
        <f t="shared" si="47"/>
        <v>0.57445446857278615</v>
      </c>
      <c r="C492" s="235">
        <f t="shared" si="48"/>
        <v>1.9698</v>
      </c>
      <c r="D492" s="235">
        <f t="shared" si="44"/>
        <v>2.5442544685727864</v>
      </c>
      <c r="E492" s="82">
        <f t="shared" si="49"/>
        <v>33926.035706937968</v>
      </c>
      <c r="F492" s="558">
        <f t="shared" si="45"/>
        <v>74.994157600691295</v>
      </c>
      <c r="G492" s="462">
        <f t="shared" si="46"/>
        <v>7.4994157600691294E-5</v>
      </c>
    </row>
    <row r="493" spans="1:7">
      <c r="A493" s="150" t="s">
        <v>77</v>
      </c>
      <c r="B493" s="541">
        <f t="shared" si="47"/>
        <v>1.7100073055854814E-2</v>
      </c>
      <c r="C493" s="235">
        <f t="shared" si="48"/>
        <v>19.295499999999997</v>
      </c>
      <c r="D493" s="235">
        <f t="shared" si="44"/>
        <v>19.312600073055851</v>
      </c>
      <c r="E493" s="82">
        <f t="shared" si="49"/>
        <v>33926.035706937968</v>
      </c>
      <c r="F493" s="558">
        <f t="shared" si="45"/>
        <v>569.25602035802763</v>
      </c>
      <c r="G493" s="462">
        <f t="shared" si="46"/>
        <v>5.6925602035802763E-4</v>
      </c>
    </row>
    <row r="494" spans="1:7">
      <c r="A494" s="150" t="s">
        <v>78</v>
      </c>
      <c r="B494" s="541">
        <f t="shared" si="47"/>
        <v>491.81414514798553</v>
      </c>
      <c r="C494" s="235">
        <f t="shared" si="48"/>
        <v>2077.7049999999999</v>
      </c>
      <c r="D494" s="235">
        <f t="shared" si="44"/>
        <v>2569.5191451479855</v>
      </c>
      <c r="E494" s="82">
        <f t="shared" si="49"/>
        <v>33926.035706937968</v>
      </c>
      <c r="F494" s="558">
        <f t="shared" si="45"/>
        <v>75738.856356344389</v>
      </c>
      <c r="G494" s="462">
        <f t="shared" si="46"/>
        <v>7.5738856356344392E-2</v>
      </c>
    </row>
    <row r="495" spans="1:7">
      <c r="A495" s="150" t="s">
        <v>79</v>
      </c>
      <c r="B495" s="541">
        <f t="shared" si="47"/>
        <v>63.223407661809738</v>
      </c>
      <c r="C495" s="235">
        <f t="shared" si="48"/>
        <v>232.9992</v>
      </c>
      <c r="D495" s="235">
        <f t="shared" si="44"/>
        <v>296.22260766180972</v>
      </c>
      <c r="E495" s="82">
        <f t="shared" si="49"/>
        <v>33926.035706937968</v>
      </c>
      <c r="F495" s="558">
        <f t="shared" si="45"/>
        <v>8731.4241552021758</v>
      </c>
      <c r="G495" s="462">
        <f t="shared" si="46"/>
        <v>8.7314241552021755E-3</v>
      </c>
    </row>
    <row r="496" spans="1:7">
      <c r="A496" s="150" t="s">
        <v>80</v>
      </c>
      <c r="B496" s="541">
        <f t="shared" si="47"/>
        <v>96.236330766085601</v>
      </c>
      <c r="C496" s="235">
        <f t="shared" si="48"/>
        <v>302.29978333333338</v>
      </c>
      <c r="D496" s="235">
        <f t="shared" si="44"/>
        <v>398.53611409941897</v>
      </c>
      <c r="E496" s="82">
        <f t="shared" si="49"/>
        <v>33926.035706937968</v>
      </c>
      <c r="F496" s="558">
        <f t="shared" si="45"/>
        <v>11747.205525045098</v>
      </c>
      <c r="G496" s="462">
        <f t="shared" si="46"/>
        <v>1.1747205525045098E-2</v>
      </c>
    </row>
    <row r="497" spans="1:7">
      <c r="A497" s="150" t="s">
        <v>81</v>
      </c>
      <c r="B497" s="541">
        <f t="shared" si="47"/>
        <v>76.856270056612061</v>
      </c>
      <c r="C497" s="235">
        <f t="shared" si="48"/>
        <v>67.697699999999998</v>
      </c>
      <c r="D497" s="235">
        <f t="shared" si="44"/>
        <v>144.55397005661206</v>
      </c>
      <c r="E497" s="82">
        <f t="shared" si="49"/>
        <v>33926.035706937968</v>
      </c>
      <c r="F497" s="558">
        <f t="shared" si="45"/>
        <v>4260.8565087093384</v>
      </c>
      <c r="G497" s="462">
        <f t="shared" si="46"/>
        <v>4.260856508709338E-3</v>
      </c>
    </row>
    <row r="498" spans="1:7">
      <c r="A498" s="150" t="s">
        <v>82</v>
      </c>
      <c r="B498" s="541">
        <f t="shared" si="47"/>
        <v>0.46181057466472719</v>
      </c>
      <c r="C498" s="235">
        <f t="shared" si="48"/>
        <v>1.4619499999999999</v>
      </c>
      <c r="D498" s="235">
        <f t="shared" si="44"/>
        <v>1.9237605746647271</v>
      </c>
      <c r="E498" s="82">
        <f t="shared" si="49"/>
        <v>33926.035706937968</v>
      </c>
      <c r="F498" s="558">
        <f t="shared" si="45"/>
        <v>56.704549605579551</v>
      </c>
      <c r="G498" s="462">
        <f t="shared" si="46"/>
        <v>5.6704549605579551E-5</v>
      </c>
    </row>
    <row r="499" spans="1:7">
      <c r="A499" s="150" t="s">
        <v>213</v>
      </c>
      <c r="B499" s="541">
        <f t="shared" si="47"/>
        <v>666.45161602785549</v>
      </c>
      <c r="C499" s="235">
        <f>$F$479</f>
        <v>1829.2190000000001</v>
      </c>
      <c r="D499" s="235">
        <f t="shared" si="44"/>
        <v>2495.6706160278554</v>
      </c>
      <c r="E499" s="82">
        <f t="shared" si="49"/>
        <v>33926.035706937968</v>
      </c>
      <c r="F499" s="558">
        <f t="shared" si="45"/>
        <v>73562.105445685302</v>
      </c>
      <c r="G499" s="462">
        <f t="shared" si="46"/>
        <v>7.3562105445685297E-2</v>
      </c>
    </row>
    <row r="500" spans="1:7">
      <c r="A500" s="150" t="s">
        <v>96</v>
      </c>
      <c r="B500" s="541">
        <f t="shared" si="47"/>
        <v>1774.5918367346944</v>
      </c>
      <c r="C500" s="235">
        <v>0</v>
      </c>
      <c r="D500" s="235">
        <f t="shared" si="44"/>
        <v>1774.5918367346944</v>
      </c>
      <c r="E500" s="82">
        <f t="shared" si="49"/>
        <v>33926.035706937968</v>
      </c>
      <c r="F500" s="558">
        <f t="shared" si="45"/>
        <v>52307.668719802285</v>
      </c>
      <c r="G500" s="462">
        <f t="shared" si="46"/>
        <v>5.2307668719802282E-2</v>
      </c>
    </row>
    <row r="501" spans="1:7">
      <c r="A501" s="582" t="s">
        <v>97</v>
      </c>
      <c r="B501" s="541">
        <f t="shared" si="47"/>
        <v>2441.0434527625498</v>
      </c>
      <c r="C501" s="235">
        <f>C499+C500</f>
        <v>1829.2190000000001</v>
      </c>
      <c r="D501" s="235">
        <f t="shared" si="44"/>
        <v>4270.2624527625503</v>
      </c>
      <c r="E501" s="82">
        <f t="shared" si="49"/>
        <v>33926.035706937968</v>
      </c>
      <c r="F501" s="597">
        <f t="shared" si="45"/>
        <v>125869.77416548759</v>
      </c>
      <c r="G501" s="583">
        <f t="shared" si="46"/>
        <v>0.12586977416548759</v>
      </c>
    </row>
    <row r="502" spans="1:7">
      <c r="A502" s="186" t="s">
        <v>84</v>
      </c>
      <c r="B502" s="541">
        <f t="shared" si="47"/>
        <v>0.12534820578873518</v>
      </c>
      <c r="C502" s="235">
        <f>F480</f>
        <v>2.6088999999999998</v>
      </c>
      <c r="D502" s="235">
        <f t="shared" si="44"/>
        <v>2.734248205788735</v>
      </c>
      <c r="E502" s="82">
        <f t="shared" si="49"/>
        <v>33926.035706937968</v>
      </c>
      <c r="F502" s="558">
        <f t="shared" si="45"/>
        <v>80.594391558385752</v>
      </c>
      <c r="G502" s="462">
        <f t="shared" si="46"/>
        <v>8.0594391558385753E-5</v>
      </c>
    </row>
    <row r="503" spans="1:7">
      <c r="A503" s="150" t="s">
        <v>85</v>
      </c>
      <c r="B503" s="541">
        <f t="shared" si="47"/>
        <v>0</v>
      </c>
      <c r="C503" s="235">
        <f>F481</f>
        <v>124.30895555555556</v>
      </c>
      <c r="D503" s="235">
        <f t="shared" si="44"/>
        <v>124.30895555555556</v>
      </c>
      <c r="E503" s="82">
        <f t="shared" si="49"/>
        <v>33926.035706937968</v>
      </c>
      <c r="F503" s="558">
        <f t="shared" si="45"/>
        <v>3664.1167458930086</v>
      </c>
      <c r="G503" s="462">
        <f t="shared" si="46"/>
        <v>3.6641167458930086E-3</v>
      </c>
    </row>
    <row r="504" spans="1:7" ht="14.65" thickBot="1">
      <c r="A504" s="152" t="s">
        <v>86</v>
      </c>
      <c r="B504" s="542">
        <f>B429</f>
        <v>0.52646313881298212</v>
      </c>
      <c r="C504" s="236">
        <f>F482</f>
        <v>53.472999999999999</v>
      </c>
      <c r="D504" s="236">
        <f t="shared" si="44"/>
        <v>53.999463138812985</v>
      </c>
      <c r="E504" s="237">
        <f>$C$391+$D$462</f>
        <v>33926.035706937968</v>
      </c>
      <c r="F504" s="559">
        <f t="shared" si="45"/>
        <v>1591.6820817284568</v>
      </c>
      <c r="G504" s="464">
        <f t="shared" si="46"/>
        <v>1.5916820817284568E-3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2441.0434527625498</v>
      </c>
      <c r="C512" s="501">
        <f>$C$391</f>
        <v>9426.0357069379643</v>
      </c>
      <c r="D512" s="227">
        <f>B512/C512*1000000</f>
        <v>258968.19497149132</v>
      </c>
      <c r="E512" s="475">
        <f>D512/1000000</f>
        <v>0.25896819497149132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0">D513/1000000</f>
        <v>7.4662000000000006E-2</v>
      </c>
    </row>
    <row r="514" spans="1:5">
      <c r="A514" s="478" t="s">
        <v>150</v>
      </c>
      <c r="B514" s="480">
        <f>C514*31/98</f>
        <v>2864.868565859786</v>
      </c>
      <c r="C514" s="587">
        <v>9056.6812727180331</v>
      </c>
      <c r="D514" s="229">
        <f>B514/C514*1000000</f>
        <v>316326.53061224491</v>
      </c>
      <c r="E514" s="476">
        <f t="shared" si="50"/>
        <v>0.31632653061224492</v>
      </c>
    </row>
    <row r="515" spans="1:5" ht="14.65" thickBot="1">
      <c r="A515" s="479" t="s">
        <v>306</v>
      </c>
      <c r="B515" s="162">
        <f>SUM($B$512:$B$514)</f>
        <v>7135.1310186223363</v>
      </c>
      <c r="C515" s="503">
        <f>SUM($C$512:$C$514)</f>
        <v>42982.716979656005</v>
      </c>
      <c r="D515" s="588">
        <f>B515/C515*1000000</f>
        <v>165999.99999998696</v>
      </c>
      <c r="E515" s="584">
        <f t="shared" si="50"/>
        <v>0.16599999999998696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9056.6812727180331</v>
      </c>
    </row>
    <row r="520" spans="1:5">
      <c r="A520" s="257" t="s">
        <v>436</v>
      </c>
      <c r="B520" s="178" t="s">
        <v>35</v>
      </c>
      <c r="C520" s="84">
        <f>C519/75%*25%</f>
        <v>3018.8937575726777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12075.575030290711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9426.0357069379643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9056.6812727180331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42982.716979656005</v>
      </c>
    </row>
    <row r="537" spans="1:3">
      <c r="A537" s="276" t="s">
        <v>345</v>
      </c>
      <c r="B537" s="296" t="s">
        <v>35</v>
      </c>
      <c r="C537" s="342">
        <f>C536/C527*C528</f>
        <v>52534.431864024009</v>
      </c>
    </row>
    <row r="538" spans="1:3">
      <c r="A538" s="257" t="s">
        <v>342</v>
      </c>
      <c r="B538" s="278" t="s">
        <v>35</v>
      </c>
      <c r="C538" s="347">
        <f>$C$400</f>
        <v>43429.105886573059</v>
      </c>
    </row>
    <row r="539" spans="1:3">
      <c r="A539" s="257" t="s">
        <v>436</v>
      </c>
      <c r="B539" s="278" t="s">
        <v>35</v>
      </c>
      <c r="C539" s="347">
        <f>$C$520</f>
        <v>3018.8937575726777</v>
      </c>
    </row>
    <row r="540" spans="1:3" ht="14.65" thickBot="1">
      <c r="A540" s="670" t="s">
        <v>363</v>
      </c>
      <c r="B540" s="713" t="s">
        <v>35</v>
      </c>
      <c r="C540" s="671">
        <f>C537-C538-C539</f>
        <v>6086.432219878272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9105.3259774509497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52855.14159351102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12075.575030290711</v>
      </c>
    </row>
    <row r="549" spans="1:3" ht="14.65" thickBot="1">
      <c r="A549" s="339" t="s">
        <v>363</v>
      </c>
      <c r="B549" s="271" t="s">
        <v>35</v>
      </c>
      <c r="C549" s="340">
        <f>$C$540</f>
        <v>6086.432219878272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52855.14159351102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12075.575030290711</v>
      </c>
    </row>
    <row r="557" spans="1:3">
      <c r="A557" s="375" t="s">
        <v>363</v>
      </c>
      <c r="B557" s="287" t="s">
        <v>35</v>
      </c>
      <c r="C557" s="279">
        <f>$C$540</f>
        <v>6086.432219878272</v>
      </c>
    </row>
    <row r="558" spans="1:3" ht="14.65" thickBot="1">
      <c r="A558" s="689" t="s">
        <v>305</v>
      </c>
      <c r="B558" s="677" t="s">
        <v>35</v>
      </c>
      <c r="C558" s="256">
        <f>SUM(C553:C557)</f>
        <v>95517.148843679999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9426.0357069379643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9056.6812727180331</v>
      </c>
    </row>
    <row r="566" spans="1:3">
      <c r="A566" s="257" t="s">
        <v>309</v>
      </c>
      <c r="B566" s="287" t="s">
        <v>35</v>
      </c>
      <c r="C566" s="279">
        <f>C562+C563+C564+C565</f>
        <v>42982.716979656005</v>
      </c>
    </row>
    <row r="567" spans="1:3">
      <c r="A567" s="257" t="s">
        <v>305</v>
      </c>
      <c r="B567" s="287" t="s">
        <v>35</v>
      </c>
      <c r="C567" s="279">
        <f>$C$558</f>
        <v>95517.148843679999</v>
      </c>
    </row>
    <row r="568" spans="1:3">
      <c r="A568" s="299" t="s">
        <v>64</v>
      </c>
      <c r="B568" s="258" t="s">
        <v>24</v>
      </c>
      <c r="C568" s="300">
        <f>C566/C567</f>
        <v>0.45000000000000007</v>
      </c>
    </row>
    <row r="569" spans="1:3">
      <c r="A569" s="68" t="s">
        <v>436</v>
      </c>
      <c r="B569" s="287" t="s">
        <v>35</v>
      </c>
      <c r="C569" s="279">
        <f>C539</f>
        <v>3018.8937575726777</v>
      </c>
    </row>
    <row r="570" spans="1:3">
      <c r="A570" s="375" t="s">
        <v>363</v>
      </c>
      <c r="B570" s="287" t="s">
        <v>35</v>
      </c>
      <c r="C570" s="279">
        <f>$C$540</f>
        <v>6086.432219878272</v>
      </c>
    </row>
    <row r="571" spans="1:3">
      <c r="A571" s="257" t="s">
        <v>342</v>
      </c>
      <c r="B571" s="287" t="s">
        <v>35</v>
      </c>
      <c r="C571" s="279">
        <f>$C$400</f>
        <v>43429.105886573059</v>
      </c>
    </row>
    <row r="572" spans="1:3">
      <c r="A572" s="257" t="s">
        <v>345</v>
      </c>
      <c r="B572" s="287" t="s">
        <v>35</v>
      </c>
      <c r="C572" s="279">
        <f>C569+C570+C571</f>
        <v>52534.431864024009</v>
      </c>
    </row>
    <row r="573" spans="1:3">
      <c r="A573" s="257" t="s">
        <v>305</v>
      </c>
      <c r="B573" s="287" t="s">
        <v>35</v>
      </c>
      <c r="C573" s="279">
        <f>$C$558</f>
        <v>95517.148843679999</v>
      </c>
    </row>
    <row r="574" spans="1:3" ht="14.65" thickBot="1">
      <c r="A574" s="301" t="s">
        <v>66</v>
      </c>
      <c r="B574" s="259" t="s">
        <v>24</v>
      </c>
      <c r="C574" s="303">
        <f>C572/C573</f>
        <v>0.55000000000000004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246.32517484496358</v>
      </c>
      <c r="C580" s="378">
        <f>F468</f>
        <v>1547.5740000000001</v>
      </c>
      <c r="D580" s="378">
        <v>0</v>
      </c>
      <c r="E580" s="378">
        <f>B580+C580+D580</f>
        <v>1793.8991748449637</v>
      </c>
      <c r="F580" s="657">
        <f t="shared" ref="F580:F594" si="51">$C$566</f>
        <v>42982.716979656005</v>
      </c>
      <c r="G580" s="634">
        <f>E580/F580*1000000</f>
        <v>41735.36018428122</v>
      </c>
      <c r="H580" s="481">
        <f>G580/1000000</f>
        <v>4.1735360184281221E-2</v>
      </c>
    </row>
    <row r="581" spans="1:8">
      <c r="A581" s="149" t="s">
        <v>73</v>
      </c>
      <c r="B581" s="592">
        <f>B489</f>
        <v>2.8459309992772908E-2</v>
      </c>
      <c r="C581" s="364">
        <f>F469</f>
        <v>0.61250000000000004</v>
      </c>
      <c r="D581" s="364">
        <v>0</v>
      </c>
      <c r="E581" s="364">
        <f t="shared" ref="E581:E594" si="52">B581+C581+D581</f>
        <v>0.64095930999277295</v>
      </c>
      <c r="F581" s="658">
        <f t="shared" si="51"/>
        <v>42982.716979656005</v>
      </c>
      <c r="G581" s="558">
        <f t="shared" ref="G581:G593" si="53">E581/F581*1000000</f>
        <v>14.912024065303809</v>
      </c>
      <c r="H581" s="462">
        <f t="shared" ref="H581:H594" si="54">G581/1000000</f>
        <v>1.4912024065303809E-5</v>
      </c>
    </row>
    <row r="582" spans="1:8">
      <c r="A582" s="149" t="s">
        <v>74</v>
      </c>
      <c r="B582" s="592">
        <f t="shared" ref="B582:B584" si="55">B490</f>
        <v>478.37219712488445</v>
      </c>
      <c r="C582" s="364">
        <f t="shared" ref="C582:C593" si="56">F470</f>
        <v>2275.1098999999999</v>
      </c>
      <c r="D582" s="364">
        <v>0</v>
      </c>
      <c r="E582" s="364">
        <f t="shared" si="52"/>
        <v>2753.4820971248846</v>
      </c>
      <c r="F582" s="658">
        <f t="shared" si="51"/>
        <v>42982.716979656005</v>
      </c>
      <c r="G582" s="558">
        <f t="shared" si="53"/>
        <v>64060.215142475172</v>
      </c>
      <c r="H582" s="462">
        <f t="shared" si="54"/>
        <v>6.4060215142475174E-2</v>
      </c>
    </row>
    <row r="583" spans="1:8">
      <c r="A583" s="149" t="s">
        <v>75</v>
      </c>
      <c r="B583" s="592">
        <f t="shared" si="55"/>
        <v>5.9549768258324032E-5</v>
      </c>
      <c r="C583" s="364">
        <f t="shared" si="56"/>
        <v>5.2499999999999998E-2</v>
      </c>
      <c r="D583" s="364">
        <v>0</v>
      </c>
      <c r="E583" s="364">
        <f t="shared" si="52"/>
        <v>5.2559549768258322E-2</v>
      </c>
      <c r="F583" s="658">
        <f t="shared" si="51"/>
        <v>42982.716979656005</v>
      </c>
      <c r="G583" s="558">
        <f t="shared" si="53"/>
        <v>1.2228065944071216</v>
      </c>
      <c r="H583" s="462">
        <f t="shared" si="54"/>
        <v>1.2228065944071217E-6</v>
      </c>
    </row>
    <row r="584" spans="1:8">
      <c r="A584" s="149" t="s">
        <v>76</v>
      </c>
      <c r="B584" s="592">
        <f t="shared" si="55"/>
        <v>0.57445446857278615</v>
      </c>
      <c r="C584" s="364">
        <f t="shared" si="56"/>
        <v>1.9698</v>
      </c>
      <c r="D584" s="364">
        <v>0</v>
      </c>
      <c r="E584" s="364">
        <f t="shared" si="52"/>
        <v>2.5442544685727864</v>
      </c>
      <c r="F584" s="658">
        <f t="shared" si="51"/>
        <v>42982.716979656005</v>
      </c>
      <c r="G584" s="558">
        <f t="shared" si="53"/>
        <v>59.192499854697374</v>
      </c>
      <c r="H584" s="462">
        <f t="shared" si="54"/>
        <v>5.9192499854697372E-5</v>
      </c>
    </row>
    <row r="585" spans="1:8">
      <c r="A585" s="150" t="s">
        <v>77</v>
      </c>
      <c r="B585" s="592">
        <f>B493</f>
        <v>1.7100073055854814E-2</v>
      </c>
      <c r="C585" s="364">
        <f t="shared" si="56"/>
        <v>19.295499999999997</v>
      </c>
      <c r="D585" s="364">
        <v>0</v>
      </c>
      <c r="E585" s="364">
        <f t="shared" si="52"/>
        <v>19.312600073055851</v>
      </c>
      <c r="F585" s="658">
        <f t="shared" si="51"/>
        <v>42982.716979656005</v>
      </c>
      <c r="G585" s="558">
        <f t="shared" si="53"/>
        <v>449.31082607450406</v>
      </c>
      <c r="H585" s="462">
        <f t="shared" si="54"/>
        <v>4.4931082607450407E-4</v>
      </c>
    </row>
    <row r="586" spans="1:8">
      <c r="A586" s="150" t="s">
        <v>78</v>
      </c>
      <c r="B586" s="592">
        <f>B494</f>
        <v>491.81414514798553</v>
      </c>
      <c r="C586" s="364">
        <f t="shared" si="56"/>
        <v>2077.7049999999999</v>
      </c>
      <c r="D586" s="364">
        <v>0</v>
      </c>
      <c r="E586" s="364">
        <f t="shared" si="52"/>
        <v>2569.5191451479855</v>
      </c>
      <c r="F586" s="658">
        <f t="shared" si="51"/>
        <v>42982.716979656005</v>
      </c>
      <c r="G586" s="558">
        <f t="shared" si="53"/>
        <v>59780.286722315745</v>
      </c>
      <c r="H586" s="462">
        <f t="shared" si="54"/>
        <v>5.9780286722315744E-2</v>
      </c>
    </row>
    <row r="587" spans="1:8">
      <c r="A587" s="150" t="s">
        <v>79</v>
      </c>
      <c r="B587" s="592">
        <f>B495</f>
        <v>63.223407661809738</v>
      </c>
      <c r="C587" s="364">
        <f t="shared" si="56"/>
        <v>232.9992</v>
      </c>
      <c r="D587" s="364">
        <v>0</v>
      </c>
      <c r="E587" s="364">
        <f t="shared" si="52"/>
        <v>296.22260766180972</v>
      </c>
      <c r="F587" s="658">
        <f t="shared" si="51"/>
        <v>42982.716979656005</v>
      </c>
      <c r="G587" s="558">
        <f t="shared" si="53"/>
        <v>6891.6678255126071</v>
      </c>
      <c r="H587" s="462">
        <f t="shared" si="54"/>
        <v>6.8916678255126068E-3</v>
      </c>
    </row>
    <row r="588" spans="1:8">
      <c r="A588" s="150" t="s">
        <v>80</v>
      </c>
      <c r="B588" s="592">
        <f>B496</f>
        <v>96.236330766085601</v>
      </c>
      <c r="C588" s="364">
        <f t="shared" si="56"/>
        <v>302.29978333333338</v>
      </c>
      <c r="D588" s="364">
        <v>0</v>
      </c>
      <c r="E588" s="364">
        <f t="shared" si="52"/>
        <v>398.53611409941897</v>
      </c>
      <c r="F588" s="658">
        <f t="shared" si="51"/>
        <v>42982.716979656005</v>
      </c>
      <c r="G588" s="558">
        <f t="shared" si="53"/>
        <v>9272.00842813284</v>
      </c>
      <c r="H588" s="462">
        <f t="shared" si="54"/>
        <v>9.2720084281328399E-3</v>
      </c>
    </row>
    <row r="589" spans="1:8">
      <c r="A589" s="150" t="s">
        <v>81</v>
      </c>
      <c r="B589" s="592">
        <f>B497</f>
        <v>76.856270056612061</v>
      </c>
      <c r="C589" s="364">
        <f t="shared" si="56"/>
        <v>67.697699999999998</v>
      </c>
      <c r="D589" s="364">
        <v>0</v>
      </c>
      <c r="E589" s="364">
        <f t="shared" si="52"/>
        <v>144.55397005661206</v>
      </c>
      <c r="F589" s="658">
        <f t="shared" si="51"/>
        <v>42982.716979656005</v>
      </c>
      <c r="G589" s="558">
        <f t="shared" si="53"/>
        <v>3363.0719557591106</v>
      </c>
      <c r="H589" s="462">
        <f t="shared" si="54"/>
        <v>3.3630719557591103E-3</v>
      </c>
    </row>
    <row r="590" spans="1:8">
      <c r="A590" s="150" t="s">
        <v>82</v>
      </c>
      <c r="B590" s="592">
        <f t="shared" ref="B590" si="57">B498</f>
        <v>0.46181057466472719</v>
      </c>
      <c r="C590" s="364">
        <f t="shared" si="56"/>
        <v>1.4619499999999999</v>
      </c>
      <c r="D590" s="364">
        <v>0</v>
      </c>
      <c r="E590" s="364">
        <f t="shared" si="52"/>
        <v>1.9237605746647271</v>
      </c>
      <c r="F590" s="658">
        <f t="shared" si="51"/>
        <v>42982.716979656005</v>
      </c>
      <c r="G590" s="558">
        <f t="shared" si="53"/>
        <v>44.756607070122051</v>
      </c>
      <c r="H590" s="462">
        <f t="shared" si="54"/>
        <v>4.4756607070122053E-5</v>
      </c>
    </row>
    <row r="591" spans="1:8">
      <c r="A591" s="350" t="s">
        <v>154</v>
      </c>
      <c r="B591" s="592">
        <f>B501</f>
        <v>2441.0434527625498</v>
      </c>
      <c r="C591" s="364">
        <f t="shared" si="56"/>
        <v>1829.2190000000001</v>
      </c>
      <c r="D591" s="364">
        <f>$B$514</f>
        <v>2864.868565859786</v>
      </c>
      <c r="E591" s="364">
        <f t="shared" si="52"/>
        <v>7135.1310186223363</v>
      </c>
      <c r="F591" s="658">
        <f t="shared" si="51"/>
        <v>42982.716979656005</v>
      </c>
      <c r="G591" s="597">
        <f t="shared" si="53"/>
        <v>165999.99999998696</v>
      </c>
      <c r="H591" s="583">
        <f t="shared" si="54"/>
        <v>0.16599999999998696</v>
      </c>
    </row>
    <row r="592" spans="1:8">
      <c r="A592" s="398" t="s">
        <v>84</v>
      </c>
      <c r="B592" s="592">
        <f>B502</f>
        <v>0.12534820578873518</v>
      </c>
      <c r="C592" s="364">
        <f t="shared" si="56"/>
        <v>2.6088999999999998</v>
      </c>
      <c r="D592" s="364">
        <v>0</v>
      </c>
      <c r="E592" s="364">
        <f t="shared" si="52"/>
        <v>2.734248205788735</v>
      </c>
      <c r="F592" s="658">
        <f t="shared" si="51"/>
        <v>42982.716979656005</v>
      </c>
      <c r="G592" s="558">
        <f t="shared" si="53"/>
        <v>63.612735488146825</v>
      </c>
      <c r="H592" s="462">
        <f t="shared" si="54"/>
        <v>6.3612735488146826E-5</v>
      </c>
    </row>
    <row r="593" spans="1:8">
      <c r="A593" s="398" t="s">
        <v>85</v>
      </c>
      <c r="B593" s="592">
        <f t="shared" ref="B593:B594" si="58">B503</f>
        <v>0</v>
      </c>
      <c r="C593" s="364">
        <f t="shared" si="56"/>
        <v>124.30895555555556</v>
      </c>
      <c r="D593" s="364">
        <v>0</v>
      </c>
      <c r="E593" s="364">
        <f t="shared" si="52"/>
        <v>124.30895555555556</v>
      </c>
      <c r="F593" s="658">
        <f t="shared" si="51"/>
        <v>42982.716979656005</v>
      </c>
      <c r="G593" s="558">
        <f t="shared" si="53"/>
        <v>2892.0683542269276</v>
      </c>
      <c r="H593" s="462">
        <f t="shared" si="54"/>
        <v>2.8920683542269275E-3</v>
      </c>
    </row>
    <row r="594" spans="1:8" ht="14.65" thickBot="1">
      <c r="A594" s="152" t="s">
        <v>86</v>
      </c>
      <c r="B594" s="659">
        <f t="shared" si="58"/>
        <v>0.52646313881298212</v>
      </c>
      <c r="C594" s="379">
        <f>F482</f>
        <v>53.472999999999999</v>
      </c>
      <c r="D594" s="379">
        <v>0</v>
      </c>
      <c r="E594" s="379">
        <f t="shared" si="52"/>
        <v>53.999463138812985</v>
      </c>
      <c r="F594" s="660">
        <f t="shared" si="51"/>
        <v>42982.716979656005</v>
      </c>
      <c r="G594" s="559">
        <f>E594/F594*1000000</f>
        <v>1256.3064164690024</v>
      </c>
      <c r="H594" s="464">
        <f t="shared" si="54"/>
        <v>1.2563064164690025E-3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95517.148843679999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42982.716979656005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45244.965241743164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2262.2482620871601</v>
      </c>
    </row>
    <row r="610" spans="1:5" ht="14.65" thickBot="1">
      <c r="A610" s="689" t="s">
        <v>16</v>
      </c>
      <c r="B610" s="163" t="s">
        <v>35</v>
      </c>
      <c r="C610" s="690">
        <f>$C$572-C609</f>
        <v>50272.183601936849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140</v>
      </c>
      <c r="C613" s="1061"/>
      <c r="D613" s="1061"/>
      <c r="E613" s="1009"/>
    </row>
    <row r="614" spans="1:5" ht="14.65" hidden="1" thickBot="1">
      <c r="A614" s="487" t="s">
        <v>67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t="14.65" hidden="1" thickBot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3.9699845505553391E-4</v>
      </c>
      <c r="E616" s="507">
        <f>SUM(B616:D616)</f>
        <v>5.2896998455055529E-2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0.313370514471838</v>
      </c>
      <c r="E617" s="508">
        <f>SUM(B617:D617)</f>
        <v>2.9222705144718377</v>
      </c>
    </row>
    <row r="618" spans="1:5" ht="14.65" hidden="1" thickBot="1"/>
    <row r="619" spans="1:5" ht="14.65" thickBot="1">
      <c r="A619" s="512"/>
      <c r="B619" s="249" t="s">
        <v>18</v>
      </c>
      <c r="C619" s="249" t="s">
        <v>234</v>
      </c>
    </row>
    <row r="620" spans="1:5">
      <c r="A620" s="134" t="s">
        <v>232</v>
      </c>
      <c r="B620" s="509" t="s">
        <v>24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42982.716979656005</v>
      </c>
    </row>
    <row r="622" spans="1:5">
      <c r="A622" s="68" t="s">
        <v>349</v>
      </c>
      <c r="B622" s="510" t="s">
        <v>35</v>
      </c>
      <c r="C622" s="245">
        <f>C621*C620</f>
        <v>16333.432452269282</v>
      </c>
    </row>
    <row r="623" spans="1:5">
      <c r="A623" s="68" t="s">
        <v>350</v>
      </c>
      <c r="B623" s="510" t="s">
        <v>35</v>
      </c>
      <c r="C623" s="246">
        <f>E583</f>
        <v>5.2559549768258322E-2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3.2179120905450569</v>
      </c>
    </row>
    <row r="625" spans="1:4" ht="14.65" thickBot="1"/>
    <row r="626" spans="1:4" ht="14.65" thickBot="1">
      <c r="A626" s="212"/>
      <c r="B626" s="1010" t="s">
        <v>216</v>
      </c>
      <c r="C626" s="1005" t="s">
        <v>165</v>
      </c>
      <c r="D626" s="1012"/>
    </row>
    <row r="627" spans="1:4">
      <c r="A627" s="487" t="s">
        <v>67</v>
      </c>
      <c r="B627" s="1011"/>
      <c r="C627" s="3" t="s">
        <v>166</v>
      </c>
      <c r="D627" s="15" t="s">
        <v>167</v>
      </c>
    </row>
    <row r="628" spans="1:4" ht="14.65" thickBot="1">
      <c r="A628" s="133" t="s">
        <v>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14.912024065303809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3.2179120905450569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449.31082607450406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44.756607070122051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G592</f>
        <v>63.612735488146825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1256.3064164690024</v>
      </c>
      <c r="C634" s="486">
        <f>Rohdaten!$F$25</f>
        <v>5000</v>
      </c>
      <c r="D634" s="237">
        <f>Rohdaten!$H$25</f>
        <v>1500</v>
      </c>
    </row>
  </sheetData>
  <mergeCells count="45">
    <mergeCell ref="B465:C465"/>
    <mergeCell ref="D465:F465"/>
    <mergeCell ref="G578:H578"/>
    <mergeCell ref="B613:E613"/>
    <mergeCell ref="B626:B627"/>
    <mergeCell ref="C626:D626"/>
    <mergeCell ref="B485:E485"/>
    <mergeCell ref="F485:G485"/>
    <mergeCell ref="F486:G486"/>
    <mergeCell ref="D510:E510"/>
    <mergeCell ref="B577:F577"/>
    <mergeCell ref="G577:H577"/>
    <mergeCell ref="E405:H405"/>
    <mergeCell ref="B432:D432"/>
    <mergeCell ref="E432:H432"/>
    <mergeCell ref="E433:F433"/>
    <mergeCell ref="G433:H433"/>
    <mergeCell ref="B199:C199"/>
    <mergeCell ref="B200:C200"/>
    <mergeCell ref="B285:F285"/>
    <mergeCell ref="G285:L285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I286:L286"/>
    <mergeCell ref="I287:J287"/>
    <mergeCell ref="K287:L287"/>
    <mergeCell ref="B405:D405"/>
    <mergeCell ref="D63:F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BBCA6-F242-4F8E-9F10-C0F87032A739}">
  <sheetPr codeName="Tabelle15"/>
  <dimension ref="A1:L634"/>
  <sheetViews>
    <sheetView topLeftCell="A204" zoomScale="58" zoomScaleNormal="50" workbookViewId="0">
      <selection activeCell="D80" sqref="D80"/>
    </sheetView>
  </sheetViews>
  <sheetFormatPr baseColWidth="10" defaultColWidth="8.86328125" defaultRowHeight="14.25"/>
  <cols>
    <col min="1" max="1" width="45.4648437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0.2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2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0.2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2400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9.0538705296514255E-2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26508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9900</v>
      </c>
    </row>
    <row r="34" spans="1:3" ht="14.65" thickBot="1">
      <c r="A34" s="680" t="s">
        <v>427</v>
      </c>
      <c r="B34" s="694" t="s">
        <v>35</v>
      </c>
      <c r="C34" s="725">
        <f>C30+C33</f>
        <v>16500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2400</v>
      </c>
    </row>
    <row r="40" spans="1:3" hidden="1">
      <c r="A40" s="257" t="s">
        <v>33</v>
      </c>
      <c r="B40" s="287" t="s">
        <v>35</v>
      </c>
      <c r="C40" s="295">
        <f>$C$30</f>
        <v>6600.0000000000009</v>
      </c>
    </row>
    <row r="41" spans="1:3" hidden="1">
      <c r="A41" s="257" t="s">
        <v>57</v>
      </c>
      <c r="B41" s="287" t="s">
        <v>35</v>
      </c>
      <c r="C41" s="279">
        <f>C38+C39+C40</f>
        <v>21000</v>
      </c>
    </row>
    <row r="42" spans="1:3" hidden="1">
      <c r="A42" s="257" t="s">
        <v>58</v>
      </c>
      <c r="B42" s="287" t="s">
        <v>35</v>
      </c>
      <c r="C42" s="279">
        <f>$C$22+$C$25+$C$30+$C$24</f>
        <v>55008</v>
      </c>
    </row>
    <row r="43" spans="1:3" hidden="1">
      <c r="A43" s="299" t="s">
        <v>59</v>
      </c>
      <c r="B43" s="258" t="s">
        <v>24</v>
      </c>
      <c r="C43" s="300">
        <f>C41/C42</f>
        <v>0.3817626527050611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55008</v>
      </c>
    </row>
    <row r="47" spans="1:3" ht="14.65" hidden="1" thickBot="1">
      <c r="A47" s="301" t="s">
        <v>61</v>
      </c>
      <c r="B47" s="259" t="s">
        <v>24</v>
      </c>
      <c r="C47" s="302">
        <f>C44/C46</f>
        <v>0.61823734729493895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2400</v>
      </c>
    </row>
    <row r="53" spans="1:6" hidden="1">
      <c r="A53" s="257" t="s">
        <v>33</v>
      </c>
      <c r="B53" s="287" t="s">
        <v>35</v>
      </c>
      <c r="C53" s="295">
        <f>$C$30</f>
        <v>6600.0000000000009</v>
      </c>
    </row>
    <row r="54" spans="1:6" hidden="1">
      <c r="A54" s="257" t="s">
        <v>430</v>
      </c>
      <c r="B54" s="287" t="s">
        <v>35</v>
      </c>
      <c r="C54" s="279">
        <f>C51+C52+C53</f>
        <v>21000</v>
      </c>
    </row>
    <row r="55" spans="1:6" hidden="1">
      <c r="A55" s="257" t="s">
        <v>58</v>
      </c>
      <c r="B55" s="287" t="s">
        <v>35</v>
      </c>
      <c r="C55" s="279">
        <f>$C$22+$C$25+$C$30+$C$24</f>
        <v>55008</v>
      </c>
    </row>
    <row r="56" spans="1:6" hidden="1">
      <c r="A56" s="299" t="s">
        <v>64</v>
      </c>
      <c r="B56" s="258" t="s">
        <v>24</v>
      </c>
      <c r="C56" s="300">
        <f>C54/C88</f>
        <v>0.3817626527050611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55008</v>
      </c>
    </row>
    <row r="60" spans="1:6" ht="14.65" hidden="1" thickBot="1">
      <c r="A60" s="301" t="s">
        <v>66</v>
      </c>
      <c r="B60" s="259" t="s">
        <v>24</v>
      </c>
      <c r="C60" s="303">
        <f>C58/C88</f>
        <v>0.61823734729493895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0.6191868864567116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289.79432334701602</v>
      </c>
      <c r="F66" s="467">
        <f t="shared" ref="F66:F78" si="2">D66*(1-B66)</f>
        <v>178.22967665298401</v>
      </c>
    </row>
    <row r="67" spans="1:7">
      <c r="A67" s="107" t="s">
        <v>73</v>
      </c>
      <c r="B67" s="448">
        <v>0.82923397414839517</v>
      </c>
      <c r="C67" s="413">
        <v>28.6</v>
      </c>
      <c r="D67" s="229">
        <f t="shared" si="0"/>
        <v>0.34320000000000001</v>
      </c>
      <c r="E67" s="424">
        <f t="shared" si="1"/>
        <v>0.28459309992772924</v>
      </c>
      <c r="F67" s="468">
        <f t="shared" si="2"/>
        <v>5.8606900072270776E-2</v>
      </c>
    </row>
    <row r="68" spans="1:7">
      <c r="A68" s="108" t="s">
        <v>74</v>
      </c>
      <c r="B68" s="448">
        <v>0.25071918088306311</v>
      </c>
      <c r="C68" s="413">
        <v>159000</v>
      </c>
      <c r="D68" s="229">
        <f t="shared" si="0"/>
        <v>1908</v>
      </c>
      <c r="E68" s="424">
        <f t="shared" si="1"/>
        <v>478.37219712488439</v>
      </c>
      <c r="F68" s="468">
        <f t="shared" si="2"/>
        <v>1429.6278028751155</v>
      </c>
      <c r="G68" s="710"/>
    </row>
    <row r="69" spans="1:7">
      <c r="A69" s="108" t="s">
        <v>75</v>
      </c>
      <c r="B69" s="448">
        <v>9.452344167988902E-3</v>
      </c>
      <c r="C69" s="413">
        <v>3.5</v>
      </c>
      <c r="D69" s="229">
        <f t="shared" si="0"/>
        <v>4.2000000000000003E-2</v>
      </c>
      <c r="E69" s="424">
        <f t="shared" si="1"/>
        <v>3.9699845505553391E-4</v>
      </c>
      <c r="F69" s="468">
        <f t="shared" si="2"/>
        <v>4.1603001544944472E-2</v>
      </c>
    </row>
    <row r="70" spans="1:7">
      <c r="A70" s="108" t="s">
        <v>76</v>
      </c>
      <c r="B70" s="448">
        <v>0.35199415966469738</v>
      </c>
      <c r="C70" s="413">
        <v>136</v>
      </c>
      <c r="D70" s="229">
        <f t="shared" si="0"/>
        <v>1.6319999999999999</v>
      </c>
      <c r="E70" s="424">
        <f t="shared" si="1"/>
        <v>0.57445446857278604</v>
      </c>
      <c r="F70" s="468">
        <f t="shared" si="2"/>
        <v>1.0575455314272137</v>
      </c>
    </row>
    <row r="71" spans="1:7">
      <c r="A71" s="108" t="s">
        <v>77</v>
      </c>
      <c r="B71" s="448">
        <v>0.2172265378030338</v>
      </c>
      <c r="C71" s="413">
        <v>656</v>
      </c>
      <c r="D71" s="229">
        <f t="shared" si="0"/>
        <v>7.8719999999999999</v>
      </c>
      <c r="E71" s="424">
        <f t="shared" si="1"/>
        <v>1.7100073055854821</v>
      </c>
      <c r="F71" s="468">
        <f t="shared" si="2"/>
        <v>6.1619926944145176</v>
      </c>
    </row>
    <row r="72" spans="1:7">
      <c r="A72" s="108" t="s">
        <v>78</v>
      </c>
      <c r="B72" s="448">
        <v>0.55056776383895401</v>
      </c>
      <c r="C72" s="413">
        <v>87577</v>
      </c>
      <c r="D72" s="229">
        <f t="shared" si="0"/>
        <v>1050.924</v>
      </c>
      <c r="E72" s="424">
        <f t="shared" si="1"/>
        <v>578.60487664468894</v>
      </c>
      <c r="F72" s="468">
        <f t="shared" si="2"/>
        <v>472.31912335531109</v>
      </c>
    </row>
    <row r="73" spans="1:7">
      <c r="A73" s="108" t="s">
        <v>79</v>
      </c>
      <c r="B73" s="448">
        <v>0.75314377887939554</v>
      </c>
      <c r="C73" s="413">
        <v>8230</v>
      </c>
      <c r="D73" s="229">
        <f t="shared" si="0"/>
        <v>98.76</v>
      </c>
      <c r="E73" s="424">
        <f t="shared" si="1"/>
        <v>74.380479602129114</v>
      </c>
      <c r="F73" s="468">
        <f t="shared" si="2"/>
        <v>24.379520397870898</v>
      </c>
    </row>
    <row r="74" spans="1:7">
      <c r="A74" s="108" t="s">
        <v>80</v>
      </c>
      <c r="B74" s="448">
        <v>0.73139026270014895</v>
      </c>
      <c r="C74" s="413">
        <v>12900</v>
      </c>
      <c r="D74" s="229">
        <f t="shared" si="0"/>
        <v>154.80000000000001</v>
      </c>
      <c r="E74" s="424">
        <f t="shared" si="1"/>
        <v>113.21921266598306</v>
      </c>
      <c r="F74" s="468">
        <f t="shared" si="2"/>
        <v>41.580787334016946</v>
      </c>
    </row>
    <row r="75" spans="1:7">
      <c r="A75" s="108" t="s">
        <v>81</v>
      </c>
      <c r="B75" s="448">
        <v>0.79070236683757267</v>
      </c>
      <c r="C75" s="413">
        <v>8100</v>
      </c>
      <c r="D75" s="229">
        <f t="shared" si="0"/>
        <v>97.2</v>
      </c>
      <c r="E75" s="424">
        <f t="shared" si="1"/>
        <v>76.856270056612061</v>
      </c>
      <c r="F75" s="468">
        <f t="shared" si="2"/>
        <v>20.343729943387938</v>
      </c>
    </row>
    <row r="76" spans="1:7">
      <c r="A76" s="108" t="s">
        <v>82</v>
      </c>
      <c r="B76" s="448">
        <v>0.36220437228606051</v>
      </c>
      <c r="C76" s="413">
        <v>125</v>
      </c>
      <c r="D76" s="229">
        <f t="shared" si="0"/>
        <v>1.5</v>
      </c>
      <c r="E76" s="424">
        <f t="shared" si="1"/>
        <v>0.54330655842909081</v>
      </c>
      <c r="F76" s="468">
        <f t="shared" si="2"/>
        <v>0.95669344157090919</v>
      </c>
    </row>
    <row r="77" spans="1:7">
      <c r="A77" s="108" t="s">
        <v>83</v>
      </c>
      <c r="B77" s="448">
        <v>0.80053901992478527</v>
      </c>
      <c r="C77" s="413">
        <v>81618</v>
      </c>
      <c r="D77" s="229">
        <f t="shared" si="0"/>
        <v>979.41600000000005</v>
      </c>
      <c r="E77" s="424">
        <f t="shared" si="1"/>
        <v>784.06072473865356</v>
      </c>
      <c r="F77" s="468">
        <f t="shared" si="2"/>
        <v>195.35527526134652</v>
      </c>
    </row>
    <row r="78" spans="1:7">
      <c r="A78" s="108" t="s">
        <v>84</v>
      </c>
      <c r="B78" s="448">
        <v>0.21059846402677285</v>
      </c>
      <c r="C78" s="413">
        <v>124</v>
      </c>
      <c r="D78" s="229">
        <f t="shared" si="0"/>
        <v>1.488</v>
      </c>
      <c r="E78" s="424">
        <f t="shared" si="1"/>
        <v>0.313370514471838</v>
      </c>
      <c r="F78" s="468">
        <f t="shared" si="2"/>
        <v>1.174629485528162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0.37290206744084387</v>
      </c>
      <c r="C80" s="414">
        <v>2353</v>
      </c>
      <c r="D80" s="230">
        <f t="shared" si="0"/>
        <v>28.236000000000001</v>
      </c>
      <c r="E80" s="435">
        <f>B80*D80</f>
        <v>10.529262776259667</v>
      </c>
      <c r="F80" s="469">
        <f>D80*(1-B80)</f>
        <v>17.706737223740333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2400</v>
      </c>
    </row>
    <row r="87" spans="1:3">
      <c r="A87" s="257" t="s">
        <v>428</v>
      </c>
      <c r="B87" s="278" t="s">
        <v>35</v>
      </c>
      <c r="C87" s="289">
        <f>C30</f>
        <v>6600.0000000000009</v>
      </c>
    </row>
    <row r="88" spans="1:3" ht="14.65" thickBot="1">
      <c r="A88" s="255" t="s">
        <v>4</v>
      </c>
      <c r="B88" s="271" t="s">
        <v>35</v>
      </c>
      <c r="C88" s="256">
        <f>C84+C85+C86+C87</f>
        <v>55008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2409.2434759016687</v>
      </c>
    </row>
    <row r="94" spans="1:3" hidden="1">
      <c r="A94" s="257" t="s">
        <v>57</v>
      </c>
      <c r="B94" s="278" t="s">
        <v>35</v>
      </c>
      <c r="C94" s="279">
        <f>C92-C93</f>
        <v>9590.7565240983313</v>
      </c>
    </row>
    <row r="95" spans="1:3" hidden="1">
      <c r="A95" s="257" t="s">
        <v>4</v>
      </c>
      <c r="B95" s="278" t="s">
        <v>35</v>
      </c>
      <c r="C95" s="279">
        <f>$C$88</f>
        <v>55008</v>
      </c>
    </row>
    <row r="96" spans="1:3" hidden="1">
      <c r="A96" s="299" t="s">
        <v>59</v>
      </c>
      <c r="B96" s="260" t="s">
        <v>24</v>
      </c>
      <c r="C96" s="300">
        <f>C94/C95</f>
        <v>0.17435203105181668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2400</v>
      </c>
    </row>
    <row r="99" spans="1:3" hidden="1">
      <c r="A99" s="257" t="s">
        <v>33</v>
      </c>
      <c r="B99" s="278" t="s">
        <v>35</v>
      </c>
      <c r="C99" s="295">
        <f>$C$30</f>
        <v>6600.0000000000009</v>
      </c>
    </row>
    <row r="100" spans="1:3" hidden="1">
      <c r="A100" s="257" t="s">
        <v>87</v>
      </c>
      <c r="B100" s="278" t="s">
        <v>35</v>
      </c>
      <c r="C100" s="295">
        <f>SUM($E$66:$E$80)</f>
        <v>2409.2434759016687</v>
      </c>
    </row>
    <row r="101" spans="1:3" hidden="1">
      <c r="A101" s="257" t="s">
        <v>60</v>
      </c>
      <c r="B101" s="278" t="s">
        <v>35</v>
      </c>
      <c r="C101" s="279">
        <f>SUM(C97:C100)</f>
        <v>45417.243475901669</v>
      </c>
    </row>
    <row r="102" spans="1:3" hidden="1">
      <c r="A102" s="257" t="s">
        <v>4</v>
      </c>
      <c r="B102" s="278" t="s">
        <v>35</v>
      </c>
      <c r="C102" s="279">
        <f>$C$88</f>
        <v>55008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0.82564796894818338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2400</v>
      </c>
    </row>
    <row r="109" spans="1:3">
      <c r="A109" s="257" t="s">
        <v>428</v>
      </c>
      <c r="B109" s="278" t="s">
        <v>35</v>
      </c>
      <c r="C109" s="295">
        <f>$C$30</f>
        <v>6600.0000000000009</v>
      </c>
    </row>
    <row r="110" spans="1:3">
      <c r="A110" s="257" t="s">
        <v>336</v>
      </c>
      <c r="B110" s="278" t="s">
        <v>35</v>
      </c>
      <c r="C110" s="279">
        <f>C107+C108+C109</f>
        <v>21000</v>
      </c>
    </row>
    <row r="111" spans="1:3">
      <c r="A111" s="257" t="s">
        <v>4</v>
      </c>
      <c r="B111" s="278" t="s">
        <v>35</v>
      </c>
      <c r="C111" s="279">
        <f>$C$88</f>
        <v>55008</v>
      </c>
    </row>
    <row r="112" spans="1:3">
      <c r="A112" s="299" t="s">
        <v>64</v>
      </c>
      <c r="B112" s="260" t="s">
        <v>24</v>
      </c>
      <c r="C112" s="300">
        <f>C110/C111</f>
        <v>0.3817626527050611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55008</v>
      </c>
    </row>
    <row r="116" spans="1:12" ht="14.65" thickBot="1">
      <c r="A116" s="301" t="s">
        <v>66</v>
      </c>
      <c r="B116" s="277" t="s">
        <v>24</v>
      </c>
      <c r="C116" s="303">
        <f>C114/C115</f>
        <v>0.61823734729493895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289.79432334701602</v>
      </c>
      <c r="D123" s="428">
        <f t="shared" ref="D123:D134" si="5">F66</f>
        <v>178.22967665298401</v>
      </c>
      <c r="E123" s="160">
        <f>$C$110</f>
        <v>21000</v>
      </c>
      <c r="F123" s="440">
        <f>$C$88</f>
        <v>55008</v>
      </c>
      <c r="G123" s="443">
        <f t="shared" ref="G123:G143" si="6">B123/E123*1000000</f>
        <v>22286.857142857141</v>
      </c>
      <c r="H123" s="554">
        <f>G123/1000000</f>
        <v>2.2286857142857143E-2</v>
      </c>
      <c r="I123" s="557">
        <f t="shared" ref="I123:I143" si="7">C123/F123*1000000</f>
        <v>5268.2214104678596</v>
      </c>
      <c r="J123" s="432">
        <f>I123/1000000</f>
        <v>5.2682214104678594E-3</v>
      </c>
      <c r="K123" s="431">
        <f t="shared" ref="K123:K143" si="8">D123/F123*1000000</f>
        <v>3240.0682928480223</v>
      </c>
      <c r="L123" s="433">
        <f>K123/1000000</f>
        <v>3.2400682928480223E-3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0.28459309992772924</v>
      </c>
      <c r="D124" s="235">
        <f t="shared" si="5"/>
        <v>5.8606900072270776E-2</v>
      </c>
      <c r="E124" s="119">
        <f t="shared" ref="E124:E143" si="9">$C$110</f>
        <v>21000</v>
      </c>
      <c r="F124" s="441">
        <f t="shared" ref="F124:F143" si="10">$C$88</f>
        <v>55008</v>
      </c>
      <c r="G124" s="444">
        <f t="shared" si="6"/>
        <v>16.342857142857142</v>
      </c>
      <c r="H124" s="555">
        <f t="shared" ref="H124:H143" si="11">G124/1000000</f>
        <v>1.6342857142857143E-5</v>
      </c>
      <c r="I124" s="558">
        <f t="shared" si="7"/>
        <v>5.1736674652364973</v>
      </c>
      <c r="J124" s="427">
        <f t="shared" ref="J124:J143" si="12">I124/1000000</f>
        <v>5.1736674652364977E-6</v>
      </c>
      <c r="K124" s="426">
        <f t="shared" si="8"/>
        <v>1.0654250304005013</v>
      </c>
      <c r="L124" s="434">
        <f t="shared" ref="L124:L143" si="13">K124/1000000</f>
        <v>1.0654250304005013E-6</v>
      </c>
    </row>
    <row r="125" spans="1:12">
      <c r="A125" s="149" t="s">
        <v>74</v>
      </c>
      <c r="B125" s="161">
        <f t="shared" si="3"/>
        <v>1908</v>
      </c>
      <c r="C125" s="235">
        <f t="shared" si="4"/>
        <v>478.37219712488439</v>
      </c>
      <c r="D125" s="235">
        <f t="shared" si="5"/>
        <v>1429.6278028751155</v>
      </c>
      <c r="E125" s="119">
        <f t="shared" si="9"/>
        <v>21000</v>
      </c>
      <c r="F125" s="441">
        <f t="shared" si="10"/>
        <v>55008</v>
      </c>
      <c r="G125" s="444">
        <f t="shared" si="6"/>
        <v>90857.142857142855</v>
      </c>
      <c r="H125" s="555">
        <f t="shared" si="11"/>
        <v>9.0857142857142859E-2</v>
      </c>
      <c r="I125" s="558">
        <f t="shared" si="7"/>
        <v>8696.4113787973456</v>
      </c>
      <c r="J125" s="427">
        <f t="shared" si="12"/>
        <v>8.6964113787973453E-3</v>
      </c>
      <c r="K125" s="426">
        <f t="shared" si="8"/>
        <v>25989.452495548201</v>
      </c>
      <c r="L125" s="434">
        <f t="shared" si="13"/>
        <v>2.5989452495548199E-2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3.9699845505553391E-4</v>
      </c>
      <c r="D126" s="235">
        <f t="shared" si="5"/>
        <v>4.1603001544944472E-2</v>
      </c>
      <c r="E126" s="119">
        <f t="shared" si="9"/>
        <v>21000</v>
      </c>
      <c r="F126" s="441">
        <f t="shared" si="10"/>
        <v>55008</v>
      </c>
      <c r="G126" s="444">
        <f t="shared" si="6"/>
        <v>2.0000000000000004</v>
      </c>
      <c r="H126" s="555">
        <f t="shared" si="11"/>
        <v>2.0000000000000003E-6</v>
      </c>
      <c r="I126" s="558">
        <f t="shared" si="7"/>
        <v>7.2171039677053142E-3</v>
      </c>
      <c r="J126" s="427">
        <f t="shared" si="12"/>
        <v>7.2171039677053141E-9</v>
      </c>
      <c r="K126" s="426">
        <f t="shared" si="8"/>
        <v>0.75630820144241695</v>
      </c>
      <c r="L126" s="434">
        <f t="shared" si="13"/>
        <v>7.5630820144241692E-7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0.57445446857278604</v>
      </c>
      <c r="D127" s="235">
        <f t="shared" si="5"/>
        <v>1.0575455314272137</v>
      </c>
      <c r="E127" s="119">
        <f t="shared" si="9"/>
        <v>21000</v>
      </c>
      <c r="F127" s="441">
        <f t="shared" si="10"/>
        <v>55008</v>
      </c>
      <c r="G127" s="444">
        <f t="shared" si="6"/>
        <v>77.714285714285708</v>
      </c>
      <c r="H127" s="555">
        <f t="shared" si="11"/>
        <v>7.7714285714285708E-5</v>
      </c>
      <c r="I127" s="558">
        <f t="shared" si="7"/>
        <v>10.443107703839187</v>
      </c>
      <c r="J127" s="427">
        <f t="shared" si="12"/>
        <v>1.0443107703839187E-5</v>
      </c>
      <c r="K127" s="426">
        <f t="shared" si="8"/>
        <v>19.225304163525557</v>
      </c>
      <c r="L127" s="434">
        <f t="shared" si="13"/>
        <v>1.9225304163525556E-5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1.7100073055854821</v>
      </c>
      <c r="D128" s="235">
        <f t="shared" si="5"/>
        <v>6.1619926944145176</v>
      </c>
      <c r="E128" s="119">
        <f t="shared" si="9"/>
        <v>21000</v>
      </c>
      <c r="F128" s="441">
        <f t="shared" si="10"/>
        <v>55008</v>
      </c>
      <c r="G128" s="444">
        <f t="shared" si="6"/>
        <v>374.85714285714289</v>
      </c>
      <c r="H128" s="555">
        <f t="shared" si="11"/>
        <v>3.7485714285714287E-4</v>
      </c>
      <c r="I128" s="558">
        <f t="shared" si="7"/>
        <v>31.086520244064172</v>
      </c>
      <c r="J128" s="427">
        <f t="shared" si="12"/>
        <v>3.1086520244064171E-5</v>
      </c>
      <c r="K128" s="426">
        <f t="shared" si="8"/>
        <v>112.01993699851872</v>
      </c>
      <c r="L128" s="434">
        <f t="shared" si="13"/>
        <v>1.1201993699851872E-4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578.60487664468894</v>
      </c>
      <c r="D129" s="235">
        <f t="shared" si="5"/>
        <v>472.31912335531109</v>
      </c>
      <c r="E129" s="119">
        <f t="shared" si="9"/>
        <v>21000</v>
      </c>
      <c r="F129" s="441">
        <f t="shared" si="10"/>
        <v>55008</v>
      </c>
      <c r="G129" s="444">
        <f t="shared" si="6"/>
        <v>50044</v>
      </c>
      <c r="H129" s="555">
        <f t="shared" si="11"/>
        <v>5.0043999999999998E-2</v>
      </c>
      <c r="I129" s="558">
        <f t="shared" si="7"/>
        <v>10518.558694093386</v>
      </c>
      <c r="J129" s="427">
        <f t="shared" si="12"/>
        <v>1.0518558694093386E-2</v>
      </c>
      <c r="K129" s="426">
        <f t="shared" si="8"/>
        <v>8586.371497878692</v>
      </c>
      <c r="L129" s="434">
        <f t="shared" si="13"/>
        <v>8.586371497878692E-3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74.380479602129114</v>
      </c>
      <c r="D130" s="235">
        <f t="shared" si="5"/>
        <v>24.379520397870898</v>
      </c>
      <c r="E130" s="119">
        <f t="shared" si="9"/>
        <v>21000</v>
      </c>
      <c r="F130" s="441">
        <f t="shared" si="10"/>
        <v>55008</v>
      </c>
      <c r="G130" s="444">
        <f t="shared" si="6"/>
        <v>4702.8571428571431</v>
      </c>
      <c r="H130" s="555">
        <f t="shared" si="11"/>
        <v>4.7028571428571432E-3</v>
      </c>
      <c r="I130" s="558">
        <f t="shared" si="7"/>
        <v>1352.1756763039762</v>
      </c>
      <c r="J130" s="427">
        <f t="shared" si="12"/>
        <v>1.3521756763039761E-3</v>
      </c>
      <c r="K130" s="426">
        <f t="shared" si="8"/>
        <v>443.19954184611146</v>
      </c>
      <c r="L130" s="434">
        <f t="shared" si="13"/>
        <v>4.4319954184611146E-4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113.21921266598306</v>
      </c>
      <c r="D131" s="235">
        <f t="shared" si="5"/>
        <v>41.580787334016946</v>
      </c>
      <c r="E131" s="119">
        <f t="shared" si="9"/>
        <v>21000</v>
      </c>
      <c r="F131" s="441">
        <f t="shared" si="10"/>
        <v>55008</v>
      </c>
      <c r="G131" s="444">
        <f t="shared" si="6"/>
        <v>7371.4285714285725</v>
      </c>
      <c r="H131" s="555">
        <f t="shared" si="11"/>
        <v>7.3714285714285722E-3</v>
      </c>
      <c r="I131" s="558">
        <f t="shared" si="7"/>
        <v>2058.231760216388</v>
      </c>
      <c r="J131" s="427">
        <f t="shared" si="12"/>
        <v>2.0582317602163879E-3</v>
      </c>
      <c r="K131" s="426">
        <f t="shared" si="8"/>
        <v>755.90436543806254</v>
      </c>
      <c r="L131" s="434">
        <f t="shared" si="13"/>
        <v>7.5590436543806257E-4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76.856270056612061</v>
      </c>
      <c r="D132" s="235">
        <f t="shared" si="5"/>
        <v>20.343729943387938</v>
      </c>
      <c r="E132" s="119">
        <f t="shared" si="9"/>
        <v>21000</v>
      </c>
      <c r="F132" s="441">
        <f t="shared" si="10"/>
        <v>55008</v>
      </c>
      <c r="G132" s="444">
        <f t="shared" si="6"/>
        <v>4628.5714285714294</v>
      </c>
      <c r="H132" s="555">
        <f t="shared" si="11"/>
        <v>4.6285714285714289E-3</v>
      </c>
      <c r="I132" s="558">
        <f t="shared" si="7"/>
        <v>1397.1835016108942</v>
      </c>
      <c r="J132" s="427">
        <f t="shared" si="12"/>
        <v>1.3971835016108941E-3</v>
      </c>
      <c r="K132" s="426">
        <f t="shared" si="8"/>
        <v>369.83220519538861</v>
      </c>
      <c r="L132" s="434">
        <f t="shared" si="13"/>
        <v>3.6983220519538863E-4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0.54330655842909081</v>
      </c>
      <c r="D133" s="235">
        <f t="shared" si="5"/>
        <v>0.95669344157090919</v>
      </c>
      <c r="E133" s="119">
        <f t="shared" si="9"/>
        <v>21000</v>
      </c>
      <c r="F133" s="441">
        <f t="shared" si="10"/>
        <v>55008</v>
      </c>
      <c r="G133" s="444">
        <f t="shared" si="6"/>
        <v>71.428571428571431</v>
      </c>
      <c r="H133" s="555">
        <f t="shared" si="11"/>
        <v>7.1428571428571434E-5</v>
      </c>
      <c r="I133" s="558">
        <f t="shared" si="7"/>
        <v>9.8768644275212854</v>
      </c>
      <c r="J133" s="427">
        <f t="shared" si="12"/>
        <v>9.8768644275212862E-6</v>
      </c>
      <c r="K133" s="426">
        <f t="shared" si="8"/>
        <v>17.391896479983078</v>
      </c>
      <c r="L133" s="434">
        <f t="shared" si="13"/>
        <v>1.7391896479983079E-5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784.06072473865356</v>
      </c>
      <c r="D134" s="235">
        <f t="shared" si="5"/>
        <v>195.35527526134652</v>
      </c>
      <c r="E134" s="119">
        <f t="shared" si="9"/>
        <v>21000</v>
      </c>
      <c r="F134" s="441">
        <f t="shared" si="10"/>
        <v>55008</v>
      </c>
      <c r="G134" s="444">
        <f t="shared" si="6"/>
        <v>46638.857142857145</v>
      </c>
      <c r="H134" s="555">
        <f t="shared" si="11"/>
        <v>4.6638857142857142E-2</v>
      </c>
      <c r="I134" s="558">
        <f t="shared" si="7"/>
        <v>14253.576293241957</v>
      </c>
      <c r="J134" s="427">
        <f t="shared" si="12"/>
        <v>1.4253576293241957E-2</v>
      </c>
      <c r="K134" s="426">
        <f t="shared" si="8"/>
        <v>3551.3975287475737</v>
      </c>
      <c r="L134" s="434">
        <f t="shared" si="13"/>
        <v>3.5513975287475735E-3</v>
      </c>
    </row>
    <row r="135" spans="1:12">
      <c r="A135" s="150" t="s">
        <v>96</v>
      </c>
      <c r="B135" s="161">
        <f>$C$30*31/98</f>
        <v>2087.7551020408168</v>
      </c>
      <c r="C135" s="235">
        <f>$C$30*31/98</f>
        <v>2087.7551020408168</v>
      </c>
      <c r="D135" s="235">
        <v>0</v>
      </c>
      <c r="E135" s="119">
        <f t="shared" si="9"/>
        <v>21000</v>
      </c>
      <c r="F135" s="441">
        <f t="shared" si="10"/>
        <v>55008</v>
      </c>
      <c r="G135" s="444">
        <f t="shared" si="6"/>
        <v>99416.909620991282</v>
      </c>
      <c r="H135" s="555">
        <f t="shared" si="11"/>
        <v>9.9416909620991284E-2</v>
      </c>
      <c r="I135" s="558">
        <f t="shared" si="7"/>
        <v>37953.66314064894</v>
      </c>
      <c r="J135" s="427">
        <f t="shared" si="12"/>
        <v>3.7953663140648942E-2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3067.171102040817</v>
      </c>
      <c r="C136" s="235">
        <f>C134+C135</f>
        <v>2871.8158267794706</v>
      </c>
      <c r="D136" s="235">
        <f>D134+D135</f>
        <v>195.35527526134652</v>
      </c>
      <c r="E136" s="119">
        <f t="shared" si="9"/>
        <v>21000</v>
      </c>
      <c r="F136" s="441">
        <f t="shared" si="10"/>
        <v>55008</v>
      </c>
      <c r="G136" s="444">
        <f t="shared" si="6"/>
        <v>146055.76676384843</v>
      </c>
      <c r="H136" s="555">
        <f t="shared" si="11"/>
        <v>0.14605576676384843</v>
      </c>
      <c r="I136" s="558">
        <f t="shared" si="7"/>
        <v>52207.2394338909</v>
      </c>
      <c r="J136" s="427">
        <f t="shared" si="12"/>
        <v>5.2207239433890898E-2</v>
      </c>
      <c r="K136" s="426">
        <f t="shared" si="8"/>
        <v>3551.3975287475737</v>
      </c>
      <c r="L136" s="434">
        <f t="shared" si="13"/>
        <v>3.5513975287475735E-3</v>
      </c>
    </row>
    <row r="137" spans="1:12">
      <c r="A137" s="150" t="s">
        <v>84</v>
      </c>
      <c r="B137" s="161">
        <f>D78</f>
        <v>1.488</v>
      </c>
      <c r="C137" s="235">
        <f>E78</f>
        <v>0.313370514471838</v>
      </c>
      <c r="D137" s="235">
        <f>F78</f>
        <v>1.174629485528162</v>
      </c>
      <c r="E137" s="119">
        <f t="shared" si="9"/>
        <v>21000</v>
      </c>
      <c r="F137" s="441">
        <f t="shared" si="10"/>
        <v>55008</v>
      </c>
      <c r="G137" s="444">
        <f t="shared" si="6"/>
        <v>70.857142857142847</v>
      </c>
      <c r="H137" s="555">
        <f t="shared" si="11"/>
        <v>7.0857142857142852E-5</v>
      </c>
      <c r="I137" s="558">
        <f t="shared" si="7"/>
        <v>5.6968170897294579</v>
      </c>
      <c r="J137" s="427">
        <f t="shared" si="12"/>
        <v>5.6968170897294579E-6</v>
      </c>
      <c r="K137" s="426">
        <f t="shared" si="8"/>
        <v>21.35379373051487</v>
      </c>
      <c r="L137" s="434">
        <f t="shared" si="13"/>
        <v>2.1353793730514871E-5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21000</v>
      </c>
      <c r="F138" s="441">
        <f t="shared" si="10"/>
        <v>55008</v>
      </c>
      <c r="G138" s="444">
        <f t="shared" si="6"/>
        <v>10800</v>
      </c>
      <c r="H138" s="555">
        <f t="shared" si="11"/>
        <v>1.0800000000000001E-2</v>
      </c>
      <c r="I138" s="558">
        <f t="shared" si="7"/>
        <v>0</v>
      </c>
      <c r="J138" s="427">
        <f t="shared" si="12"/>
        <v>0</v>
      </c>
      <c r="K138" s="426">
        <f t="shared" si="8"/>
        <v>4123.0366492146595</v>
      </c>
      <c r="L138" s="434">
        <f t="shared" si="13"/>
        <v>4.1230366492146595E-3</v>
      </c>
    </row>
    <row r="139" spans="1:12">
      <c r="A139" s="150" t="s">
        <v>250</v>
      </c>
      <c r="B139" s="161">
        <f>$C$25*32/98</f>
        <v>783.67346938775506</v>
      </c>
      <c r="C139" s="235">
        <v>0</v>
      </c>
      <c r="D139" s="235">
        <f>$C$25*32/98</f>
        <v>783.67346938775506</v>
      </c>
      <c r="E139" s="119">
        <f t="shared" si="9"/>
        <v>21000</v>
      </c>
      <c r="F139" s="441">
        <f t="shared" si="10"/>
        <v>55008</v>
      </c>
      <c r="G139" s="444">
        <f t="shared" si="6"/>
        <v>37317.784256559768</v>
      </c>
      <c r="H139" s="555">
        <f t="shared" si="11"/>
        <v>3.7317784256559766E-2</v>
      </c>
      <c r="I139" s="558">
        <f t="shared" si="7"/>
        <v>0</v>
      </c>
      <c r="J139" s="427">
        <f t="shared" si="12"/>
        <v>0</v>
      </c>
      <c r="K139" s="426">
        <f t="shared" si="8"/>
        <v>14246.536310859423</v>
      </c>
      <c r="L139" s="434">
        <f t="shared" si="13"/>
        <v>1.4246536310859422E-2</v>
      </c>
    </row>
    <row r="140" spans="1:12">
      <c r="A140" s="150" t="s">
        <v>251</v>
      </c>
      <c r="B140" s="161">
        <f>B138+B139</f>
        <v>1010.4734693877551</v>
      </c>
      <c r="C140" s="235">
        <v>0</v>
      </c>
      <c r="D140" s="235">
        <f>D138+D139</f>
        <v>1010.4734693877551</v>
      </c>
      <c r="E140" s="119">
        <f t="shared" si="9"/>
        <v>21000</v>
      </c>
      <c r="F140" s="441">
        <f t="shared" si="10"/>
        <v>55008</v>
      </c>
      <c r="G140" s="444">
        <f t="shared" si="6"/>
        <v>48117.784256559768</v>
      </c>
      <c r="H140" s="555">
        <f t="shared" si="11"/>
        <v>4.811778425655977E-2</v>
      </c>
      <c r="I140" s="558">
        <f t="shared" si="7"/>
        <v>0</v>
      </c>
      <c r="J140" s="427">
        <f t="shared" si="12"/>
        <v>0</v>
      </c>
      <c r="K140" s="426">
        <f t="shared" si="8"/>
        <v>18369.572960074085</v>
      </c>
      <c r="L140" s="434">
        <f t="shared" si="13"/>
        <v>1.8369572960074083E-2</v>
      </c>
    </row>
    <row r="141" spans="1:12">
      <c r="A141" s="151" t="s">
        <v>238</v>
      </c>
      <c r="B141" s="161">
        <f>B140/32*96</f>
        <v>3031.4204081632652</v>
      </c>
      <c r="C141" s="235">
        <v>0</v>
      </c>
      <c r="D141" s="235">
        <f>D140/32*96</f>
        <v>3031.4204081632652</v>
      </c>
      <c r="E141" s="119">
        <f t="shared" si="9"/>
        <v>21000</v>
      </c>
      <c r="F141" s="441">
        <f t="shared" si="10"/>
        <v>55008</v>
      </c>
      <c r="G141" s="444">
        <f t="shared" si="6"/>
        <v>144353.35276967927</v>
      </c>
      <c r="H141" s="555">
        <f t="shared" si="11"/>
        <v>0.14435335276967928</v>
      </c>
      <c r="I141" s="558">
        <f t="shared" si="7"/>
        <v>0</v>
      </c>
      <c r="J141" s="427">
        <f t="shared" si="12"/>
        <v>0</v>
      </c>
      <c r="K141" s="426">
        <f t="shared" si="8"/>
        <v>55108.718880222244</v>
      </c>
      <c r="L141" s="434">
        <f t="shared" si="13"/>
        <v>5.5108718880222243E-2</v>
      </c>
    </row>
    <row r="142" spans="1:12">
      <c r="A142" s="151" t="s">
        <v>239</v>
      </c>
      <c r="B142" s="161">
        <f>B140/32*136</f>
        <v>4294.5122448979591</v>
      </c>
      <c r="C142" s="235">
        <v>0</v>
      </c>
      <c r="D142" s="235">
        <f>D140/32*136</f>
        <v>4294.5122448979591</v>
      </c>
      <c r="E142" s="119">
        <f t="shared" si="9"/>
        <v>21000</v>
      </c>
      <c r="F142" s="441">
        <f t="shared" si="10"/>
        <v>55008</v>
      </c>
      <c r="G142" s="444">
        <f t="shared" si="6"/>
        <v>204500.58309037899</v>
      </c>
      <c r="H142" s="555">
        <f t="shared" si="11"/>
        <v>0.204500583090379</v>
      </c>
      <c r="I142" s="558">
        <f t="shared" si="7"/>
        <v>0</v>
      </c>
      <c r="J142" s="427">
        <f t="shared" si="12"/>
        <v>0</v>
      </c>
      <c r="K142" s="426">
        <f t="shared" si="8"/>
        <v>78070.685080314855</v>
      </c>
      <c r="L142" s="434">
        <f t="shared" si="13"/>
        <v>7.8070685080314853E-2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10.529262776259667</v>
      </c>
      <c r="D143" s="236">
        <f>F80</f>
        <v>17.706737223740333</v>
      </c>
      <c r="E143" s="135">
        <f t="shared" si="9"/>
        <v>21000</v>
      </c>
      <c r="F143" s="442">
        <f t="shared" si="10"/>
        <v>55008</v>
      </c>
      <c r="G143" s="445">
        <f t="shared" si="6"/>
        <v>1344.5714285714287</v>
      </c>
      <c r="H143" s="556">
        <f t="shared" si="11"/>
        <v>1.3445714285714287E-3</v>
      </c>
      <c r="I143" s="559">
        <f t="shared" si="7"/>
        <v>191.41329945207366</v>
      </c>
      <c r="J143" s="438">
        <f t="shared" si="12"/>
        <v>1.9141329945207366E-4</v>
      </c>
      <c r="K143" s="437">
        <f t="shared" si="8"/>
        <v>321.89385587078846</v>
      </c>
      <c r="L143" s="439">
        <f t="shared" si="13"/>
        <v>3.2189385587078848E-4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55008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42313.846153846149</v>
      </c>
    </row>
    <row r="158" spans="1:3">
      <c r="A158" s="281" t="s">
        <v>334</v>
      </c>
      <c r="B158" s="305" t="s">
        <v>25</v>
      </c>
      <c r="C158" s="306">
        <f>$B$151</f>
        <v>0</v>
      </c>
    </row>
    <row r="159" spans="1:3">
      <c r="A159" s="281" t="s">
        <v>111</v>
      </c>
      <c r="B159" s="278" t="s">
        <v>110</v>
      </c>
      <c r="C159" s="289">
        <f>C157*C158</f>
        <v>0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0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2409.2434759016687</v>
      </c>
    </row>
    <row r="167" spans="1:3" hidden="1">
      <c r="A167" s="257" t="s">
        <v>57</v>
      </c>
      <c r="B167" s="278" t="s">
        <v>35</v>
      </c>
      <c r="C167" s="279">
        <f>C165-C166</f>
        <v>9590.7565240983313</v>
      </c>
    </row>
    <row r="168" spans="1:3" hidden="1">
      <c r="A168" s="257" t="s">
        <v>114</v>
      </c>
      <c r="B168" s="278" t="s">
        <v>35</v>
      </c>
      <c r="C168" s="279">
        <f>$C$88+$C$161</f>
        <v>55008</v>
      </c>
    </row>
    <row r="169" spans="1:3" hidden="1">
      <c r="A169" s="299" t="s">
        <v>59</v>
      </c>
      <c r="B169" s="260" t="s">
        <v>24</v>
      </c>
      <c r="C169" s="300">
        <f>C167/C168</f>
        <v>0.17435203105181668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2400</v>
      </c>
    </row>
    <row r="172" spans="1:3" hidden="1">
      <c r="A172" s="257" t="s">
        <v>33</v>
      </c>
      <c r="B172" s="278" t="s">
        <v>35</v>
      </c>
      <c r="C172" s="295">
        <f>$C$30</f>
        <v>6600.0000000000009</v>
      </c>
    </row>
    <row r="173" spans="1:3" hidden="1">
      <c r="A173" s="257" t="s">
        <v>87</v>
      </c>
      <c r="B173" s="278" t="s">
        <v>35</v>
      </c>
      <c r="C173" s="295">
        <f>SUM($E$66:$E$80)</f>
        <v>2409.2434759016687</v>
      </c>
    </row>
    <row r="174" spans="1:3" hidden="1">
      <c r="A174" s="257" t="s">
        <v>113</v>
      </c>
      <c r="B174" s="278" t="s">
        <v>35</v>
      </c>
      <c r="C174" s="295">
        <f>$C$161</f>
        <v>0</v>
      </c>
    </row>
    <row r="175" spans="1:3" hidden="1">
      <c r="A175" s="257" t="s">
        <v>60</v>
      </c>
      <c r="B175" s="278" t="s">
        <v>35</v>
      </c>
      <c r="C175" s="279">
        <f>C170+C171+C172+C173+C174</f>
        <v>45417.243475901669</v>
      </c>
    </row>
    <row r="176" spans="1:3" hidden="1">
      <c r="A176" s="257" t="s">
        <v>114</v>
      </c>
      <c r="B176" s="278" t="s">
        <v>35</v>
      </c>
      <c r="C176" s="279">
        <f>$C$88+$C$161</f>
        <v>55008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0.82564796894818338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12000</v>
      </c>
    </row>
    <row r="182" spans="1:3" hidden="1">
      <c r="A182" s="282" t="s">
        <v>32</v>
      </c>
      <c r="B182" s="288" t="s">
        <v>35</v>
      </c>
      <c r="C182" s="295">
        <f>$C$25</f>
        <v>2400</v>
      </c>
    </row>
    <row r="183" spans="1:3" hidden="1">
      <c r="A183" s="282" t="s">
        <v>33</v>
      </c>
      <c r="B183" s="288" t="s">
        <v>35</v>
      </c>
      <c r="C183" s="295">
        <f>$C$30</f>
        <v>6600.0000000000009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0</v>
      </c>
    </row>
    <row r="186" spans="1:3" hidden="1">
      <c r="A186" s="282" t="s">
        <v>116</v>
      </c>
      <c r="B186" s="288" t="s">
        <v>35</v>
      </c>
      <c r="C186" s="295">
        <f>C185*C184</f>
        <v>0</v>
      </c>
    </row>
    <row r="187" spans="1:3" hidden="1">
      <c r="A187" s="282" t="s">
        <v>430</v>
      </c>
      <c r="B187" s="288" t="s">
        <v>35</v>
      </c>
      <c r="C187" s="279">
        <f>C181+C182+C183+C186</f>
        <v>21000</v>
      </c>
    </row>
    <row r="188" spans="1:3" hidden="1">
      <c r="A188" s="282" t="s">
        <v>114</v>
      </c>
      <c r="B188" s="288" t="s">
        <v>35</v>
      </c>
      <c r="C188" s="279">
        <f>$C$88+$C$161</f>
        <v>55008</v>
      </c>
    </row>
    <row r="189" spans="1:3" hidden="1">
      <c r="A189" s="310" t="s">
        <v>64</v>
      </c>
      <c r="B189" s="283" t="s">
        <v>24</v>
      </c>
      <c r="C189" s="300">
        <f>C187/C188</f>
        <v>0.3817626527050611</v>
      </c>
    </row>
    <row r="190" spans="1:3" hidden="1">
      <c r="A190" s="282" t="s">
        <v>34</v>
      </c>
      <c r="B190" s="288" t="s">
        <v>35</v>
      </c>
      <c r="C190" s="279">
        <f>$C$24</f>
        <v>34008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0</v>
      </c>
    </row>
    <row r="193" spans="1:3" hidden="1">
      <c r="A193" s="282" t="s">
        <v>118</v>
      </c>
      <c r="B193" s="81" t="s">
        <v>35</v>
      </c>
      <c r="C193" s="84">
        <f>C191*C192</f>
        <v>0</v>
      </c>
    </row>
    <row r="194" spans="1:3" hidden="1">
      <c r="A194" s="282" t="s">
        <v>65</v>
      </c>
      <c r="B194" s="81" t="s">
        <v>35</v>
      </c>
      <c r="C194" s="84">
        <f>C190+C193</f>
        <v>34008</v>
      </c>
    </row>
    <row r="195" spans="1:3" hidden="1">
      <c r="A195" s="282" t="s">
        <v>114</v>
      </c>
      <c r="B195" s="81" t="s">
        <v>35</v>
      </c>
      <c r="C195" s="84">
        <f>$C$88+$C$161</f>
        <v>55008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0.61823734729493895</v>
      </c>
    </row>
    <row r="197" spans="1:3" hidden="1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68">
        <v>2</v>
      </c>
      <c r="C199" s="1069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6">
        <v>2.5000000000000001E-2</v>
      </c>
    </row>
    <row r="205" spans="1:3">
      <c r="A205" s="232" t="s">
        <v>72</v>
      </c>
      <c r="B205" s="704" t="s">
        <v>160</v>
      </c>
      <c r="C205" s="706">
        <v>2.5000000000000001E-2</v>
      </c>
    </row>
    <row r="206" spans="1:3">
      <c r="A206" s="232" t="s">
        <v>78</v>
      </c>
      <c r="B206" s="704" t="s">
        <v>160</v>
      </c>
      <c r="C206" s="706">
        <v>2.5000000000000001E-2</v>
      </c>
    </row>
    <row r="207" spans="1:3">
      <c r="A207" s="232" t="s">
        <v>80</v>
      </c>
      <c r="B207" s="704" t="s">
        <v>160</v>
      </c>
      <c r="C207" s="706">
        <v>2.5000000000000001E-2</v>
      </c>
    </row>
    <row r="208" spans="1:3">
      <c r="A208" s="232" t="s">
        <v>83</v>
      </c>
      <c r="B208" s="704" t="s">
        <v>160</v>
      </c>
      <c r="C208" s="706">
        <v>2.5000000000000001E-2</v>
      </c>
    </row>
    <row r="209" spans="1:4">
      <c r="A209" s="232" t="s">
        <v>79</v>
      </c>
      <c r="B209" s="704" t="s">
        <v>160</v>
      </c>
      <c r="C209" s="706">
        <v>2.5000000000000001E-2</v>
      </c>
    </row>
    <row r="210" spans="1:4">
      <c r="A210" s="232" t="s">
        <v>75</v>
      </c>
      <c r="B210" s="704" t="s">
        <v>322</v>
      </c>
      <c r="C210" s="740">
        <v>2.5000000000000001E-2</v>
      </c>
    </row>
    <row r="211" spans="1:4" ht="14.65" thickBot="1">
      <c r="A211" s="233" t="s">
        <v>84</v>
      </c>
      <c r="B211" s="708" t="s">
        <v>323</v>
      </c>
      <c r="C211" s="741">
        <v>2.5000000000000001E-2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v>0</v>
      </c>
      <c r="C216" s="428">
        <f>E66</f>
        <v>289.79432334701602</v>
      </c>
      <c r="D216" s="122">
        <f>C216*B216</f>
        <v>0</v>
      </c>
    </row>
    <row r="217" spans="1:4">
      <c r="A217" s="185" t="s">
        <v>73</v>
      </c>
      <c r="B217" s="400">
        <v>0</v>
      </c>
      <c r="C217" s="235">
        <f>E67</f>
        <v>0.28459309992772924</v>
      </c>
      <c r="D217" s="87">
        <f>C217*B217</f>
        <v>0</v>
      </c>
    </row>
    <row r="218" spans="1:4">
      <c r="A218" s="185" t="s">
        <v>75</v>
      </c>
      <c r="B218" s="400">
        <v>0</v>
      </c>
      <c r="C218" s="235">
        <f>E69</f>
        <v>3.9699845505553391E-4</v>
      </c>
      <c r="D218" s="739">
        <f t="shared" ref="D218:D234" si="14">C218*B218</f>
        <v>0</v>
      </c>
    </row>
    <row r="219" spans="1:4">
      <c r="A219" s="186" t="s">
        <v>77</v>
      </c>
      <c r="B219" s="400">
        <v>0</v>
      </c>
      <c r="C219" s="235">
        <f>E71</f>
        <v>1.7100073055854821</v>
      </c>
      <c r="D219" s="87">
        <f t="shared" si="14"/>
        <v>0</v>
      </c>
    </row>
    <row r="220" spans="1:4">
      <c r="A220" s="186" t="s">
        <v>78</v>
      </c>
      <c r="B220" s="400">
        <v>0</v>
      </c>
      <c r="C220" s="235">
        <f>E72</f>
        <v>578.60487664468894</v>
      </c>
      <c r="D220" s="87">
        <f t="shared" si="14"/>
        <v>0</v>
      </c>
    </row>
    <row r="221" spans="1:4">
      <c r="A221" s="186" t="s">
        <v>79</v>
      </c>
      <c r="B221" s="400">
        <v>0</v>
      </c>
      <c r="C221" s="235">
        <f>E73</f>
        <v>74.380479602129114</v>
      </c>
      <c r="D221" s="87">
        <f t="shared" si="14"/>
        <v>0</v>
      </c>
    </row>
    <row r="222" spans="1:4">
      <c r="A222" s="186" t="s">
        <v>80</v>
      </c>
      <c r="B222" s="400">
        <v>0</v>
      </c>
      <c r="C222" s="235">
        <f>E74</f>
        <v>113.21921266598306</v>
      </c>
      <c r="D222" s="87">
        <f t="shared" si="14"/>
        <v>0</v>
      </c>
    </row>
    <row r="223" spans="1:4">
      <c r="A223" s="186" t="s">
        <v>82</v>
      </c>
      <c r="B223" s="400">
        <v>0</v>
      </c>
      <c r="C223" s="235">
        <f>E76</f>
        <v>0.54330655842909081</v>
      </c>
      <c r="D223" s="87">
        <f t="shared" si="14"/>
        <v>0</v>
      </c>
    </row>
    <row r="224" spans="1:4">
      <c r="A224" s="186" t="s">
        <v>213</v>
      </c>
      <c r="B224" s="400">
        <v>0</v>
      </c>
      <c r="C224" s="235">
        <f>E77</f>
        <v>784.06072473865356</v>
      </c>
      <c r="D224" s="87">
        <f t="shared" si="14"/>
        <v>0</v>
      </c>
    </row>
    <row r="225" spans="1:4">
      <c r="A225" s="406" t="s">
        <v>96</v>
      </c>
      <c r="B225" s="400">
        <v>0</v>
      </c>
      <c r="C225" s="235">
        <f>B135</f>
        <v>2087.7551020408168</v>
      </c>
      <c r="D225" s="87">
        <f t="shared" si="14"/>
        <v>0</v>
      </c>
    </row>
    <row r="226" spans="1:4">
      <c r="A226" s="406" t="s">
        <v>274</v>
      </c>
      <c r="B226" s="400">
        <v>0</v>
      </c>
      <c r="C226" s="235">
        <f>C224+C225</f>
        <v>2871.8158267794706</v>
      </c>
      <c r="D226" s="87">
        <f t="shared" si="14"/>
        <v>0</v>
      </c>
    </row>
    <row r="227" spans="1:4">
      <c r="A227" s="406" t="s">
        <v>84</v>
      </c>
      <c r="B227" s="400">
        <v>0</v>
      </c>
      <c r="C227" s="235">
        <f>E78</f>
        <v>0.313370514471838</v>
      </c>
      <c r="D227" s="87">
        <f t="shared" si="14"/>
        <v>0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4"/>
        <v>226.8</v>
      </c>
    </row>
    <row r="229" spans="1:4">
      <c r="A229" s="186" t="s">
        <v>250</v>
      </c>
      <c r="B229" s="396">
        <v>1</v>
      </c>
      <c r="C229" s="235">
        <f>B139</f>
        <v>783.67346938775506</v>
      </c>
      <c r="D229" s="87">
        <f t="shared" si="14"/>
        <v>783.67346938775506</v>
      </c>
    </row>
    <row r="230" spans="1:4">
      <c r="A230" s="186" t="s">
        <v>251</v>
      </c>
      <c r="B230" s="397">
        <v>1</v>
      </c>
      <c r="C230" s="573">
        <f>C228+C229</f>
        <v>1010.4734693877551</v>
      </c>
      <c r="D230" s="87">
        <f>C230*B230</f>
        <v>1010.4734693877551</v>
      </c>
    </row>
    <row r="231" spans="1:4">
      <c r="A231" s="406" t="s">
        <v>238</v>
      </c>
      <c r="B231" s="397">
        <v>1</v>
      </c>
      <c r="C231" s="573">
        <f>C230/32*96</f>
        <v>3031.4204081632652</v>
      </c>
      <c r="D231" s="87">
        <f>C231*B231</f>
        <v>3031.4204081632652</v>
      </c>
    </row>
    <row r="232" spans="1:4">
      <c r="A232" s="406" t="s">
        <v>239</v>
      </c>
      <c r="B232" s="397">
        <v>1</v>
      </c>
      <c r="C232" s="573">
        <f>C230/32*136</f>
        <v>4294.5122448979591</v>
      </c>
      <c r="D232" s="87">
        <f>C232*B232</f>
        <v>4294.5122448979591</v>
      </c>
    </row>
    <row r="233" spans="1:4">
      <c r="A233" s="406" t="s">
        <v>248</v>
      </c>
      <c r="B233" s="396">
        <v>1</v>
      </c>
      <c r="C233" s="235">
        <f>C161*B147*32/78</f>
        <v>0</v>
      </c>
      <c r="D233" s="87">
        <f>C233*B233</f>
        <v>0</v>
      </c>
    </row>
    <row r="234" spans="1:4" ht="14.65" thickBot="1">
      <c r="A234" s="187" t="s">
        <v>86</v>
      </c>
      <c r="B234" s="751">
        <v>0</v>
      </c>
      <c r="C234" s="236">
        <f>E80</f>
        <v>10.529262776259667</v>
      </c>
      <c r="D234" s="88">
        <f t="shared" si="14"/>
        <v>0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55008</v>
      </c>
    </row>
    <row r="239" spans="1:4">
      <c r="A239" s="281" t="s">
        <v>334</v>
      </c>
      <c r="B239" s="278" t="s">
        <v>35</v>
      </c>
      <c r="C239" s="289">
        <f>C161</f>
        <v>0</v>
      </c>
    </row>
    <row r="240" spans="1:4" ht="14.65" thickBot="1">
      <c r="A240" s="255" t="s">
        <v>6</v>
      </c>
      <c r="B240" s="271" t="s">
        <v>35</v>
      </c>
      <c r="C240" s="280">
        <f>C238+C239</f>
        <v>55008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2409.2434759016687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0</v>
      </c>
    </row>
    <row r="248" spans="1:4" hidden="1">
      <c r="A248" s="287" t="s">
        <v>122</v>
      </c>
      <c r="B248" s="288" t="s">
        <v>35</v>
      </c>
      <c r="C248" s="289">
        <f>C247*C246</f>
        <v>0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9346.8795918367359</v>
      </c>
    </row>
    <row r="250" spans="1:4" hidden="1">
      <c r="A250" s="282" t="s">
        <v>57</v>
      </c>
      <c r="B250" s="288" t="s">
        <v>35</v>
      </c>
      <c r="C250" s="279">
        <f>C244-C245+C248+C249</f>
        <v>18937.636115935067</v>
      </c>
    </row>
    <row r="251" spans="1:4" hidden="1">
      <c r="A251" s="282" t="s">
        <v>6</v>
      </c>
      <c r="B251" s="288" t="s">
        <v>35</v>
      </c>
      <c r="C251" s="289">
        <f>$C$240</f>
        <v>55008</v>
      </c>
    </row>
    <row r="252" spans="1:4" hidden="1">
      <c r="A252" s="310" t="s">
        <v>59</v>
      </c>
      <c r="B252" s="283" t="s">
        <v>24</v>
      </c>
      <c r="C252" s="300">
        <f>C250/C251</f>
        <v>0.34427058093250196</v>
      </c>
    </row>
    <row r="253" spans="1:4" hidden="1">
      <c r="A253" s="282" t="s">
        <v>32</v>
      </c>
      <c r="B253" s="288" t="s">
        <v>35</v>
      </c>
      <c r="C253" s="279">
        <f>$C$25</f>
        <v>2400</v>
      </c>
    </row>
    <row r="254" spans="1:4" hidden="1">
      <c r="A254" s="282" t="s">
        <v>33</v>
      </c>
      <c r="B254" s="288" t="s">
        <v>35</v>
      </c>
      <c r="C254" s="279">
        <f>$C$30</f>
        <v>6600.0000000000009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2409.2434759016687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0</v>
      </c>
    </row>
    <row r="259" spans="1:4" hidden="1">
      <c r="A259" s="287" t="s">
        <v>123</v>
      </c>
      <c r="B259" s="288" t="s">
        <v>35</v>
      </c>
      <c r="C259" s="289">
        <f>C239*C257</f>
        <v>0</v>
      </c>
    </row>
    <row r="260" spans="1:4" hidden="1">
      <c r="A260" s="282" t="s">
        <v>121</v>
      </c>
      <c r="B260" s="288" t="s">
        <v>35</v>
      </c>
      <c r="C260" s="295">
        <f>SUM($D$216:$D$234)</f>
        <v>9346.8795918367359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55008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2400</v>
      </c>
      <c r="D268" s="99"/>
    </row>
    <row r="269" spans="1:4">
      <c r="A269" s="282" t="s">
        <v>428</v>
      </c>
      <c r="B269" s="288" t="s">
        <v>35</v>
      </c>
      <c r="C269" s="295">
        <f>C30</f>
        <v>6600.0000000000009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0</v>
      </c>
      <c r="D271" s="99"/>
    </row>
    <row r="272" spans="1:4">
      <c r="A272" s="282" t="s">
        <v>429</v>
      </c>
      <c r="B272" s="288" t="s">
        <v>35</v>
      </c>
      <c r="C272" s="295">
        <f>C271*C270</f>
        <v>0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21000</v>
      </c>
      <c r="D273" s="99"/>
    </row>
    <row r="274" spans="1:12">
      <c r="A274" s="282" t="s">
        <v>6</v>
      </c>
      <c r="B274" s="288" t="s">
        <v>35</v>
      </c>
      <c r="C274" s="289">
        <f>C240</f>
        <v>55008</v>
      </c>
    </row>
    <row r="275" spans="1:12">
      <c r="A275" s="310" t="s">
        <v>64</v>
      </c>
      <c r="B275" s="283" t="s">
        <v>24</v>
      </c>
      <c r="C275" s="300">
        <f>C273/C274</f>
        <v>0.3817626527050611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0</v>
      </c>
    </row>
    <row r="279" spans="1:12">
      <c r="A279" s="282" t="s">
        <v>356</v>
      </c>
      <c r="B279" s="288" t="s">
        <v>35</v>
      </c>
      <c r="C279" s="279">
        <f>C277*C278</f>
        <v>0</v>
      </c>
    </row>
    <row r="280" spans="1:12">
      <c r="A280" s="282" t="s">
        <v>335</v>
      </c>
      <c r="B280" s="288" t="s">
        <v>35</v>
      </c>
      <c r="C280" s="279">
        <f>C276+C279</f>
        <v>34008</v>
      </c>
    </row>
    <row r="281" spans="1:12">
      <c r="A281" s="282" t="s">
        <v>6</v>
      </c>
      <c r="B281" s="288" t="s">
        <v>35</v>
      </c>
      <c r="C281" s="289">
        <f>C240</f>
        <v>55008</v>
      </c>
    </row>
    <row r="282" spans="1:12" ht="14.65" thickBot="1">
      <c r="A282" s="311" t="s">
        <v>66</v>
      </c>
      <c r="B282" s="284" t="s">
        <v>24</v>
      </c>
      <c r="C282" s="303">
        <f>C280/C281</f>
        <v>0.61823734729493895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289.79432334701596</v>
      </c>
      <c r="D289" s="428">
        <f>D123+D216</f>
        <v>178.22967665298401</v>
      </c>
      <c r="E289" s="160">
        <f>$C$273</f>
        <v>21000</v>
      </c>
      <c r="F289" s="429">
        <f>$C$240</f>
        <v>55008</v>
      </c>
      <c r="G289" s="404">
        <f t="shared" ref="G289:G308" si="15">B289/E289*1000000</f>
        <v>22286.857142857141</v>
      </c>
      <c r="H289" s="560">
        <f>G289/1000000</f>
        <v>2.2286857142857143E-2</v>
      </c>
      <c r="I289" s="557">
        <f>C289/F289*1000000</f>
        <v>5268.2214104678587</v>
      </c>
      <c r="J289" s="430">
        <f>I289/1000000</f>
        <v>5.2682214104678585E-3</v>
      </c>
      <c r="K289" s="431">
        <f>D289/F289*1000000</f>
        <v>3240.0682928480223</v>
      </c>
      <c r="L289" s="433">
        <f>K289/1000000</f>
        <v>3.2400682928480223E-3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6">B290-D290</f>
        <v>0.28459309992772924</v>
      </c>
      <c r="D290" s="235">
        <f>D124+D217</f>
        <v>5.8606900072270776E-2</v>
      </c>
      <c r="E290" s="119">
        <f t="shared" ref="E290:E310" si="17">$C$273</f>
        <v>21000</v>
      </c>
      <c r="F290" s="424">
        <f t="shared" ref="F290:F310" si="18">$C$240</f>
        <v>55008</v>
      </c>
      <c r="G290" s="395">
        <f t="shared" si="15"/>
        <v>16.342857142857142</v>
      </c>
      <c r="H290" s="561">
        <f t="shared" ref="H290:H310" si="19">G290/1000000</f>
        <v>1.6342857142857143E-5</v>
      </c>
      <c r="I290" s="558">
        <f t="shared" ref="I290:I310" si="20">C290/F290*1000000</f>
        <v>5.1736674652364973</v>
      </c>
      <c r="J290" s="425">
        <f t="shared" ref="J290:J310" si="21">I290/1000000</f>
        <v>5.1736674652364977E-6</v>
      </c>
      <c r="K290" s="426">
        <f t="shared" ref="K290:K310" si="22">D290/F290*1000000</f>
        <v>1.0654250304005013</v>
      </c>
      <c r="L290" s="434">
        <f t="shared" ref="L290:L310" si="23">K290/1000000</f>
        <v>1.0654250304005013E-6</v>
      </c>
    </row>
    <row r="291" spans="1:12">
      <c r="A291" s="149" t="s">
        <v>74</v>
      </c>
      <c r="B291" s="161">
        <f t="shared" ref="B291:B305" si="24">B125</f>
        <v>1908</v>
      </c>
      <c r="C291" s="424">
        <f t="shared" si="16"/>
        <v>478.37219712488445</v>
      </c>
      <c r="D291" s="235">
        <f>D125</f>
        <v>1429.6278028751155</v>
      </c>
      <c r="E291" s="119">
        <f t="shared" si="17"/>
        <v>21000</v>
      </c>
      <c r="F291" s="424">
        <f t="shared" si="18"/>
        <v>55008</v>
      </c>
      <c r="G291" s="395">
        <f t="shared" si="15"/>
        <v>90857.142857142855</v>
      </c>
      <c r="H291" s="561">
        <f t="shared" si="19"/>
        <v>9.0857142857142859E-2</v>
      </c>
      <c r="I291" s="558">
        <f t="shared" si="20"/>
        <v>8696.4113787973474</v>
      </c>
      <c r="J291" s="425">
        <f t="shared" si="21"/>
        <v>8.696411378797347E-3</v>
      </c>
      <c r="K291" s="426">
        <f t="shared" si="22"/>
        <v>25989.452495548201</v>
      </c>
      <c r="L291" s="434">
        <f t="shared" si="23"/>
        <v>2.5989452495548199E-2</v>
      </c>
    </row>
    <row r="292" spans="1:12">
      <c r="A292" s="149" t="s">
        <v>75</v>
      </c>
      <c r="B292" s="161">
        <f t="shared" si="24"/>
        <v>4.2000000000000003E-2</v>
      </c>
      <c r="C292" s="424">
        <f t="shared" si="16"/>
        <v>3.9699845505553055E-4</v>
      </c>
      <c r="D292" s="235">
        <f>D218+D126</f>
        <v>4.1603001544944472E-2</v>
      </c>
      <c r="E292" s="119">
        <f t="shared" si="17"/>
        <v>21000</v>
      </c>
      <c r="F292" s="424">
        <f t="shared" si="18"/>
        <v>55008</v>
      </c>
      <c r="G292" s="395">
        <f t="shared" si="15"/>
        <v>2.0000000000000004</v>
      </c>
      <c r="H292" s="561">
        <f t="shared" si="19"/>
        <v>2.0000000000000003E-6</v>
      </c>
      <c r="I292" s="558">
        <f t="shared" si="20"/>
        <v>7.2171039677052526E-3</v>
      </c>
      <c r="J292" s="425">
        <f t="shared" si="21"/>
        <v>7.2171039677052528E-9</v>
      </c>
      <c r="K292" s="426">
        <f t="shared" si="22"/>
        <v>0.75630820144241695</v>
      </c>
      <c r="L292" s="434">
        <f t="shared" si="23"/>
        <v>7.5630820144241692E-7</v>
      </c>
    </row>
    <row r="293" spans="1:12">
      <c r="A293" s="149" t="s">
        <v>76</v>
      </c>
      <c r="B293" s="161">
        <f t="shared" si="24"/>
        <v>1.6319999999999999</v>
      </c>
      <c r="C293" s="424">
        <f t="shared" si="16"/>
        <v>0.57445446857278615</v>
      </c>
      <c r="D293" s="235">
        <f>D127</f>
        <v>1.0575455314272137</v>
      </c>
      <c r="E293" s="119">
        <f t="shared" si="17"/>
        <v>21000</v>
      </c>
      <c r="F293" s="424">
        <f t="shared" si="18"/>
        <v>55008</v>
      </c>
      <c r="G293" s="395">
        <f t="shared" si="15"/>
        <v>77.714285714285708</v>
      </c>
      <c r="H293" s="561">
        <f t="shared" si="19"/>
        <v>7.7714285714285708E-5</v>
      </c>
      <c r="I293" s="558">
        <f t="shared" si="20"/>
        <v>10.443107703839189</v>
      </c>
      <c r="J293" s="425">
        <f t="shared" si="21"/>
        <v>1.0443107703839189E-5</v>
      </c>
      <c r="K293" s="426">
        <f t="shared" si="22"/>
        <v>19.225304163525557</v>
      </c>
      <c r="L293" s="434">
        <f t="shared" si="23"/>
        <v>1.9225304163525556E-5</v>
      </c>
    </row>
    <row r="294" spans="1:12">
      <c r="A294" s="150" t="s">
        <v>77</v>
      </c>
      <c r="B294" s="161">
        <f t="shared" si="24"/>
        <v>7.8719999999999999</v>
      </c>
      <c r="C294" s="424">
        <f t="shared" si="16"/>
        <v>1.7100073055854823</v>
      </c>
      <c r="D294" s="235">
        <f>D128+D219</f>
        <v>6.1619926944145176</v>
      </c>
      <c r="E294" s="119">
        <f t="shared" si="17"/>
        <v>21000</v>
      </c>
      <c r="F294" s="424">
        <f t="shared" si="18"/>
        <v>55008</v>
      </c>
      <c r="G294" s="395">
        <f t="shared" si="15"/>
        <v>374.85714285714289</v>
      </c>
      <c r="H294" s="561">
        <f t="shared" si="19"/>
        <v>3.7485714285714287E-4</v>
      </c>
      <c r="I294" s="558">
        <f t="shared" si="20"/>
        <v>31.086520244064179</v>
      </c>
      <c r="J294" s="425">
        <f t="shared" si="21"/>
        <v>3.1086520244064178E-5</v>
      </c>
      <c r="K294" s="426">
        <f t="shared" si="22"/>
        <v>112.01993699851872</v>
      </c>
      <c r="L294" s="434">
        <f t="shared" si="23"/>
        <v>1.1201993699851872E-4</v>
      </c>
    </row>
    <row r="295" spans="1:12">
      <c r="A295" s="150" t="s">
        <v>78</v>
      </c>
      <c r="B295" s="161">
        <f t="shared" si="24"/>
        <v>1050.924</v>
      </c>
      <c r="C295" s="424">
        <f t="shared" si="16"/>
        <v>578.60487664468883</v>
      </c>
      <c r="D295" s="235">
        <f>D129+D220</f>
        <v>472.31912335531109</v>
      </c>
      <c r="E295" s="119">
        <f t="shared" si="17"/>
        <v>21000</v>
      </c>
      <c r="F295" s="424">
        <f t="shared" si="18"/>
        <v>55008</v>
      </c>
      <c r="G295" s="395">
        <f t="shared" si="15"/>
        <v>50044</v>
      </c>
      <c r="H295" s="561">
        <f t="shared" si="19"/>
        <v>5.0043999999999998E-2</v>
      </c>
      <c r="I295" s="558">
        <f t="shared" si="20"/>
        <v>10518.558694093383</v>
      </c>
      <c r="J295" s="425">
        <f t="shared" si="21"/>
        <v>1.0518558694093382E-2</v>
      </c>
      <c r="K295" s="426">
        <f t="shared" si="22"/>
        <v>8586.371497878692</v>
      </c>
      <c r="L295" s="434">
        <f t="shared" si="23"/>
        <v>8.586371497878692E-3</v>
      </c>
    </row>
    <row r="296" spans="1:12">
      <c r="A296" s="150" t="s">
        <v>79</v>
      </c>
      <c r="B296" s="161">
        <f t="shared" si="24"/>
        <v>98.76</v>
      </c>
      <c r="C296" s="424">
        <f t="shared" si="16"/>
        <v>74.3804796021291</v>
      </c>
      <c r="D296" s="235">
        <f>D130+D221</f>
        <v>24.379520397870898</v>
      </c>
      <c r="E296" s="119">
        <f t="shared" si="17"/>
        <v>21000</v>
      </c>
      <c r="F296" s="424">
        <f t="shared" si="18"/>
        <v>55008</v>
      </c>
      <c r="G296" s="395">
        <f t="shared" si="15"/>
        <v>4702.8571428571431</v>
      </c>
      <c r="H296" s="561">
        <f t="shared" si="19"/>
        <v>4.7028571428571432E-3</v>
      </c>
      <c r="I296" s="558">
        <f t="shared" si="20"/>
        <v>1352.1756763039759</v>
      </c>
      <c r="J296" s="425">
        <f t="shared" si="21"/>
        <v>1.3521756763039759E-3</v>
      </c>
      <c r="K296" s="426">
        <f t="shared" si="22"/>
        <v>443.19954184611146</v>
      </c>
      <c r="L296" s="434">
        <f t="shared" si="23"/>
        <v>4.4319954184611146E-4</v>
      </c>
    </row>
    <row r="297" spans="1:12">
      <c r="A297" s="150" t="s">
        <v>80</v>
      </c>
      <c r="B297" s="161">
        <f t="shared" si="24"/>
        <v>154.80000000000001</v>
      </c>
      <c r="C297" s="424">
        <f t="shared" si="16"/>
        <v>113.21921266598306</v>
      </c>
      <c r="D297" s="235">
        <f>D131+D222</f>
        <v>41.580787334016946</v>
      </c>
      <c r="E297" s="119">
        <f t="shared" si="17"/>
        <v>21000</v>
      </c>
      <c r="F297" s="424">
        <f t="shared" si="18"/>
        <v>55008</v>
      </c>
      <c r="G297" s="395">
        <f t="shared" si="15"/>
        <v>7371.4285714285725</v>
      </c>
      <c r="H297" s="561">
        <f t="shared" si="19"/>
        <v>7.3714285714285722E-3</v>
      </c>
      <c r="I297" s="558">
        <f t="shared" si="20"/>
        <v>2058.231760216388</v>
      </c>
      <c r="J297" s="425">
        <f t="shared" si="21"/>
        <v>2.0582317602163879E-3</v>
      </c>
      <c r="K297" s="426">
        <f t="shared" si="22"/>
        <v>755.90436543806254</v>
      </c>
      <c r="L297" s="434">
        <f t="shared" si="23"/>
        <v>7.5590436543806257E-4</v>
      </c>
    </row>
    <row r="298" spans="1:12">
      <c r="A298" s="150" t="s">
        <v>81</v>
      </c>
      <c r="B298" s="161">
        <f t="shared" si="24"/>
        <v>97.2</v>
      </c>
      <c r="C298" s="424">
        <f t="shared" si="16"/>
        <v>76.856270056612061</v>
      </c>
      <c r="D298" s="235">
        <f>D132</f>
        <v>20.343729943387938</v>
      </c>
      <c r="E298" s="119">
        <f t="shared" si="17"/>
        <v>21000</v>
      </c>
      <c r="F298" s="424">
        <f t="shared" si="18"/>
        <v>55008</v>
      </c>
      <c r="G298" s="395">
        <f t="shared" si="15"/>
        <v>4628.5714285714294</v>
      </c>
      <c r="H298" s="561">
        <f t="shared" si="19"/>
        <v>4.6285714285714289E-3</v>
      </c>
      <c r="I298" s="558">
        <f t="shared" si="20"/>
        <v>1397.1835016108942</v>
      </c>
      <c r="J298" s="425">
        <f t="shared" si="21"/>
        <v>1.3971835016108941E-3</v>
      </c>
      <c r="K298" s="426">
        <f t="shared" si="22"/>
        <v>369.83220519538861</v>
      </c>
      <c r="L298" s="434">
        <f t="shared" si="23"/>
        <v>3.6983220519538863E-4</v>
      </c>
    </row>
    <row r="299" spans="1:12">
      <c r="A299" s="150" t="s">
        <v>82</v>
      </c>
      <c r="B299" s="161">
        <f t="shared" si="24"/>
        <v>1.5</v>
      </c>
      <c r="C299" s="424">
        <f t="shared" si="16"/>
        <v>0.54330655842909081</v>
      </c>
      <c r="D299" s="235">
        <f>D133+D223</f>
        <v>0.95669344157090919</v>
      </c>
      <c r="E299" s="119">
        <f t="shared" si="17"/>
        <v>21000</v>
      </c>
      <c r="F299" s="424">
        <f t="shared" si="18"/>
        <v>55008</v>
      </c>
      <c r="G299" s="395">
        <f t="shared" si="15"/>
        <v>71.428571428571431</v>
      </c>
      <c r="H299" s="561">
        <f t="shared" si="19"/>
        <v>7.1428571428571434E-5</v>
      </c>
      <c r="I299" s="558">
        <f t="shared" si="20"/>
        <v>9.8768644275212854</v>
      </c>
      <c r="J299" s="425">
        <f t="shared" si="21"/>
        <v>9.8768644275212862E-6</v>
      </c>
      <c r="K299" s="426">
        <f t="shared" si="22"/>
        <v>17.391896479983078</v>
      </c>
      <c r="L299" s="434">
        <f t="shared" si="23"/>
        <v>1.7391896479983079E-5</v>
      </c>
    </row>
    <row r="300" spans="1:12">
      <c r="A300" s="150" t="s">
        <v>213</v>
      </c>
      <c r="B300" s="161">
        <f t="shared" si="24"/>
        <v>979.41600000000005</v>
      </c>
      <c r="C300" s="424">
        <f t="shared" si="16"/>
        <v>784.06072473865356</v>
      </c>
      <c r="D300" s="235">
        <f>D134+D224</f>
        <v>195.35527526134652</v>
      </c>
      <c r="E300" s="119">
        <f t="shared" si="17"/>
        <v>21000</v>
      </c>
      <c r="F300" s="424">
        <f t="shared" si="18"/>
        <v>55008</v>
      </c>
      <c r="G300" s="395">
        <f t="shared" si="15"/>
        <v>46638.857142857145</v>
      </c>
      <c r="H300" s="561">
        <f t="shared" si="19"/>
        <v>4.6638857142857142E-2</v>
      </c>
      <c r="I300" s="558">
        <f t="shared" si="20"/>
        <v>14253.576293241957</v>
      </c>
      <c r="J300" s="425">
        <f t="shared" si="21"/>
        <v>1.4253576293241957E-2</v>
      </c>
      <c r="K300" s="426">
        <f t="shared" si="22"/>
        <v>3551.3975287475737</v>
      </c>
      <c r="L300" s="434">
        <f t="shared" si="23"/>
        <v>3.5513975287475735E-3</v>
      </c>
    </row>
    <row r="301" spans="1:12">
      <c r="A301" s="150" t="s">
        <v>96</v>
      </c>
      <c r="B301" s="161">
        <f t="shared" si="24"/>
        <v>2087.7551020408168</v>
      </c>
      <c r="C301" s="424">
        <f t="shared" si="16"/>
        <v>2087.7551020408168</v>
      </c>
      <c r="D301" s="235">
        <f>D135+D225</f>
        <v>0</v>
      </c>
      <c r="E301" s="119">
        <f t="shared" si="17"/>
        <v>21000</v>
      </c>
      <c r="F301" s="424">
        <f t="shared" si="18"/>
        <v>55008</v>
      </c>
      <c r="G301" s="395">
        <f t="shared" si="15"/>
        <v>99416.909620991282</v>
      </c>
      <c r="H301" s="561">
        <f t="shared" si="19"/>
        <v>9.9416909620991284E-2</v>
      </c>
      <c r="I301" s="558">
        <f t="shared" si="20"/>
        <v>37953.66314064894</v>
      </c>
      <c r="J301" s="425">
        <f t="shared" si="21"/>
        <v>3.7953663140648942E-2</v>
      </c>
      <c r="K301" s="426">
        <f t="shared" si="22"/>
        <v>0</v>
      </c>
      <c r="L301" s="434">
        <f t="shared" si="23"/>
        <v>0</v>
      </c>
    </row>
    <row r="302" spans="1:12">
      <c r="A302" s="150" t="s">
        <v>97</v>
      </c>
      <c r="B302" s="161">
        <f t="shared" si="24"/>
        <v>3067.171102040817</v>
      </c>
      <c r="C302" s="424">
        <f t="shared" si="16"/>
        <v>2871.8158267794706</v>
      </c>
      <c r="D302" s="235">
        <f>D136+D226</f>
        <v>195.35527526134652</v>
      </c>
      <c r="E302" s="119">
        <f t="shared" si="17"/>
        <v>21000</v>
      </c>
      <c r="F302" s="424">
        <f t="shared" si="18"/>
        <v>55008</v>
      </c>
      <c r="G302" s="395">
        <f t="shared" si="15"/>
        <v>146055.76676384843</v>
      </c>
      <c r="H302" s="561">
        <f t="shared" si="19"/>
        <v>0.14605576676384843</v>
      </c>
      <c r="I302" s="558">
        <f t="shared" si="20"/>
        <v>52207.2394338909</v>
      </c>
      <c r="J302" s="425">
        <f t="shared" si="21"/>
        <v>5.2207239433890898E-2</v>
      </c>
      <c r="K302" s="426">
        <f t="shared" si="22"/>
        <v>3551.3975287475737</v>
      </c>
      <c r="L302" s="434">
        <f t="shared" si="23"/>
        <v>3.5513975287475735E-3</v>
      </c>
    </row>
    <row r="303" spans="1:12">
      <c r="A303" s="150" t="s">
        <v>84</v>
      </c>
      <c r="B303" s="161">
        <f t="shared" si="24"/>
        <v>1.488</v>
      </c>
      <c r="C303" s="424">
        <f t="shared" si="16"/>
        <v>0.31337051447183795</v>
      </c>
      <c r="D303" s="235">
        <f>D227+D137</f>
        <v>1.174629485528162</v>
      </c>
      <c r="E303" s="119">
        <f t="shared" si="17"/>
        <v>21000</v>
      </c>
      <c r="F303" s="424">
        <f t="shared" si="18"/>
        <v>55008</v>
      </c>
      <c r="G303" s="395">
        <f t="shared" si="15"/>
        <v>70.857142857142847</v>
      </c>
      <c r="H303" s="561">
        <f t="shared" si="19"/>
        <v>7.0857142857142852E-5</v>
      </c>
      <c r="I303" s="558">
        <f t="shared" si="20"/>
        <v>5.6968170897294561</v>
      </c>
      <c r="J303" s="425">
        <f t="shared" si="21"/>
        <v>5.6968170897294562E-6</v>
      </c>
      <c r="K303" s="426">
        <f t="shared" si="22"/>
        <v>21.35379373051487</v>
      </c>
      <c r="L303" s="434">
        <f t="shared" si="23"/>
        <v>2.1353793730514871E-5</v>
      </c>
    </row>
    <row r="304" spans="1:12">
      <c r="A304" s="150" t="s">
        <v>249</v>
      </c>
      <c r="B304" s="161">
        <f t="shared" si="24"/>
        <v>226.8</v>
      </c>
      <c r="C304" s="424">
        <f t="shared" si="16"/>
        <v>0</v>
      </c>
      <c r="D304" s="235">
        <f t="shared" ref="D304:D309" si="25">D228</f>
        <v>226.8</v>
      </c>
      <c r="E304" s="119">
        <f t="shared" si="17"/>
        <v>21000</v>
      </c>
      <c r="F304" s="424">
        <f t="shared" si="18"/>
        <v>55008</v>
      </c>
      <c r="G304" s="395">
        <f t="shared" si="15"/>
        <v>10800</v>
      </c>
      <c r="H304" s="561">
        <f t="shared" si="19"/>
        <v>1.0800000000000001E-2</v>
      </c>
      <c r="I304" s="558">
        <f t="shared" si="20"/>
        <v>0</v>
      </c>
      <c r="J304" s="425">
        <f t="shared" si="21"/>
        <v>0</v>
      </c>
      <c r="K304" s="426">
        <f t="shared" si="22"/>
        <v>4123.0366492146595</v>
      </c>
      <c r="L304" s="434">
        <f t="shared" si="23"/>
        <v>4.1230366492146595E-3</v>
      </c>
    </row>
    <row r="305" spans="1:12">
      <c r="A305" s="150" t="s">
        <v>250</v>
      </c>
      <c r="B305" s="161">
        <f t="shared" si="24"/>
        <v>783.67346938775506</v>
      </c>
      <c r="C305" s="424">
        <f t="shared" si="16"/>
        <v>0</v>
      </c>
      <c r="D305" s="235">
        <f t="shared" si="25"/>
        <v>783.67346938775506</v>
      </c>
      <c r="E305" s="119">
        <f t="shared" si="17"/>
        <v>21000</v>
      </c>
      <c r="F305" s="424">
        <f t="shared" si="18"/>
        <v>55008</v>
      </c>
      <c r="G305" s="395">
        <f t="shared" si="15"/>
        <v>37317.784256559768</v>
      </c>
      <c r="H305" s="561">
        <f t="shared" si="19"/>
        <v>3.7317784256559766E-2</v>
      </c>
      <c r="I305" s="558">
        <f t="shared" si="20"/>
        <v>0</v>
      </c>
      <c r="J305" s="425">
        <f t="shared" si="21"/>
        <v>0</v>
      </c>
      <c r="K305" s="426">
        <f t="shared" si="22"/>
        <v>14246.536310859423</v>
      </c>
      <c r="L305" s="434">
        <f t="shared" si="23"/>
        <v>1.4246536310859422E-2</v>
      </c>
    </row>
    <row r="306" spans="1:12">
      <c r="A306" s="150" t="s">
        <v>251</v>
      </c>
      <c r="B306" s="161">
        <f>B304+B305</f>
        <v>1010.4734693877551</v>
      </c>
      <c r="C306" s="424">
        <f>B306-D306</f>
        <v>0</v>
      </c>
      <c r="D306" s="235">
        <f t="shared" si="25"/>
        <v>1010.4734693877551</v>
      </c>
      <c r="E306" s="119">
        <f t="shared" si="17"/>
        <v>21000</v>
      </c>
      <c r="F306" s="424">
        <f t="shared" si="18"/>
        <v>55008</v>
      </c>
      <c r="G306" s="395">
        <f t="shared" si="15"/>
        <v>48117.784256559768</v>
      </c>
      <c r="H306" s="561">
        <f t="shared" si="19"/>
        <v>4.811778425655977E-2</v>
      </c>
      <c r="I306" s="558">
        <f>C306/F306*1000000</f>
        <v>0</v>
      </c>
      <c r="J306" s="425">
        <f>I306/1000000</f>
        <v>0</v>
      </c>
      <c r="K306" s="426">
        <f>D306/F306*1000000</f>
        <v>18369.572960074085</v>
      </c>
      <c r="L306" s="434">
        <f>K306/1000000</f>
        <v>1.8369572960074083E-2</v>
      </c>
    </row>
    <row r="307" spans="1:12">
      <c r="A307" s="151" t="s">
        <v>238</v>
      </c>
      <c r="B307" s="161">
        <f>B306/32*96</f>
        <v>3031.4204081632652</v>
      </c>
      <c r="C307" s="424">
        <f>B307-D307</f>
        <v>0</v>
      </c>
      <c r="D307" s="235">
        <f t="shared" si="25"/>
        <v>3031.4204081632652</v>
      </c>
      <c r="E307" s="119">
        <f t="shared" si="17"/>
        <v>21000</v>
      </c>
      <c r="F307" s="424">
        <f t="shared" si="18"/>
        <v>55008</v>
      </c>
      <c r="G307" s="395">
        <f t="shared" si="15"/>
        <v>144353.35276967927</v>
      </c>
      <c r="H307" s="561">
        <f t="shared" si="19"/>
        <v>0.14435335276967928</v>
      </c>
      <c r="I307" s="558">
        <f>C307/F307*1000000</f>
        <v>0</v>
      </c>
      <c r="J307" s="425">
        <f>I307/1000000</f>
        <v>0</v>
      </c>
      <c r="K307" s="426">
        <f>D307/F307*1000000</f>
        <v>55108.718880222244</v>
      </c>
      <c r="L307" s="434">
        <f>K307/1000000</f>
        <v>5.5108718880222243E-2</v>
      </c>
    </row>
    <row r="308" spans="1:12">
      <c r="A308" s="151" t="s">
        <v>239</v>
      </c>
      <c r="B308" s="161">
        <f>B306/32*136</f>
        <v>4294.5122448979591</v>
      </c>
      <c r="C308" s="424">
        <f>B308-D308</f>
        <v>0</v>
      </c>
      <c r="D308" s="235">
        <f t="shared" si="25"/>
        <v>4294.5122448979591</v>
      </c>
      <c r="E308" s="119">
        <f t="shared" si="17"/>
        <v>21000</v>
      </c>
      <c r="F308" s="424">
        <f t="shared" si="18"/>
        <v>55008</v>
      </c>
      <c r="G308" s="395">
        <f t="shared" si="15"/>
        <v>204500.58309037899</v>
      </c>
      <c r="H308" s="561">
        <f t="shared" si="19"/>
        <v>0.204500583090379</v>
      </c>
      <c r="I308" s="558">
        <f>C308/F308*1000000</f>
        <v>0</v>
      </c>
      <c r="J308" s="425">
        <f>I308/1000000</f>
        <v>0</v>
      </c>
      <c r="K308" s="426">
        <f>D308/F308*1000000</f>
        <v>78070.685080314855</v>
      </c>
      <c r="L308" s="434">
        <f>K308/1000000</f>
        <v>7.8070685080314853E-2</v>
      </c>
    </row>
    <row r="309" spans="1:12">
      <c r="A309" s="151" t="s">
        <v>248</v>
      </c>
      <c r="B309" s="161">
        <f>C233</f>
        <v>0</v>
      </c>
      <c r="C309" s="424">
        <f>B309-D309</f>
        <v>0</v>
      </c>
      <c r="D309" s="235">
        <f t="shared" si="25"/>
        <v>0</v>
      </c>
      <c r="E309" s="119">
        <f t="shared" si="17"/>
        <v>21000</v>
      </c>
      <c r="F309" s="424">
        <f t="shared" si="18"/>
        <v>55008</v>
      </c>
      <c r="G309" s="395">
        <f>B309/E309*1000000</f>
        <v>0</v>
      </c>
      <c r="H309" s="561">
        <f t="shared" si="19"/>
        <v>0</v>
      </c>
      <c r="I309" s="558">
        <f>C309/F309*1000000</f>
        <v>0</v>
      </c>
      <c r="J309" s="425">
        <f>I309/1000000</f>
        <v>0</v>
      </c>
      <c r="K309" s="426">
        <f>D309/F309*1000000</f>
        <v>0</v>
      </c>
      <c r="L309" s="434">
        <f>K309/1000000</f>
        <v>0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6"/>
        <v>10.529262776259667</v>
      </c>
      <c r="D310" s="236">
        <f>D143+D234</f>
        <v>17.706737223740333</v>
      </c>
      <c r="E310" s="135">
        <f t="shared" si="17"/>
        <v>21000</v>
      </c>
      <c r="F310" s="435">
        <f t="shared" si="18"/>
        <v>55008</v>
      </c>
      <c r="G310" s="405">
        <f>B310/E310*1000000</f>
        <v>1344.5714285714287</v>
      </c>
      <c r="H310" s="562">
        <f t="shared" si="19"/>
        <v>1.3445714285714287E-3</v>
      </c>
      <c r="I310" s="559">
        <f t="shared" si="20"/>
        <v>191.41329945207366</v>
      </c>
      <c r="J310" s="436">
        <f t="shared" si="21"/>
        <v>1.9141329945207366E-4</v>
      </c>
      <c r="K310" s="437">
        <f t="shared" si="22"/>
        <v>321.89385587078846</v>
      </c>
      <c r="L310" s="439">
        <f t="shared" si="23"/>
        <v>3.2189385587078848E-4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0.66174991619175327</v>
      </c>
      <c r="B315" s="457">
        <v>0.33825008380824673</v>
      </c>
      <c r="C315" s="458">
        <v>0.43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55008</v>
      </c>
    </row>
    <row r="320" spans="1:12">
      <c r="A320" s="415" t="s">
        <v>338</v>
      </c>
      <c r="B320" s="37" t="s">
        <v>52</v>
      </c>
      <c r="C320" s="631">
        <v>2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24000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2409.2434759016687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0</v>
      </c>
    </row>
    <row r="330" spans="1:3" hidden="1">
      <c r="A330" s="282" t="s">
        <v>116</v>
      </c>
      <c r="B330" s="288" t="s">
        <v>35</v>
      </c>
      <c r="C330" s="295">
        <f>C329*C328</f>
        <v>0</v>
      </c>
    </row>
    <row r="331" spans="1:3" hidden="1">
      <c r="A331" s="282" t="s">
        <v>121</v>
      </c>
      <c r="B331" s="288" t="s">
        <v>35</v>
      </c>
      <c r="C331" s="295">
        <f>SUM($D$216:$D$234)</f>
        <v>9346.8795918367359</v>
      </c>
    </row>
    <row r="332" spans="1:3" hidden="1">
      <c r="A332" s="282" t="s">
        <v>57</v>
      </c>
      <c r="B332" s="288" t="s">
        <v>35</v>
      </c>
      <c r="C332" s="279">
        <f>C326-C327+C330+C331</f>
        <v>18937.636115935067</v>
      </c>
    </row>
    <row r="333" spans="1:3" hidden="1">
      <c r="A333" s="282" t="s">
        <v>128</v>
      </c>
      <c r="B333" s="288" t="s">
        <v>35</v>
      </c>
      <c r="C333" s="279">
        <f>$C$319+$C$322</f>
        <v>79008</v>
      </c>
    </row>
    <row r="334" spans="1:3" hidden="1">
      <c r="A334" s="310" t="s">
        <v>59</v>
      </c>
      <c r="B334" s="283" t="s">
        <v>24</v>
      </c>
      <c r="C334" s="300">
        <f>C332/C333</f>
        <v>0.23969264018751352</v>
      </c>
    </row>
    <row r="335" spans="1:3" hidden="1">
      <c r="A335" s="282" t="s">
        <v>32</v>
      </c>
      <c r="B335" s="288" t="s">
        <v>35</v>
      </c>
      <c r="C335" s="279">
        <f>$C$25</f>
        <v>2400</v>
      </c>
    </row>
    <row r="336" spans="1:3" hidden="1">
      <c r="A336" s="282" t="s">
        <v>33</v>
      </c>
      <c r="B336" s="288" t="s">
        <v>35</v>
      </c>
      <c r="C336" s="279">
        <f>$C$30</f>
        <v>6600.0000000000009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2409.2434759016687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0</v>
      </c>
    </row>
    <row r="341" spans="1:3" hidden="1">
      <c r="A341" s="282" t="s">
        <v>118</v>
      </c>
      <c r="B341" s="288" t="s">
        <v>35</v>
      </c>
      <c r="C341" s="279">
        <f>C339*C340</f>
        <v>0</v>
      </c>
    </row>
    <row r="342" spans="1:3" hidden="1">
      <c r="A342" s="282" t="s">
        <v>37</v>
      </c>
      <c r="B342" s="288" t="s">
        <v>35</v>
      </c>
      <c r="C342" s="279">
        <f>$C$322</f>
        <v>24000</v>
      </c>
    </row>
    <row r="343" spans="1:3" hidden="1">
      <c r="A343" s="282" t="s">
        <v>121</v>
      </c>
      <c r="B343" s="288" t="s">
        <v>35</v>
      </c>
      <c r="C343" s="295">
        <f>SUM($D$216:$D$234)</f>
        <v>9346.8795918367359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79008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2400</v>
      </c>
    </row>
    <row r="352" spans="1:3" hidden="1">
      <c r="A352" s="282" t="s">
        <v>33</v>
      </c>
      <c r="B352" s="288" t="s">
        <v>35</v>
      </c>
      <c r="C352" s="295">
        <f>$C$30</f>
        <v>6600.0000000000009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0</v>
      </c>
    </row>
    <row r="355" spans="1:3" hidden="1">
      <c r="A355" s="282" t="s">
        <v>116</v>
      </c>
      <c r="B355" s="288" t="s">
        <v>35</v>
      </c>
      <c r="C355" s="295">
        <f>C354*C353</f>
        <v>0</v>
      </c>
    </row>
    <row r="356" spans="1:3" hidden="1">
      <c r="A356" s="282" t="s">
        <v>430</v>
      </c>
      <c r="B356" s="288" t="s">
        <v>35</v>
      </c>
      <c r="C356" s="279">
        <f>C350+C351+C352+C355</f>
        <v>21000</v>
      </c>
    </row>
    <row r="357" spans="1:3" hidden="1">
      <c r="A357" s="282" t="s">
        <v>114</v>
      </c>
      <c r="B357" s="288" t="s">
        <v>35</v>
      </c>
      <c r="C357" s="279">
        <f>$C$319+$C$322</f>
        <v>79008</v>
      </c>
    </row>
    <row r="358" spans="1:3" hidden="1">
      <c r="A358" s="310" t="s">
        <v>64</v>
      </c>
      <c r="B358" s="283" t="s">
        <v>24</v>
      </c>
      <c r="C358" s="300">
        <f>C356/C357</f>
        <v>0.2657958687727825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0</v>
      </c>
    </row>
    <row r="362" spans="1:3" hidden="1">
      <c r="A362" s="282" t="s">
        <v>118</v>
      </c>
      <c r="B362" s="288" t="s">
        <v>35</v>
      </c>
      <c r="C362" s="279">
        <f>C360*C361</f>
        <v>0</v>
      </c>
    </row>
    <row r="363" spans="1:3" hidden="1">
      <c r="A363" s="282" t="s">
        <v>37</v>
      </c>
      <c r="B363" s="288" t="s">
        <v>35</v>
      </c>
      <c r="C363" s="279">
        <f>$C$322</f>
        <v>24000</v>
      </c>
    </row>
    <row r="364" spans="1:3" hidden="1">
      <c r="A364" s="282" t="s">
        <v>65</v>
      </c>
      <c r="B364" s="288" t="s">
        <v>35</v>
      </c>
      <c r="C364" s="279">
        <f>C359+C362+C363</f>
        <v>58008</v>
      </c>
    </row>
    <row r="365" spans="1:3" hidden="1">
      <c r="A365" s="282" t="s">
        <v>114</v>
      </c>
      <c r="B365" s="288" t="s">
        <v>35</v>
      </c>
      <c r="C365" s="279">
        <f>$C$319+$C$322</f>
        <v>79008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0.7342041312272175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55008</v>
      </c>
    </row>
    <row r="371" spans="1:3">
      <c r="A371" s="257" t="s">
        <v>338</v>
      </c>
      <c r="B371" s="278" t="s">
        <v>35</v>
      </c>
      <c r="C371" s="279">
        <f>C322</f>
        <v>24000</v>
      </c>
    </row>
    <row r="372" spans="1:3">
      <c r="A372" s="257" t="s">
        <v>339</v>
      </c>
      <c r="B372" s="278" t="s">
        <v>35</v>
      </c>
      <c r="C372" s="279">
        <f>C370+C371</f>
        <v>79008</v>
      </c>
    </row>
    <row r="373" spans="1:3">
      <c r="A373" s="257" t="s">
        <v>130</v>
      </c>
      <c r="B373" s="278" t="s">
        <v>24</v>
      </c>
      <c r="C373" s="314">
        <f>A315</f>
        <v>0.66174991619175327</v>
      </c>
    </row>
    <row r="374" spans="1:3">
      <c r="A374" s="253" t="s">
        <v>9</v>
      </c>
      <c r="B374" s="270" t="s">
        <v>35</v>
      </c>
      <c r="C374" s="254">
        <f>C372*C373</f>
        <v>52283.537378478046</v>
      </c>
    </row>
    <row r="375" spans="1:3">
      <c r="A375" s="257" t="s">
        <v>131</v>
      </c>
      <c r="B375" s="278" t="s">
        <v>24</v>
      </c>
      <c r="C375" s="314">
        <f>B315</f>
        <v>0.33825008380824673</v>
      </c>
    </row>
    <row r="376" spans="1:3">
      <c r="A376" s="253" t="s">
        <v>11</v>
      </c>
      <c r="B376" s="270" t="s">
        <v>35</v>
      </c>
      <c r="C376" s="322">
        <f>C372*C375</f>
        <v>26724.462621521958</v>
      </c>
    </row>
    <row r="377" spans="1:3">
      <c r="A377" s="281" t="s">
        <v>355</v>
      </c>
      <c r="B377" s="278" t="s">
        <v>24</v>
      </c>
      <c r="C377" s="318">
        <f>C315</f>
        <v>0.43</v>
      </c>
    </row>
    <row r="378" spans="1:3">
      <c r="A378" s="281" t="s">
        <v>421</v>
      </c>
      <c r="B378" s="278" t="s">
        <v>35</v>
      </c>
      <c r="C378" s="289">
        <f>C376*C377</f>
        <v>11491.518927254441</v>
      </c>
    </row>
    <row r="379" spans="1:3">
      <c r="A379" s="281" t="s">
        <v>132</v>
      </c>
      <c r="B379" s="278" t="s">
        <v>24</v>
      </c>
      <c r="C379" s="318">
        <f>1-C377</f>
        <v>0.57000000000000006</v>
      </c>
    </row>
    <row r="380" spans="1:3" ht="14.65" thickBot="1">
      <c r="A380" s="319" t="s">
        <v>340</v>
      </c>
      <c r="B380" s="320" t="s">
        <v>35</v>
      </c>
      <c r="C380" s="321">
        <f>C376*C379</f>
        <v>15232.943694267518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2400</v>
      </c>
    </row>
    <row r="386" spans="1:3">
      <c r="A386" s="257" t="s">
        <v>428</v>
      </c>
      <c r="B386" s="278" t="s">
        <v>35</v>
      </c>
      <c r="C386" s="295">
        <f>$C$30</f>
        <v>6600.0000000000009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0</v>
      </c>
    </row>
    <row r="389" spans="1:3">
      <c r="A389" s="257" t="s">
        <v>429</v>
      </c>
      <c r="B389" s="278" t="s">
        <v>35</v>
      </c>
      <c r="C389" s="295">
        <f>C388*C387</f>
        <v>0</v>
      </c>
    </row>
    <row r="390" spans="1:3">
      <c r="A390" s="281" t="s">
        <v>421</v>
      </c>
      <c r="B390" s="278" t="s">
        <v>35</v>
      </c>
      <c r="C390" s="289">
        <f>$C$378</f>
        <v>11491.518927254441</v>
      </c>
    </row>
    <row r="391" spans="1:3">
      <c r="A391" s="257" t="s">
        <v>341</v>
      </c>
      <c r="B391" s="278" t="s">
        <v>35</v>
      </c>
      <c r="C391" s="279">
        <f>C384+C385+C386+C389-C390</f>
        <v>9508.4810727455588</v>
      </c>
    </row>
    <row r="392" spans="1:3">
      <c r="A392" s="257" t="s">
        <v>9</v>
      </c>
      <c r="B392" s="278" t="s">
        <v>35</v>
      </c>
      <c r="C392" s="279">
        <f>$C$374</f>
        <v>52283.537378478046</v>
      </c>
    </row>
    <row r="393" spans="1:3">
      <c r="A393" s="299" t="s">
        <v>64</v>
      </c>
      <c r="B393" s="260" t="s">
        <v>24</v>
      </c>
      <c r="C393" s="300">
        <f>C391/C392</f>
        <v>0.18186376724884001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0</v>
      </c>
    </row>
    <row r="397" spans="1:3">
      <c r="A397" s="257" t="s">
        <v>356</v>
      </c>
      <c r="B397" s="278" t="s">
        <v>35</v>
      </c>
      <c r="C397" s="279">
        <f>C395*C396</f>
        <v>0</v>
      </c>
    </row>
    <row r="398" spans="1:3">
      <c r="A398" s="257" t="s">
        <v>338</v>
      </c>
      <c r="B398" s="278" t="s">
        <v>35</v>
      </c>
      <c r="C398" s="279">
        <f>$C$322</f>
        <v>24000</v>
      </c>
    </row>
    <row r="399" spans="1:3">
      <c r="A399" s="281" t="s">
        <v>340</v>
      </c>
      <c r="B399" s="278" t="s">
        <v>35</v>
      </c>
      <c r="C399" s="289">
        <f>$C$380</f>
        <v>15232.943694267518</v>
      </c>
    </row>
    <row r="400" spans="1:3">
      <c r="A400" s="257" t="s">
        <v>342</v>
      </c>
      <c r="B400" s="278" t="s">
        <v>35</v>
      </c>
      <c r="C400" s="279">
        <f>C394+C397+C398-C399</f>
        <v>42775.056305732483</v>
      </c>
    </row>
    <row r="401" spans="1:8">
      <c r="A401" s="257" t="s">
        <v>9</v>
      </c>
      <c r="B401" s="278" t="s">
        <v>35</v>
      </c>
      <c r="C401" s="279">
        <f>$C$374</f>
        <v>52283.537378478046</v>
      </c>
    </row>
    <row r="402" spans="1:8" ht="14.65" thickBot="1">
      <c r="A402" s="301" t="s">
        <v>66</v>
      </c>
      <c r="B402" s="277" t="s">
        <v>24</v>
      </c>
      <c r="C402" s="303">
        <f>C400/C401</f>
        <v>0.81813623275115988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289.79432334701596</v>
      </c>
      <c r="C408" s="160">
        <f>$C$391</f>
        <v>9508.4810727455588</v>
      </c>
      <c r="D408" s="467">
        <f>$C$374</f>
        <v>52283.537378478046</v>
      </c>
      <c r="E408" s="465">
        <f>B408/C408*1000000</f>
        <v>30477.457033349103</v>
      </c>
      <c r="F408" s="560">
        <f>E408/1000000</f>
        <v>3.0477457033349104E-2</v>
      </c>
      <c r="G408" s="443">
        <f>B408/D408*1000000</f>
        <v>5542.7451522495239</v>
      </c>
      <c r="H408" s="460">
        <f>G408/1000000</f>
        <v>5.5427451522495237E-3</v>
      </c>
    </row>
    <row r="409" spans="1:8">
      <c r="A409" s="112" t="s">
        <v>73</v>
      </c>
      <c r="B409" s="461">
        <f>C290</f>
        <v>0.28459309992772924</v>
      </c>
      <c r="C409" s="119">
        <f t="shared" ref="C409:C429" si="26">$C$391</f>
        <v>9508.4810727455588</v>
      </c>
      <c r="D409" s="468">
        <f t="shared" ref="D409:D429" si="27">$C$374</f>
        <v>52283.537378478046</v>
      </c>
      <c r="E409" s="331">
        <f t="shared" ref="E409:E429" si="28">B409/C409*1000000</f>
        <v>29.930448170472449</v>
      </c>
      <c r="F409" s="561">
        <f t="shared" ref="F409:F429" si="29">E409/1000000</f>
        <v>2.993044817047245E-5</v>
      </c>
      <c r="G409" s="444">
        <f t="shared" ref="G409:G429" si="30">B409/D409*1000000</f>
        <v>5.4432640597282713</v>
      </c>
      <c r="H409" s="462">
        <f t="shared" ref="H409:H429" si="31">G409/1000000</f>
        <v>5.4432640597282715E-6</v>
      </c>
    </row>
    <row r="410" spans="1:8">
      <c r="A410" s="112" t="s">
        <v>74</v>
      </c>
      <c r="B410" s="461">
        <f t="shared" ref="B410:B412" si="32">C291</f>
        <v>478.37219712488445</v>
      </c>
      <c r="C410" s="119">
        <f t="shared" si="26"/>
        <v>9508.4810727455588</v>
      </c>
      <c r="D410" s="468">
        <f t="shared" si="27"/>
        <v>52283.537378478046</v>
      </c>
      <c r="E410" s="331">
        <f t="shared" si="28"/>
        <v>50310.054094344981</v>
      </c>
      <c r="F410" s="561">
        <f t="shared" si="29"/>
        <v>5.0310054094344983E-2</v>
      </c>
      <c r="G410" s="444">
        <f t="shared" si="30"/>
        <v>9149.5759680905066</v>
      </c>
      <c r="H410" s="462">
        <f t="shared" si="31"/>
        <v>9.1495759680905071E-3</v>
      </c>
    </row>
    <row r="411" spans="1:8">
      <c r="A411" s="112" t="s">
        <v>75</v>
      </c>
      <c r="B411" s="461">
        <f t="shared" si="32"/>
        <v>3.9699845505553055E-4</v>
      </c>
      <c r="C411" s="119">
        <f t="shared" si="26"/>
        <v>9508.4810727455588</v>
      </c>
      <c r="D411" s="468">
        <f t="shared" si="27"/>
        <v>52283.537378478046</v>
      </c>
      <c r="E411" s="331">
        <f t="shared" si="28"/>
        <v>4.1752037156960749E-2</v>
      </c>
      <c r="F411" s="561">
        <f t="shared" si="29"/>
        <v>4.1752037156960748E-8</v>
      </c>
      <c r="G411" s="444">
        <f t="shared" si="30"/>
        <v>7.5931827676784299E-3</v>
      </c>
      <c r="H411" s="462">
        <f t="shared" si="31"/>
        <v>7.5931827676784297E-9</v>
      </c>
    </row>
    <row r="412" spans="1:8">
      <c r="A412" s="112" t="s">
        <v>76</v>
      </c>
      <c r="B412" s="461">
        <f t="shared" si="32"/>
        <v>0.57445446857278615</v>
      </c>
      <c r="C412" s="119">
        <f t="shared" si="26"/>
        <v>9508.4810727455588</v>
      </c>
      <c r="D412" s="468">
        <f t="shared" si="27"/>
        <v>52283.537378478046</v>
      </c>
      <c r="E412" s="331">
        <f t="shared" si="28"/>
        <v>60.41495630878017</v>
      </c>
      <c r="F412" s="561">
        <f t="shared" si="29"/>
        <v>6.0414956308780172E-5</v>
      </c>
      <c r="G412" s="444">
        <f t="shared" si="30"/>
        <v>10.987291552488836</v>
      </c>
      <c r="H412" s="462">
        <f t="shared" si="31"/>
        <v>1.0987291552488835E-5</v>
      </c>
    </row>
    <row r="413" spans="1:8">
      <c r="A413" s="113" t="s">
        <v>77</v>
      </c>
      <c r="B413" s="461">
        <f>C294</f>
        <v>1.7100073055854823</v>
      </c>
      <c r="C413" s="119">
        <f t="shared" si="26"/>
        <v>9508.4810727455588</v>
      </c>
      <c r="D413" s="468">
        <f t="shared" si="27"/>
        <v>52283.537378478046</v>
      </c>
      <c r="E413" s="331">
        <f t="shared" si="28"/>
        <v>179.84021764390184</v>
      </c>
      <c r="F413" s="561">
        <f t="shared" si="29"/>
        <v>1.7984021764390183E-4</v>
      </c>
      <c r="G413" s="444">
        <f t="shared" si="30"/>
        <v>32.706419483571295</v>
      </c>
      <c r="H413" s="462">
        <f t="shared" si="31"/>
        <v>3.2706419483571294E-5</v>
      </c>
    </row>
    <row r="414" spans="1:8">
      <c r="A414" s="113" t="s">
        <v>78</v>
      </c>
      <c r="B414" s="461">
        <f>C295</f>
        <v>578.60487664468883</v>
      </c>
      <c r="C414" s="119">
        <f t="shared" si="26"/>
        <v>9508.4810727455588</v>
      </c>
      <c r="D414" s="468">
        <f t="shared" si="27"/>
        <v>52283.537378478046</v>
      </c>
      <c r="E414" s="331">
        <f t="shared" si="28"/>
        <v>60851.451690129681</v>
      </c>
      <c r="F414" s="561">
        <f t="shared" si="29"/>
        <v>6.0851451690129683E-2</v>
      </c>
      <c r="G414" s="444">
        <f t="shared" si="30"/>
        <v>11066.674246927778</v>
      </c>
      <c r="H414" s="462">
        <f t="shared" si="31"/>
        <v>1.1066674246927777E-2</v>
      </c>
    </row>
    <row r="415" spans="1:8">
      <c r="A415" s="113" t="s">
        <v>79</v>
      </c>
      <c r="B415" s="461">
        <f>C296</f>
        <v>74.3804796021291</v>
      </c>
      <c r="C415" s="119">
        <f t="shared" si="26"/>
        <v>9508.4810727455588</v>
      </c>
      <c r="D415" s="468">
        <f t="shared" si="27"/>
        <v>52283.537378478046</v>
      </c>
      <c r="E415" s="331">
        <f t="shared" si="28"/>
        <v>7822.5406385177621</v>
      </c>
      <c r="F415" s="561">
        <f t="shared" si="29"/>
        <v>7.8225406385177623E-3</v>
      </c>
      <c r="G415" s="444">
        <f t="shared" si="30"/>
        <v>1422.6367099779866</v>
      </c>
      <c r="H415" s="462">
        <f t="shared" si="31"/>
        <v>1.4226367099779867E-3</v>
      </c>
    </row>
    <row r="416" spans="1:8">
      <c r="A416" s="113" t="s">
        <v>80</v>
      </c>
      <c r="B416" s="461">
        <f>C297</f>
        <v>113.21921266598306</v>
      </c>
      <c r="C416" s="119">
        <f t="shared" si="26"/>
        <v>9508.4810727455588</v>
      </c>
      <c r="D416" s="468">
        <f t="shared" si="27"/>
        <v>52283.537378478046</v>
      </c>
      <c r="E416" s="331">
        <f t="shared" si="28"/>
        <v>11907.181788530519</v>
      </c>
      <c r="F416" s="561">
        <f t="shared" si="29"/>
        <v>1.190718178853052E-2</v>
      </c>
      <c r="G416" s="444">
        <f t="shared" si="30"/>
        <v>2165.4849373789411</v>
      </c>
      <c r="H416" s="462">
        <f t="shared" si="31"/>
        <v>2.165484937378941E-3</v>
      </c>
    </row>
    <row r="417" spans="1:8">
      <c r="A417" s="113" t="s">
        <v>81</v>
      </c>
      <c r="B417" s="461">
        <f t="shared" ref="B417:B429" si="33">C298</f>
        <v>76.856270056612061</v>
      </c>
      <c r="C417" s="119">
        <f t="shared" si="26"/>
        <v>9508.4810727455588</v>
      </c>
      <c r="D417" s="468">
        <f t="shared" si="27"/>
        <v>52283.537378478046</v>
      </c>
      <c r="E417" s="331">
        <f t="shared" si="28"/>
        <v>8082.9177098440532</v>
      </c>
      <c r="F417" s="561">
        <f t="shared" si="29"/>
        <v>8.0829177098440536E-3</v>
      </c>
      <c r="G417" s="444">
        <f t="shared" si="30"/>
        <v>1469.9898650746061</v>
      </c>
      <c r="H417" s="462">
        <f t="shared" si="31"/>
        <v>1.469989865074606E-3</v>
      </c>
    </row>
    <row r="418" spans="1:8">
      <c r="A418" s="113" t="s">
        <v>82</v>
      </c>
      <c r="B418" s="461">
        <f t="shared" si="33"/>
        <v>0.54330655842909081</v>
      </c>
      <c r="C418" s="119">
        <f t="shared" si="26"/>
        <v>9508.4810727455588</v>
      </c>
      <c r="D418" s="468">
        <f t="shared" si="27"/>
        <v>52283.537378478046</v>
      </c>
      <c r="E418" s="331">
        <f t="shared" si="28"/>
        <v>57.139153380279268</v>
      </c>
      <c r="F418" s="561">
        <f t="shared" si="29"/>
        <v>5.7139153380279265E-5</v>
      </c>
      <c r="G418" s="444">
        <f t="shared" si="30"/>
        <v>10.39154169114688</v>
      </c>
      <c r="H418" s="462">
        <f t="shared" si="31"/>
        <v>1.039154169114688E-5</v>
      </c>
    </row>
    <row r="419" spans="1:8">
      <c r="A419" s="113" t="s">
        <v>213</v>
      </c>
      <c r="B419" s="461">
        <f t="shared" si="33"/>
        <v>784.06072473865356</v>
      </c>
      <c r="C419" s="119">
        <f t="shared" si="26"/>
        <v>9508.4810727455588</v>
      </c>
      <c r="D419" s="468">
        <f t="shared" si="27"/>
        <v>52283.537378478046</v>
      </c>
      <c r="E419" s="331">
        <f t="shared" si="28"/>
        <v>82459.092965545264</v>
      </c>
      <c r="F419" s="561">
        <f t="shared" si="29"/>
        <v>8.2459092965545266E-2</v>
      </c>
      <c r="G419" s="444">
        <f t="shared" si="30"/>
        <v>14996.321290636384</v>
      </c>
      <c r="H419" s="462">
        <f t="shared" si="31"/>
        <v>1.4996321290636385E-2</v>
      </c>
    </row>
    <row r="420" spans="1:8">
      <c r="A420" s="113" t="s">
        <v>96</v>
      </c>
      <c r="B420" s="461">
        <f t="shared" si="33"/>
        <v>2087.7551020408168</v>
      </c>
      <c r="C420" s="119">
        <f t="shared" si="26"/>
        <v>9508.4810727455588</v>
      </c>
      <c r="D420" s="468">
        <f t="shared" si="27"/>
        <v>52283.537378478046</v>
      </c>
      <c r="E420" s="331">
        <f t="shared" si="28"/>
        <v>219567.67711564482</v>
      </c>
      <c r="F420" s="561">
        <f t="shared" si="29"/>
        <v>0.21956767711564482</v>
      </c>
      <c r="G420" s="444">
        <f t="shared" si="30"/>
        <v>39931.40492632809</v>
      </c>
      <c r="H420" s="462">
        <f t="shared" si="31"/>
        <v>3.9931404926328087E-2</v>
      </c>
    </row>
    <row r="421" spans="1:8">
      <c r="A421" s="113" t="s">
        <v>97</v>
      </c>
      <c r="B421" s="461">
        <f t="shared" si="33"/>
        <v>2871.8158267794706</v>
      </c>
      <c r="C421" s="119">
        <f t="shared" si="26"/>
        <v>9508.4810727455588</v>
      </c>
      <c r="D421" s="468">
        <f t="shared" si="27"/>
        <v>52283.537378478046</v>
      </c>
      <c r="E421" s="331">
        <f t="shared" si="28"/>
        <v>302026.7700811901</v>
      </c>
      <c r="F421" s="561">
        <f t="shared" si="29"/>
        <v>0.30202677008119011</v>
      </c>
      <c r="G421" s="444">
        <f t="shared" si="30"/>
        <v>54927.726216964475</v>
      </c>
      <c r="H421" s="462">
        <f t="shared" si="31"/>
        <v>5.4927726216964477E-2</v>
      </c>
    </row>
    <row r="422" spans="1:8">
      <c r="A422" s="113" t="s">
        <v>84</v>
      </c>
      <c r="B422" s="461">
        <f t="shared" si="33"/>
        <v>0.31337051447183795</v>
      </c>
      <c r="C422" s="119">
        <f t="shared" si="26"/>
        <v>9508.4810727455588</v>
      </c>
      <c r="D422" s="468">
        <f t="shared" si="27"/>
        <v>52283.537378478046</v>
      </c>
      <c r="E422" s="331">
        <f t="shared" si="28"/>
        <v>32.956947810524767</v>
      </c>
      <c r="F422" s="561">
        <f t="shared" si="29"/>
        <v>3.2956947810524768E-5</v>
      </c>
      <c r="G422" s="444">
        <f t="shared" si="30"/>
        <v>5.9936746858454439</v>
      </c>
      <c r="H422" s="462">
        <f t="shared" si="31"/>
        <v>5.9936746858454442E-6</v>
      </c>
    </row>
    <row r="423" spans="1:8">
      <c r="A423" s="113" t="s">
        <v>249</v>
      </c>
      <c r="B423" s="461">
        <f t="shared" si="33"/>
        <v>0</v>
      </c>
      <c r="C423" s="119">
        <f t="shared" si="26"/>
        <v>9508.4810727455588</v>
      </c>
      <c r="D423" s="468">
        <f t="shared" si="27"/>
        <v>52283.537378478046</v>
      </c>
      <c r="E423" s="331">
        <f t="shared" si="28"/>
        <v>0</v>
      </c>
      <c r="F423" s="561">
        <f t="shared" si="29"/>
        <v>0</v>
      </c>
      <c r="G423" s="444">
        <f t="shared" si="30"/>
        <v>0</v>
      </c>
      <c r="H423" s="462">
        <f t="shared" si="31"/>
        <v>0</v>
      </c>
    </row>
    <row r="424" spans="1:8">
      <c r="A424" s="113" t="s">
        <v>250</v>
      </c>
      <c r="B424" s="461">
        <f t="shared" si="33"/>
        <v>0</v>
      </c>
      <c r="C424" s="119">
        <f t="shared" si="26"/>
        <v>9508.4810727455588</v>
      </c>
      <c r="D424" s="468">
        <f t="shared" si="27"/>
        <v>52283.537378478046</v>
      </c>
      <c r="E424" s="331">
        <f t="shared" si="28"/>
        <v>0</v>
      </c>
      <c r="F424" s="561">
        <f t="shared" si="29"/>
        <v>0</v>
      </c>
      <c r="G424" s="444">
        <f t="shared" si="30"/>
        <v>0</v>
      </c>
      <c r="H424" s="462">
        <f t="shared" si="31"/>
        <v>0</v>
      </c>
    </row>
    <row r="425" spans="1:8">
      <c r="A425" s="113" t="s">
        <v>251</v>
      </c>
      <c r="B425" s="461">
        <f t="shared" si="33"/>
        <v>0</v>
      </c>
      <c r="C425" s="119">
        <f t="shared" si="26"/>
        <v>9508.4810727455588</v>
      </c>
      <c r="D425" s="468">
        <f t="shared" si="27"/>
        <v>52283.537378478046</v>
      </c>
      <c r="E425" s="331">
        <f t="shared" si="28"/>
        <v>0</v>
      </c>
      <c r="F425" s="561">
        <f t="shared" si="29"/>
        <v>0</v>
      </c>
      <c r="G425" s="444">
        <f t="shared" si="30"/>
        <v>0</v>
      </c>
      <c r="H425" s="462">
        <f t="shared" si="31"/>
        <v>0</v>
      </c>
    </row>
    <row r="426" spans="1:8">
      <c r="A426" s="394" t="s">
        <v>238</v>
      </c>
      <c r="B426" s="461">
        <f t="shared" si="33"/>
        <v>0</v>
      </c>
      <c r="C426" s="119">
        <f t="shared" si="26"/>
        <v>9508.4810727455588</v>
      </c>
      <c r="D426" s="468">
        <f t="shared" si="27"/>
        <v>52283.537378478046</v>
      </c>
      <c r="E426" s="331">
        <f t="shared" si="28"/>
        <v>0</v>
      </c>
      <c r="F426" s="561">
        <f t="shared" si="29"/>
        <v>0</v>
      </c>
      <c r="G426" s="444">
        <f t="shared" si="30"/>
        <v>0</v>
      </c>
      <c r="H426" s="462">
        <f t="shared" si="31"/>
        <v>0</v>
      </c>
    </row>
    <row r="427" spans="1:8">
      <c r="A427" s="394" t="s">
        <v>239</v>
      </c>
      <c r="B427" s="461">
        <f t="shared" si="33"/>
        <v>0</v>
      </c>
      <c r="C427" s="119">
        <f t="shared" si="26"/>
        <v>9508.4810727455588</v>
      </c>
      <c r="D427" s="468">
        <f t="shared" si="27"/>
        <v>52283.537378478046</v>
      </c>
      <c r="E427" s="331">
        <f t="shared" si="28"/>
        <v>0</v>
      </c>
      <c r="F427" s="561">
        <f t="shared" si="29"/>
        <v>0</v>
      </c>
      <c r="G427" s="444">
        <f t="shared" si="30"/>
        <v>0</v>
      </c>
      <c r="H427" s="462">
        <f t="shared" si="31"/>
        <v>0</v>
      </c>
    </row>
    <row r="428" spans="1:8">
      <c r="A428" s="394" t="s">
        <v>248</v>
      </c>
      <c r="B428" s="461">
        <f t="shared" si="33"/>
        <v>0</v>
      </c>
      <c r="C428" s="119">
        <f t="shared" si="26"/>
        <v>9508.4810727455588</v>
      </c>
      <c r="D428" s="468">
        <f t="shared" si="27"/>
        <v>52283.537378478046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3"/>
        <v>10.529262776259667</v>
      </c>
      <c r="C429" s="135">
        <f t="shared" si="26"/>
        <v>9508.4810727455588</v>
      </c>
      <c r="D429" s="469">
        <f t="shared" si="27"/>
        <v>52283.537378478046</v>
      </c>
      <c r="E429" s="466">
        <f t="shared" si="28"/>
        <v>1107.3548651676876</v>
      </c>
      <c r="F429" s="562">
        <f t="shared" si="29"/>
        <v>1.1073548651676876E-3</v>
      </c>
      <c r="G429" s="445">
        <f t="shared" si="30"/>
        <v>201.38772746072698</v>
      </c>
      <c r="H429" s="464">
        <f t="shared" si="31"/>
        <v>2.0138772746072697E-4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178.22967665298401</v>
      </c>
      <c r="C435" s="160">
        <f>$C$378</f>
        <v>11491.518927254441</v>
      </c>
      <c r="D435" s="440">
        <f>$C$376</f>
        <v>26724.462621521958</v>
      </c>
      <c r="E435" s="443">
        <f>B435/C435*1000000</f>
        <v>15509.670895661722</v>
      </c>
      <c r="F435" s="560">
        <f>E435/1000000</f>
        <v>1.5509670895661722E-2</v>
      </c>
      <c r="G435" s="443">
        <f>B435/D435*1000000</f>
        <v>6669.1584851345397</v>
      </c>
      <c r="H435" s="460">
        <f>G435/1000000</f>
        <v>6.6691584851345399E-3</v>
      </c>
    </row>
    <row r="436" spans="1:8">
      <c r="A436" s="112" t="s">
        <v>73</v>
      </c>
      <c r="B436" s="461">
        <f>D290</f>
        <v>5.8606900072270776E-2</v>
      </c>
      <c r="C436" s="119">
        <f t="shared" ref="C436:C456" si="34">$C$378</f>
        <v>11491.518927254441</v>
      </c>
      <c r="D436" s="441">
        <f t="shared" ref="D436:D456" si="35">$C$376</f>
        <v>26724.462621521958</v>
      </c>
      <c r="E436" s="444">
        <f t="shared" ref="E436:E456" si="36">B436/C436*1000000</f>
        <v>5.1000133614428256</v>
      </c>
      <c r="F436" s="561">
        <f t="shared" ref="F436:F456" si="37">E436/1000000</f>
        <v>5.1000133614428254E-6</v>
      </c>
      <c r="G436" s="444">
        <f t="shared" ref="G436:G456" si="38">B436/D436*1000000</f>
        <v>2.193005745420415</v>
      </c>
      <c r="H436" s="462">
        <f t="shared" ref="H436:H456" si="39">G436/1000000</f>
        <v>2.1930057454204151E-6</v>
      </c>
    </row>
    <row r="437" spans="1:8">
      <c r="A437" s="112" t="s">
        <v>74</v>
      </c>
      <c r="B437" s="461">
        <f t="shared" ref="B437:B456" si="40">D291</f>
        <v>1429.6278028751155</v>
      </c>
      <c r="C437" s="119">
        <f t="shared" si="34"/>
        <v>11491.518927254441</v>
      </c>
      <c r="D437" s="441">
        <f t="shared" si="35"/>
        <v>26724.462621521958</v>
      </c>
      <c r="E437" s="444">
        <f t="shared" si="36"/>
        <v>124407.20951905379</v>
      </c>
      <c r="F437" s="561">
        <f t="shared" si="37"/>
        <v>0.12440720951905379</v>
      </c>
      <c r="G437" s="444">
        <f t="shared" si="38"/>
        <v>53495.100093193134</v>
      </c>
      <c r="H437" s="462">
        <f t="shared" si="39"/>
        <v>5.3495100093193131E-2</v>
      </c>
    </row>
    <row r="438" spans="1:8">
      <c r="A438" s="112" t="s">
        <v>75</v>
      </c>
      <c r="B438" s="461">
        <f t="shared" si="40"/>
        <v>4.1603001544944472E-2</v>
      </c>
      <c r="C438" s="119">
        <f t="shared" si="34"/>
        <v>11491.518927254441</v>
      </c>
      <c r="D438" s="441">
        <f t="shared" si="35"/>
        <v>26724.462621521958</v>
      </c>
      <c r="E438" s="444">
        <f t="shared" si="36"/>
        <v>3.6203222401065371</v>
      </c>
      <c r="F438" s="561">
        <f t="shared" si="37"/>
        <v>3.6203222401065369E-6</v>
      </c>
      <c r="G438" s="444">
        <f t="shared" si="38"/>
        <v>1.5567385632458111</v>
      </c>
      <c r="H438" s="462">
        <f t="shared" si="39"/>
        <v>1.5567385632458112E-6</v>
      </c>
    </row>
    <row r="439" spans="1:8">
      <c r="A439" s="112" t="s">
        <v>76</v>
      </c>
      <c r="B439" s="461">
        <f t="shared" si="40"/>
        <v>1.0575455314272137</v>
      </c>
      <c r="C439" s="119">
        <f t="shared" si="34"/>
        <v>11491.518927254441</v>
      </c>
      <c r="D439" s="441">
        <f t="shared" si="35"/>
        <v>26724.462621521958</v>
      </c>
      <c r="E439" s="444">
        <f t="shared" si="36"/>
        <v>92.028350483679972</v>
      </c>
      <c r="F439" s="561">
        <f t="shared" si="37"/>
        <v>9.2028350483679968E-5</v>
      </c>
      <c r="G439" s="444">
        <f t="shared" si="38"/>
        <v>39.572190707982386</v>
      </c>
      <c r="H439" s="462">
        <f t="shared" si="39"/>
        <v>3.9572190707982385E-5</v>
      </c>
    </row>
    <row r="440" spans="1:8">
      <c r="A440" s="113" t="s">
        <v>77</v>
      </c>
      <c r="B440" s="461">
        <f t="shared" si="40"/>
        <v>6.1619926944145176</v>
      </c>
      <c r="C440" s="119">
        <f t="shared" si="34"/>
        <v>11491.518927254441</v>
      </c>
      <c r="D440" s="441">
        <f t="shared" si="35"/>
        <v>26724.462621521958</v>
      </c>
      <c r="E440" s="444">
        <f t="shared" si="36"/>
        <v>536.22090634164272</v>
      </c>
      <c r="F440" s="561">
        <f t="shared" si="37"/>
        <v>5.362209063416427E-4</v>
      </c>
      <c r="G440" s="444">
        <f t="shared" si="38"/>
        <v>230.57498972690632</v>
      </c>
      <c r="H440" s="462">
        <f t="shared" si="39"/>
        <v>2.3057498972690633E-4</v>
      </c>
    </row>
    <row r="441" spans="1:8">
      <c r="A441" s="113" t="s">
        <v>78</v>
      </c>
      <c r="B441" s="461">
        <f t="shared" si="40"/>
        <v>472.31912335531109</v>
      </c>
      <c r="C441" s="119">
        <f t="shared" si="34"/>
        <v>11491.518927254441</v>
      </c>
      <c r="D441" s="441">
        <f t="shared" si="35"/>
        <v>26724.462621521958</v>
      </c>
      <c r="E441" s="444">
        <f t="shared" si="36"/>
        <v>41101.539869991568</v>
      </c>
      <c r="F441" s="561">
        <f t="shared" si="37"/>
        <v>4.1101539869991564E-2</v>
      </c>
      <c r="G441" s="444">
        <f t="shared" si="38"/>
        <v>17673.662144096372</v>
      </c>
      <c r="H441" s="462">
        <f t="shared" si="39"/>
        <v>1.7673662144096373E-2</v>
      </c>
    </row>
    <row r="442" spans="1:8">
      <c r="A442" s="113" t="s">
        <v>79</v>
      </c>
      <c r="B442" s="461">
        <f t="shared" si="40"/>
        <v>24.379520397870898</v>
      </c>
      <c r="C442" s="119">
        <f t="shared" si="34"/>
        <v>11491.518927254441</v>
      </c>
      <c r="D442" s="441">
        <f t="shared" si="35"/>
        <v>26724.462621521958</v>
      </c>
      <c r="E442" s="444">
        <f t="shared" si="36"/>
        <v>2121.5228858954388</v>
      </c>
      <c r="F442" s="561">
        <f t="shared" si="37"/>
        <v>2.1215228858954389E-3</v>
      </c>
      <c r="G442" s="444">
        <f t="shared" si="38"/>
        <v>912.2548409350386</v>
      </c>
      <c r="H442" s="462">
        <f t="shared" si="39"/>
        <v>9.1225484093503855E-4</v>
      </c>
    </row>
    <row r="443" spans="1:8">
      <c r="A443" s="113" t="s">
        <v>80</v>
      </c>
      <c r="B443" s="461">
        <f t="shared" si="40"/>
        <v>41.580787334016946</v>
      </c>
      <c r="C443" s="119">
        <f t="shared" si="34"/>
        <v>11491.518927254441</v>
      </c>
      <c r="D443" s="441">
        <f t="shared" si="35"/>
        <v>26724.462621521958</v>
      </c>
      <c r="E443" s="444">
        <f t="shared" si="36"/>
        <v>3618.3891439624899</v>
      </c>
      <c r="F443" s="561">
        <f t="shared" si="37"/>
        <v>3.61838914396249E-3</v>
      </c>
      <c r="G443" s="444">
        <f t="shared" si="38"/>
        <v>1555.9073319038705</v>
      </c>
      <c r="H443" s="462">
        <f t="shared" si="39"/>
        <v>1.5559073319038705E-3</v>
      </c>
    </row>
    <row r="444" spans="1:8">
      <c r="A444" s="113" t="s">
        <v>81</v>
      </c>
      <c r="B444" s="461">
        <f t="shared" si="40"/>
        <v>20.343729943387938</v>
      </c>
      <c r="C444" s="119">
        <f t="shared" si="34"/>
        <v>11491.518927254441</v>
      </c>
      <c r="D444" s="441">
        <f t="shared" si="35"/>
        <v>26724.462621521958</v>
      </c>
      <c r="E444" s="444">
        <f t="shared" si="36"/>
        <v>1770.3255829078175</v>
      </c>
      <c r="F444" s="561">
        <f t="shared" si="37"/>
        <v>1.7703255829078176E-3</v>
      </c>
      <c r="G444" s="444">
        <f t="shared" si="38"/>
        <v>761.24000065036159</v>
      </c>
      <c r="H444" s="462">
        <f t="shared" si="39"/>
        <v>7.6124000065036154E-4</v>
      </c>
    </row>
    <row r="445" spans="1:8">
      <c r="A445" s="113" t="s">
        <v>82</v>
      </c>
      <c r="B445" s="461">
        <f t="shared" si="40"/>
        <v>0.95669344157090919</v>
      </c>
      <c r="C445" s="119">
        <f t="shared" si="34"/>
        <v>11491.518927254441</v>
      </c>
      <c r="D445" s="441">
        <f t="shared" si="35"/>
        <v>26724.462621521958</v>
      </c>
      <c r="E445" s="444">
        <f t="shared" si="36"/>
        <v>83.252131213213161</v>
      </c>
      <c r="F445" s="561">
        <f t="shared" si="37"/>
        <v>8.3252131213213155E-5</v>
      </c>
      <c r="G445" s="444">
        <f t="shared" si="38"/>
        <v>35.798416421681651</v>
      </c>
      <c r="H445" s="462">
        <f t="shared" si="39"/>
        <v>3.5798416421681648E-5</v>
      </c>
    </row>
    <row r="446" spans="1:8">
      <c r="A446" s="113" t="s">
        <v>213</v>
      </c>
      <c r="B446" s="461">
        <f t="shared" si="40"/>
        <v>195.35527526134652</v>
      </c>
      <c r="C446" s="119">
        <f t="shared" si="34"/>
        <v>11491.518927254441</v>
      </c>
      <c r="D446" s="441">
        <f t="shared" si="35"/>
        <v>26724.462621521958</v>
      </c>
      <c r="E446" s="444">
        <f t="shared" si="36"/>
        <v>16999.952443016242</v>
      </c>
      <c r="F446" s="561">
        <f t="shared" si="37"/>
        <v>1.699995244301624E-2</v>
      </c>
      <c r="G446" s="444">
        <f t="shared" si="38"/>
        <v>7309.9795504969834</v>
      </c>
      <c r="H446" s="462">
        <f t="shared" si="39"/>
        <v>7.3099795504969834E-3</v>
      </c>
    </row>
    <row r="447" spans="1:8">
      <c r="A447" s="113" t="s">
        <v>96</v>
      </c>
      <c r="B447" s="461">
        <f t="shared" si="40"/>
        <v>0</v>
      </c>
      <c r="C447" s="119">
        <f t="shared" si="34"/>
        <v>11491.518927254441</v>
      </c>
      <c r="D447" s="441">
        <f t="shared" si="35"/>
        <v>26724.462621521958</v>
      </c>
      <c r="E447" s="444">
        <f t="shared" si="36"/>
        <v>0</v>
      </c>
      <c r="F447" s="561">
        <f t="shared" si="37"/>
        <v>0</v>
      </c>
      <c r="G447" s="444">
        <f t="shared" si="38"/>
        <v>0</v>
      </c>
      <c r="H447" s="462">
        <f t="shared" si="39"/>
        <v>0</v>
      </c>
    </row>
    <row r="448" spans="1:8">
      <c r="A448" s="113" t="s">
        <v>97</v>
      </c>
      <c r="B448" s="461">
        <f t="shared" si="40"/>
        <v>195.35527526134652</v>
      </c>
      <c r="C448" s="119">
        <f t="shared" si="34"/>
        <v>11491.518927254441</v>
      </c>
      <c r="D448" s="441">
        <f t="shared" si="35"/>
        <v>26724.462621521958</v>
      </c>
      <c r="E448" s="444">
        <f t="shared" si="36"/>
        <v>16999.952443016242</v>
      </c>
      <c r="F448" s="561">
        <f t="shared" si="37"/>
        <v>1.699995244301624E-2</v>
      </c>
      <c r="G448" s="444">
        <f t="shared" si="38"/>
        <v>7309.9795504969834</v>
      </c>
      <c r="H448" s="462">
        <f t="shared" si="39"/>
        <v>7.3099795504969834E-3</v>
      </c>
    </row>
    <row r="449" spans="1:8">
      <c r="A449" s="113" t="s">
        <v>84</v>
      </c>
      <c r="B449" s="461">
        <f t="shared" si="40"/>
        <v>1.174629485528162</v>
      </c>
      <c r="C449" s="119">
        <f t="shared" si="34"/>
        <v>11491.518927254441</v>
      </c>
      <c r="D449" s="441">
        <f t="shared" si="35"/>
        <v>26724.462621521958</v>
      </c>
      <c r="E449" s="444">
        <f t="shared" si="36"/>
        <v>102.21707791319847</v>
      </c>
      <c r="F449" s="561">
        <f t="shared" si="37"/>
        <v>1.0221707791319846E-4</v>
      </c>
      <c r="G449" s="444">
        <f t="shared" si="38"/>
        <v>43.953343502675338</v>
      </c>
      <c r="H449" s="462">
        <f t="shared" si="39"/>
        <v>4.3953343502675337E-5</v>
      </c>
    </row>
    <row r="450" spans="1:8">
      <c r="A450" s="113" t="s">
        <v>249</v>
      </c>
      <c r="B450" s="461">
        <f t="shared" si="40"/>
        <v>226.8</v>
      </c>
      <c r="C450" s="119">
        <f t="shared" si="34"/>
        <v>11491.518927254441</v>
      </c>
      <c r="D450" s="441">
        <f t="shared" si="35"/>
        <v>26724.462621521958</v>
      </c>
      <c r="E450" s="444">
        <f t="shared" si="36"/>
        <v>19736.294343308989</v>
      </c>
      <c r="F450" s="561">
        <f t="shared" si="37"/>
        <v>1.973629434330899E-2</v>
      </c>
      <c r="G450" s="444">
        <f t="shared" si="38"/>
        <v>8486.6065676228645</v>
      </c>
      <c r="H450" s="462">
        <f t="shared" si="39"/>
        <v>8.4866065676228643E-3</v>
      </c>
    </row>
    <row r="451" spans="1:8">
      <c r="A451" s="113" t="s">
        <v>250</v>
      </c>
      <c r="B451" s="461">
        <f t="shared" si="40"/>
        <v>783.67346938775506</v>
      </c>
      <c r="C451" s="119">
        <f t="shared" si="34"/>
        <v>11491.518927254441</v>
      </c>
      <c r="D451" s="441">
        <f t="shared" si="35"/>
        <v>26724.462621521958</v>
      </c>
      <c r="E451" s="444">
        <f t="shared" si="36"/>
        <v>68195.812437737564</v>
      </c>
      <c r="F451" s="561">
        <f t="shared" si="37"/>
        <v>6.8195812437737563E-2</v>
      </c>
      <c r="G451" s="444">
        <f t="shared" si="38"/>
        <v>29324.19934822715</v>
      </c>
      <c r="H451" s="462">
        <f t="shared" si="39"/>
        <v>2.9324199348227151E-2</v>
      </c>
    </row>
    <row r="452" spans="1:8">
      <c r="A452" s="113" t="s">
        <v>251</v>
      </c>
      <c r="B452" s="461">
        <f t="shared" si="40"/>
        <v>1010.4734693877551</v>
      </c>
      <c r="C452" s="119">
        <f t="shared" si="34"/>
        <v>11491.518927254441</v>
      </c>
      <c r="D452" s="441">
        <f t="shared" si="35"/>
        <v>26724.462621521958</v>
      </c>
      <c r="E452" s="444">
        <f t="shared" si="36"/>
        <v>87932.106781046561</v>
      </c>
      <c r="F452" s="561">
        <f t="shared" si="37"/>
        <v>8.7932106781046557E-2</v>
      </c>
      <c r="G452" s="444">
        <f t="shared" si="38"/>
        <v>37810.805915850018</v>
      </c>
      <c r="H452" s="462">
        <f t="shared" si="39"/>
        <v>3.7810805915850017E-2</v>
      </c>
    </row>
    <row r="453" spans="1:8">
      <c r="A453" s="394" t="s">
        <v>238</v>
      </c>
      <c r="B453" s="461">
        <f t="shared" si="40"/>
        <v>3031.4204081632652</v>
      </c>
      <c r="C453" s="119">
        <f t="shared" si="34"/>
        <v>11491.518927254441</v>
      </c>
      <c r="D453" s="441">
        <f t="shared" si="35"/>
        <v>26724.462621521958</v>
      </c>
      <c r="E453" s="444">
        <f t="shared" si="36"/>
        <v>263796.32034313964</v>
      </c>
      <c r="F453" s="561">
        <f t="shared" si="37"/>
        <v>0.26379632034313966</v>
      </c>
      <c r="G453" s="444">
        <f t="shared" si="38"/>
        <v>113432.41774755005</v>
      </c>
      <c r="H453" s="462">
        <f t="shared" si="39"/>
        <v>0.11343241774755004</v>
      </c>
    </row>
    <row r="454" spans="1:8">
      <c r="A454" s="394" t="s">
        <v>239</v>
      </c>
      <c r="B454" s="461">
        <f t="shared" si="40"/>
        <v>4294.5122448979591</v>
      </c>
      <c r="C454" s="119">
        <f t="shared" si="34"/>
        <v>11491.518927254441</v>
      </c>
      <c r="D454" s="441">
        <f t="shared" si="35"/>
        <v>26724.462621521958</v>
      </c>
      <c r="E454" s="444">
        <f t="shared" si="36"/>
        <v>373711.4538194479</v>
      </c>
      <c r="F454" s="561">
        <f t="shared" si="37"/>
        <v>0.37371145381944787</v>
      </c>
      <c r="G454" s="444">
        <f t="shared" si="38"/>
        <v>160695.9251423626</v>
      </c>
      <c r="H454" s="462">
        <f t="shared" si="39"/>
        <v>0.16069592514236261</v>
      </c>
    </row>
    <row r="455" spans="1:8">
      <c r="A455" s="394" t="s">
        <v>248</v>
      </c>
      <c r="B455" s="461">
        <f t="shared" si="40"/>
        <v>0</v>
      </c>
      <c r="C455" s="119">
        <f t="shared" si="34"/>
        <v>11491.518927254441</v>
      </c>
      <c r="D455" s="441">
        <f t="shared" si="35"/>
        <v>26724.462621521958</v>
      </c>
      <c r="E455" s="444">
        <f>B455/C455*1000000</f>
        <v>0</v>
      </c>
      <c r="F455" s="561">
        <f>E455/1000000</f>
        <v>0</v>
      </c>
      <c r="G455" s="444">
        <f>B455/D455*1000000</f>
        <v>0</v>
      </c>
      <c r="H455" s="462">
        <f>G455/1000000</f>
        <v>0</v>
      </c>
    </row>
    <row r="456" spans="1:8" ht="14.65" thickBot="1">
      <c r="A456" s="114" t="s">
        <v>86</v>
      </c>
      <c r="B456" s="463">
        <f t="shared" si="40"/>
        <v>17.706737223740333</v>
      </c>
      <c r="C456" s="135">
        <f t="shared" si="34"/>
        <v>11491.518927254441</v>
      </c>
      <c r="D456" s="442">
        <f t="shared" si="35"/>
        <v>26724.462621521958</v>
      </c>
      <c r="E456" s="445">
        <f t="shared" si="36"/>
        <v>1540.8526353940256</v>
      </c>
      <c r="F456" s="562">
        <f t="shared" si="37"/>
        <v>1.5408526353940255E-3</v>
      </c>
      <c r="G456" s="445">
        <f t="shared" si="38"/>
        <v>662.56663321943108</v>
      </c>
      <c r="H456" s="464">
        <f t="shared" si="39"/>
        <v>6.6256663321943106E-4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1">$B$462*B469/1000000</f>
        <v>0.54249999999999998</v>
      </c>
      <c r="E469" s="136">
        <f t="shared" ref="E469:E482" si="42">$C$462*C469/1000000</f>
        <v>7.0000000000000007E-2</v>
      </c>
      <c r="F469" s="473">
        <f t="shared" ref="F469:F482" si="43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1"/>
        <v>1494.9375</v>
      </c>
      <c r="E470" s="136">
        <f t="shared" si="42"/>
        <v>780.17240000000004</v>
      </c>
      <c r="F470" s="473">
        <f t="shared" si="43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1"/>
        <v>3.85E-2</v>
      </c>
      <c r="E471" s="136">
        <f t="shared" si="42"/>
        <v>1.4E-2</v>
      </c>
      <c r="F471" s="473">
        <f t="shared" si="43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1"/>
        <v>1.5925</v>
      </c>
      <c r="E472" s="136">
        <f t="shared" si="42"/>
        <v>0.37730000000000002</v>
      </c>
      <c r="F472" s="473">
        <f t="shared" si="43"/>
        <v>1.9698</v>
      </c>
    </row>
    <row r="473" spans="1:6">
      <c r="A473" s="232" t="s">
        <v>77</v>
      </c>
      <c r="B473" s="356">
        <v>663</v>
      </c>
      <c r="C473" s="408">
        <v>1099</v>
      </c>
      <c r="D473" s="228">
        <f t="shared" si="41"/>
        <v>11.602499999999999</v>
      </c>
      <c r="E473" s="136">
        <f t="shared" si="42"/>
        <v>7.6929999999999996</v>
      </c>
      <c r="F473" s="473">
        <f t="shared" si="43"/>
        <v>19.295499999999997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1"/>
        <v>1907.5</v>
      </c>
      <c r="E474" s="136">
        <f t="shared" si="42"/>
        <v>170.20500000000001</v>
      </c>
      <c r="F474" s="473">
        <f t="shared" si="43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1"/>
        <v>164.0625</v>
      </c>
      <c r="E475" s="136">
        <f t="shared" si="42"/>
        <v>68.936700000000002</v>
      </c>
      <c r="F475" s="473">
        <f t="shared" si="43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1"/>
        <v>213.35708333333335</v>
      </c>
      <c r="E476" s="136">
        <f t="shared" si="42"/>
        <v>88.942700000000002</v>
      </c>
      <c r="F476" s="473">
        <f t="shared" si="43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1"/>
        <v>44.274999999999999</v>
      </c>
      <c r="E477" s="136">
        <f t="shared" si="42"/>
        <v>23.422699999999999</v>
      </c>
      <c r="F477" s="473">
        <f t="shared" si="43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1"/>
        <v>1.1287499999999999</v>
      </c>
      <c r="E478" s="136">
        <f t="shared" si="42"/>
        <v>0.3332</v>
      </c>
      <c r="F478" s="473">
        <f t="shared" si="43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1"/>
        <v>1237.25</v>
      </c>
      <c r="E479" s="136">
        <f t="shared" si="42"/>
        <v>591.96900000000005</v>
      </c>
      <c r="F479" s="473">
        <f t="shared" si="43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1"/>
        <v>2.0474999999999999</v>
      </c>
      <c r="E480" s="136">
        <f t="shared" si="42"/>
        <v>0.56140000000000001</v>
      </c>
      <c r="F480" s="473">
        <f t="shared" si="43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1"/>
        <v>102.51305555555555</v>
      </c>
      <c r="E481" s="136">
        <f t="shared" si="42"/>
        <v>21.7959</v>
      </c>
      <c r="F481" s="473">
        <f t="shared" si="43"/>
        <v>124.30895555555556</v>
      </c>
    </row>
    <row r="482" spans="1:7" ht="14.65" thickBot="1">
      <c r="A482" s="233" t="s">
        <v>86</v>
      </c>
      <c r="B482" s="358">
        <v>2260</v>
      </c>
      <c r="C482" s="409">
        <v>1989</v>
      </c>
      <c r="D482" s="727">
        <f t="shared" si="41"/>
        <v>39.549999999999997</v>
      </c>
      <c r="E482" s="728">
        <f t="shared" si="42"/>
        <v>13.923</v>
      </c>
      <c r="F482" s="474">
        <f t="shared" si="43"/>
        <v>53.472999999999999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289.79432334701596</v>
      </c>
      <c r="C488" s="428">
        <f>F468</f>
        <v>1547.5740000000001</v>
      </c>
      <c r="D488" s="428">
        <f>B488+C488</f>
        <v>1837.368323347016</v>
      </c>
      <c r="E488" s="382">
        <f>$C$391+$D$462</f>
        <v>34008.481072745562</v>
      </c>
      <c r="F488" s="557">
        <f>D488/E488*1000000</f>
        <v>54026.768188111913</v>
      </c>
      <c r="G488" s="460">
        <f>F488/1000000</f>
        <v>5.4026768188111911E-2</v>
      </c>
    </row>
    <row r="489" spans="1:7">
      <c r="A489" s="149" t="s">
        <v>73</v>
      </c>
      <c r="B489" s="541">
        <f>B409</f>
        <v>0.28459309992772924</v>
      </c>
      <c r="C489" s="235">
        <f>F469</f>
        <v>0.61250000000000004</v>
      </c>
      <c r="D489" s="235">
        <f t="shared" ref="D489:D504" si="44">B489+C489</f>
        <v>0.89709309992772934</v>
      </c>
      <c r="E489" s="82">
        <f>$C$391+$D$462</f>
        <v>34008.481072745562</v>
      </c>
      <c r="F489" s="558">
        <f t="shared" ref="F489:F504" si="45">D489/E489*1000000</f>
        <v>26.378511231031155</v>
      </c>
      <c r="G489" s="462">
        <f t="shared" ref="G489:G504" si="46">F489/1000000</f>
        <v>2.6378511231031155E-5</v>
      </c>
    </row>
    <row r="490" spans="1:7">
      <c r="A490" s="232" t="s">
        <v>74</v>
      </c>
      <c r="B490" s="541">
        <f t="shared" ref="B490:B503" si="47">B410</f>
        <v>478.37219712488445</v>
      </c>
      <c r="C490" s="235">
        <f t="shared" ref="C490:C498" si="48">F470</f>
        <v>2275.1098999999999</v>
      </c>
      <c r="D490" s="235">
        <f t="shared" si="44"/>
        <v>2753.4820971248846</v>
      </c>
      <c r="E490" s="82">
        <f t="shared" ref="E490:E503" si="49">$C$391+$D$462</f>
        <v>34008.481072745562</v>
      </c>
      <c r="F490" s="558">
        <f t="shared" si="45"/>
        <v>80964.571491301584</v>
      </c>
      <c r="G490" s="462">
        <f t="shared" si="46"/>
        <v>8.0964571491301582E-2</v>
      </c>
    </row>
    <row r="491" spans="1:7">
      <c r="A491" s="232" t="s">
        <v>75</v>
      </c>
      <c r="B491" s="541">
        <f t="shared" si="47"/>
        <v>3.9699845505553055E-4</v>
      </c>
      <c r="C491" s="235">
        <f t="shared" si="48"/>
        <v>5.2499999999999998E-2</v>
      </c>
      <c r="D491" s="235">
        <f t="shared" si="44"/>
        <v>5.2896998455055529E-2</v>
      </c>
      <c r="E491" s="82">
        <f t="shared" si="49"/>
        <v>34008.481072745562</v>
      </c>
      <c r="F491" s="558">
        <f t="shared" si="45"/>
        <v>1.5554060865554873</v>
      </c>
      <c r="G491" s="462">
        <f t="shared" si="46"/>
        <v>1.5554060865554872E-6</v>
      </c>
    </row>
    <row r="492" spans="1:7">
      <c r="A492" s="232" t="s">
        <v>76</v>
      </c>
      <c r="B492" s="541">
        <f t="shared" si="47"/>
        <v>0.57445446857278615</v>
      </c>
      <c r="C492" s="235">
        <f t="shared" si="48"/>
        <v>1.9698</v>
      </c>
      <c r="D492" s="235">
        <f t="shared" si="44"/>
        <v>2.5442544685727864</v>
      </c>
      <c r="E492" s="82">
        <f t="shared" si="49"/>
        <v>34008.481072745562</v>
      </c>
      <c r="F492" s="558">
        <f t="shared" si="45"/>
        <v>74.812352340303576</v>
      </c>
      <c r="G492" s="462">
        <f t="shared" si="46"/>
        <v>7.4812352340303582E-5</v>
      </c>
    </row>
    <row r="493" spans="1:7">
      <c r="A493" s="150" t="s">
        <v>77</v>
      </c>
      <c r="B493" s="541">
        <f t="shared" si="47"/>
        <v>1.7100073055854823</v>
      </c>
      <c r="C493" s="235">
        <f t="shared" si="48"/>
        <v>19.295499999999997</v>
      </c>
      <c r="D493" s="235">
        <f t="shared" si="44"/>
        <v>21.005507305585478</v>
      </c>
      <c r="E493" s="82">
        <f t="shared" si="49"/>
        <v>34008.481072745562</v>
      </c>
      <c r="F493" s="558">
        <f t="shared" si="45"/>
        <v>617.65496849605904</v>
      </c>
      <c r="G493" s="462">
        <f t="shared" si="46"/>
        <v>6.1765496849605899E-4</v>
      </c>
    </row>
    <row r="494" spans="1:7">
      <c r="A494" s="150" t="s">
        <v>78</v>
      </c>
      <c r="B494" s="541">
        <f t="shared" si="47"/>
        <v>578.60487664468883</v>
      </c>
      <c r="C494" s="235">
        <f t="shared" si="48"/>
        <v>2077.7049999999999</v>
      </c>
      <c r="D494" s="235">
        <f t="shared" si="44"/>
        <v>2656.3098766446888</v>
      </c>
      <c r="E494" s="82">
        <f t="shared" si="49"/>
        <v>34008.481072745562</v>
      </c>
      <c r="F494" s="558">
        <f t="shared" si="45"/>
        <v>78107.277739418321</v>
      </c>
      <c r="G494" s="462">
        <f t="shared" si="46"/>
        <v>7.8107277739418321E-2</v>
      </c>
    </row>
    <row r="495" spans="1:7">
      <c r="A495" s="150" t="s">
        <v>79</v>
      </c>
      <c r="B495" s="541">
        <f t="shared" si="47"/>
        <v>74.3804796021291</v>
      </c>
      <c r="C495" s="235">
        <f t="shared" si="48"/>
        <v>232.9992</v>
      </c>
      <c r="D495" s="235">
        <f t="shared" si="44"/>
        <v>307.3796796021291</v>
      </c>
      <c r="E495" s="82">
        <f t="shared" si="49"/>
        <v>34008.481072745562</v>
      </c>
      <c r="F495" s="558">
        <f t="shared" si="45"/>
        <v>9038.3242622518519</v>
      </c>
      <c r="G495" s="462">
        <f t="shared" si="46"/>
        <v>9.0383242622518525E-3</v>
      </c>
    </row>
    <row r="496" spans="1:7">
      <c r="A496" s="150" t="s">
        <v>80</v>
      </c>
      <c r="B496" s="541">
        <f t="shared" si="47"/>
        <v>113.21921266598306</v>
      </c>
      <c r="C496" s="235">
        <f t="shared" si="48"/>
        <v>302.29978333333338</v>
      </c>
      <c r="D496" s="235">
        <f t="shared" si="44"/>
        <v>415.51899599931642</v>
      </c>
      <c r="E496" s="82">
        <f t="shared" si="49"/>
        <v>34008.481072745562</v>
      </c>
      <c r="F496" s="558">
        <f t="shared" si="45"/>
        <v>12218.099217971656</v>
      </c>
      <c r="G496" s="462">
        <f t="shared" si="46"/>
        <v>1.2218099217971656E-2</v>
      </c>
    </row>
    <row r="497" spans="1:7">
      <c r="A497" s="150" t="s">
        <v>81</v>
      </c>
      <c r="B497" s="541">
        <f t="shared" si="47"/>
        <v>76.856270056612061</v>
      </c>
      <c r="C497" s="235">
        <f t="shared" si="48"/>
        <v>67.697699999999998</v>
      </c>
      <c r="D497" s="235">
        <f t="shared" si="44"/>
        <v>144.55397005661206</v>
      </c>
      <c r="E497" s="82">
        <f t="shared" si="49"/>
        <v>34008.481072745562</v>
      </c>
      <c r="F497" s="558">
        <f t="shared" si="45"/>
        <v>4250.5270890342053</v>
      </c>
      <c r="G497" s="462">
        <f t="shared" si="46"/>
        <v>4.250527089034205E-3</v>
      </c>
    </row>
    <row r="498" spans="1:7">
      <c r="A498" s="150" t="s">
        <v>82</v>
      </c>
      <c r="B498" s="541">
        <f t="shared" si="47"/>
        <v>0.54330655842909081</v>
      </c>
      <c r="C498" s="235">
        <f t="shared" si="48"/>
        <v>1.4619499999999999</v>
      </c>
      <c r="D498" s="235">
        <f t="shared" si="44"/>
        <v>2.0052565584290907</v>
      </c>
      <c r="E498" s="82">
        <f t="shared" si="49"/>
        <v>34008.481072745562</v>
      </c>
      <c r="F498" s="558">
        <f t="shared" si="45"/>
        <v>58.963426038927267</v>
      </c>
      <c r="G498" s="462">
        <f t="shared" si="46"/>
        <v>5.8963426038927266E-5</v>
      </c>
    </row>
    <row r="499" spans="1:7">
      <c r="A499" s="150" t="s">
        <v>213</v>
      </c>
      <c r="B499" s="541">
        <f t="shared" si="47"/>
        <v>784.06072473865356</v>
      </c>
      <c r="C499" s="235">
        <f>$F$479</f>
        <v>1829.2190000000001</v>
      </c>
      <c r="D499" s="235">
        <f t="shared" si="44"/>
        <v>2613.2797247386534</v>
      </c>
      <c r="E499" s="82">
        <f t="shared" si="49"/>
        <v>34008.481072745562</v>
      </c>
      <c r="F499" s="558">
        <f t="shared" si="45"/>
        <v>76842.000651212235</v>
      </c>
      <c r="G499" s="462">
        <f t="shared" si="46"/>
        <v>7.6842000651212231E-2</v>
      </c>
    </row>
    <row r="500" spans="1:7">
      <c r="A500" s="150" t="s">
        <v>96</v>
      </c>
      <c r="B500" s="541">
        <f t="shared" si="47"/>
        <v>2087.7551020408168</v>
      </c>
      <c r="C500" s="235">
        <v>0</v>
      </c>
      <c r="D500" s="235">
        <f t="shared" si="44"/>
        <v>2087.7551020408168</v>
      </c>
      <c r="E500" s="82">
        <f t="shared" si="49"/>
        <v>34008.481072745562</v>
      </c>
      <c r="F500" s="558">
        <f t="shared" si="45"/>
        <v>61389.248686967861</v>
      </c>
      <c r="G500" s="462">
        <f t="shared" si="46"/>
        <v>6.1389248686967858E-2</v>
      </c>
    </row>
    <row r="501" spans="1:7">
      <c r="A501" s="582" t="s">
        <v>97</v>
      </c>
      <c r="B501" s="541">
        <f t="shared" si="47"/>
        <v>2871.8158267794706</v>
      </c>
      <c r="C501" s="235">
        <f>C499+C500</f>
        <v>1829.2190000000001</v>
      </c>
      <c r="D501" s="235">
        <f t="shared" si="44"/>
        <v>4701.0348267794707</v>
      </c>
      <c r="E501" s="82">
        <f t="shared" si="49"/>
        <v>34008.481072745562</v>
      </c>
      <c r="F501" s="597">
        <f t="shared" si="45"/>
        <v>138231.24933818009</v>
      </c>
      <c r="G501" s="583">
        <f t="shared" si="46"/>
        <v>0.1382312493381801</v>
      </c>
    </row>
    <row r="502" spans="1:7">
      <c r="A502" s="186" t="s">
        <v>84</v>
      </c>
      <c r="B502" s="541">
        <f t="shared" si="47"/>
        <v>0.31337051447183795</v>
      </c>
      <c r="C502" s="235">
        <f>F480</f>
        <v>2.6088999999999998</v>
      </c>
      <c r="D502" s="235">
        <f t="shared" si="44"/>
        <v>2.9222705144718377</v>
      </c>
      <c r="E502" s="82">
        <f t="shared" si="49"/>
        <v>34008.481072745562</v>
      </c>
      <c r="F502" s="558">
        <f t="shared" si="45"/>
        <v>85.927698688482408</v>
      </c>
      <c r="G502" s="462">
        <f t="shared" si="46"/>
        <v>8.5927698688482415E-5</v>
      </c>
    </row>
    <row r="503" spans="1:7">
      <c r="A503" s="150" t="s">
        <v>85</v>
      </c>
      <c r="B503" s="541">
        <f t="shared" si="47"/>
        <v>0</v>
      </c>
      <c r="C503" s="235">
        <f>F481</f>
        <v>124.30895555555556</v>
      </c>
      <c r="D503" s="235">
        <f t="shared" si="44"/>
        <v>124.30895555555556</v>
      </c>
      <c r="E503" s="82">
        <f t="shared" si="49"/>
        <v>34008.481072745562</v>
      </c>
      <c r="F503" s="558">
        <f t="shared" si="45"/>
        <v>3655.2339779496033</v>
      </c>
      <c r="G503" s="462">
        <f t="shared" si="46"/>
        <v>3.6552339779496032E-3</v>
      </c>
    </row>
    <row r="504" spans="1:7" ht="14.65" thickBot="1">
      <c r="A504" s="152" t="s">
        <v>86</v>
      </c>
      <c r="B504" s="542">
        <f>B429</f>
        <v>10.529262776259667</v>
      </c>
      <c r="C504" s="236">
        <f>F482</f>
        <v>53.472999999999999</v>
      </c>
      <c r="D504" s="236">
        <f t="shared" si="44"/>
        <v>64.00226277625967</v>
      </c>
      <c r="E504" s="237">
        <f>$C$391+$D$462</f>
        <v>34008.481072745562</v>
      </c>
      <c r="F504" s="559">
        <f t="shared" si="45"/>
        <v>1881.9500535574098</v>
      </c>
      <c r="G504" s="464">
        <f t="shared" si="46"/>
        <v>1.8819500535574099E-3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2871.8158267794706</v>
      </c>
      <c r="C512" s="501">
        <f>$C$391</f>
        <v>9508.4810727455588</v>
      </c>
      <c r="D512" s="227">
        <f>B512/C512*1000000</f>
        <v>302026.7700811901</v>
      </c>
      <c r="E512" s="475">
        <f>D512/1000000</f>
        <v>0.30202677008119011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0">D513/1000000</f>
        <v>7.4662000000000006E-2</v>
      </c>
    </row>
    <row r="514" spans="1:5">
      <c r="A514" s="478" t="s">
        <v>150</v>
      </c>
      <c r="B514" s="480">
        <f>C514*31/98</f>
        <v>1987.2090667787345</v>
      </c>
      <c r="C514" s="587">
        <v>6282.1447917521282</v>
      </c>
      <c r="D514" s="229">
        <f>B514/C514*1000000</f>
        <v>316326.53061224491</v>
      </c>
      <c r="E514" s="476">
        <f t="shared" si="50"/>
        <v>0.31632653061224492</v>
      </c>
    </row>
    <row r="515" spans="1:5" ht="14.65" thickBot="1">
      <c r="A515" s="479" t="s">
        <v>306</v>
      </c>
      <c r="B515" s="162">
        <f>SUM($B$512:$B$514)</f>
        <v>6688.2438935582049</v>
      </c>
      <c r="C515" s="503">
        <f>SUM($C$512:$C$514)</f>
        <v>40290.625864497692</v>
      </c>
      <c r="D515" s="588">
        <f>B515/C515*1000000</f>
        <v>166000.00000128039</v>
      </c>
      <c r="E515" s="584">
        <f t="shared" si="50"/>
        <v>0.1660000000012804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6282.1447917521282</v>
      </c>
    </row>
    <row r="520" spans="1:5">
      <c r="A520" s="257" t="s">
        <v>436</v>
      </c>
      <c r="B520" s="178" t="s">
        <v>35</v>
      </c>
      <c r="C520" s="84">
        <f>C519/75%*25%</f>
        <v>2094.0482639173761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8376.1930556695042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9508.4810727455588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6282.1447917521282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40290.625864497692</v>
      </c>
    </row>
    <row r="537" spans="1:3">
      <c r="A537" s="276" t="s">
        <v>345</v>
      </c>
      <c r="B537" s="296" t="s">
        <v>35</v>
      </c>
      <c r="C537" s="342">
        <f>C536/C527*C528</f>
        <v>49244.098278830519</v>
      </c>
    </row>
    <row r="538" spans="1:3">
      <c r="A538" s="257" t="s">
        <v>342</v>
      </c>
      <c r="B538" s="278" t="s">
        <v>35</v>
      </c>
      <c r="C538" s="347">
        <f>$C$400</f>
        <v>42775.056305732483</v>
      </c>
    </row>
    <row r="539" spans="1:3">
      <c r="A539" s="257" t="s">
        <v>436</v>
      </c>
      <c r="B539" s="278" t="s">
        <v>35</v>
      </c>
      <c r="C539" s="347">
        <f>$C$520</f>
        <v>2094.0482639173761</v>
      </c>
    </row>
    <row r="540" spans="1:3" ht="14.65" thickBot="1">
      <c r="A540" s="670" t="s">
        <v>363</v>
      </c>
      <c r="B540" s="713" t="s">
        <v>35</v>
      </c>
      <c r="C540" s="671">
        <f>C537-C538-C539</f>
        <v>4374.9937091806596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6469.0419730980357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52283.537378478046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8376.1930556695042</v>
      </c>
    </row>
    <row r="549" spans="1:3" ht="14.65" thickBot="1">
      <c r="A549" s="339" t="s">
        <v>363</v>
      </c>
      <c r="B549" s="271" t="s">
        <v>35</v>
      </c>
      <c r="C549" s="340">
        <f>$C$540</f>
        <v>4374.9937091806596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52283.537378478046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8376.1930556695042</v>
      </c>
    </row>
    <row r="557" spans="1:3">
      <c r="A557" s="375" t="s">
        <v>363</v>
      </c>
      <c r="B557" s="287" t="s">
        <v>35</v>
      </c>
      <c r="C557" s="279">
        <f>$C$540</f>
        <v>4374.9937091806596</v>
      </c>
    </row>
    <row r="558" spans="1:3" ht="14.65" thickBot="1">
      <c r="A558" s="689" t="s">
        <v>305</v>
      </c>
      <c r="B558" s="677" t="s">
        <v>35</v>
      </c>
      <c r="C558" s="256">
        <f>SUM(C553:C557)</f>
        <v>89534.724143328203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9508.4810727455588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6282.1447917521282</v>
      </c>
    </row>
    <row r="566" spans="1:3">
      <c r="A566" s="257" t="s">
        <v>309</v>
      </c>
      <c r="B566" s="287" t="s">
        <v>35</v>
      </c>
      <c r="C566" s="279">
        <f>C562+C563+C564+C565</f>
        <v>40290.625864497692</v>
      </c>
    </row>
    <row r="567" spans="1:3">
      <c r="A567" s="257" t="s">
        <v>305</v>
      </c>
      <c r="B567" s="287" t="s">
        <v>35</v>
      </c>
      <c r="C567" s="279">
        <f>$C$558</f>
        <v>89534.724143328203</v>
      </c>
    </row>
    <row r="568" spans="1:3">
      <c r="A568" s="299" t="s">
        <v>64</v>
      </c>
      <c r="B568" s="258" t="s">
        <v>24</v>
      </c>
      <c r="C568" s="300">
        <f>C566/C567</f>
        <v>0.45</v>
      </c>
    </row>
    <row r="569" spans="1:3">
      <c r="A569" s="68" t="s">
        <v>436</v>
      </c>
      <c r="B569" s="287" t="s">
        <v>35</v>
      </c>
      <c r="C569" s="279">
        <f>C539</f>
        <v>2094.0482639173761</v>
      </c>
    </row>
    <row r="570" spans="1:3">
      <c r="A570" s="375" t="s">
        <v>363</v>
      </c>
      <c r="B570" s="287" t="s">
        <v>35</v>
      </c>
      <c r="C570" s="279">
        <f>$C$540</f>
        <v>4374.9937091806596</v>
      </c>
    </row>
    <row r="571" spans="1:3">
      <c r="A571" s="257" t="s">
        <v>342</v>
      </c>
      <c r="B571" s="287" t="s">
        <v>35</v>
      </c>
      <c r="C571" s="279">
        <f>$C$400</f>
        <v>42775.056305732483</v>
      </c>
    </row>
    <row r="572" spans="1:3">
      <c r="A572" s="257" t="s">
        <v>345</v>
      </c>
      <c r="B572" s="287" t="s">
        <v>35</v>
      </c>
      <c r="C572" s="279">
        <f>C569+C570+C571</f>
        <v>49244.098278830519</v>
      </c>
    </row>
    <row r="573" spans="1:3">
      <c r="A573" s="257" t="s">
        <v>305</v>
      </c>
      <c r="B573" s="287" t="s">
        <v>35</v>
      </c>
      <c r="C573" s="279">
        <f>$C$558</f>
        <v>89534.724143328203</v>
      </c>
    </row>
    <row r="574" spans="1:3" ht="14.65" thickBot="1">
      <c r="A574" s="301" t="s">
        <v>66</v>
      </c>
      <c r="B574" s="259" t="s">
        <v>24</v>
      </c>
      <c r="C574" s="303">
        <f>C572/C573</f>
        <v>0.55000000000000004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289.79432334701596</v>
      </c>
      <c r="C580" s="378">
        <f>F468</f>
        <v>1547.5740000000001</v>
      </c>
      <c r="D580" s="378">
        <v>0</v>
      </c>
      <c r="E580" s="378">
        <f>B580+C580+D580</f>
        <v>1837.368323347016</v>
      </c>
      <c r="F580" s="657">
        <f t="shared" ref="F580:F594" si="51">$C$566</f>
        <v>40290.625864497692</v>
      </c>
      <c r="G580" s="634">
        <f>E580/F580*1000000</f>
        <v>45602.873718723327</v>
      </c>
      <c r="H580" s="481">
        <f>G580/1000000</f>
        <v>4.5602873718723326E-2</v>
      </c>
    </row>
    <row r="581" spans="1:8">
      <c r="A581" s="149" t="s">
        <v>73</v>
      </c>
      <c r="B581" s="592">
        <f>B489</f>
        <v>0.28459309992772924</v>
      </c>
      <c r="C581" s="364">
        <f>F469</f>
        <v>0.61250000000000004</v>
      </c>
      <c r="D581" s="364">
        <v>0</v>
      </c>
      <c r="E581" s="364">
        <f t="shared" ref="E581:E594" si="52">B581+C581+D581</f>
        <v>0.89709309992772934</v>
      </c>
      <c r="F581" s="658">
        <f t="shared" si="51"/>
        <v>40290.625864497692</v>
      </c>
      <c r="G581" s="558">
        <f t="shared" ref="G581:G593" si="53">E581/F581*1000000</f>
        <v>22.265553852272323</v>
      </c>
      <c r="H581" s="462">
        <f t="shared" ref="H581:H594" si="54">G581/1000000</f>
        <v>2.2265553852272324E-5</v>
      </c>
    </row>
    <row r="582" spans="1:8">
      <c r="A582" s="149" t="s">
        <v>74</v>
      </c>
      <c r="B582" s="592">
        <f t="shared" ref="B582:B584" si="55">B490</f>
        <v>478.37219712488445</v>
      </c>
      <c r="C582" s="364">
        <f t="shared" ref="C582:C593" si="56">F470</f>
        <v>2275.1098999999999</v>
      </c>
      <c r="D582" s="364">
        <v>0</v>
      </c>
      <c r="E582" s="364">
        <f t="shared" si="52"/>
        <v>2753.4820971248846</v>
      </c>
      <c r="F582" s="658">
        <f t="shared" si="51"/>
        <v>40290.625864497692</v>
      </c>
      <c r="G582" s="558">
        <f t="shared" si="53"/>
        <v>68340.514401170687</v>
      </c>
      <c r="H582" s="462">
        <f t="shared" si="54"/>
        <v>6.8340514401170685E-2</v>
      </c>
    </row>
    <row r="583" spans="1:8">
      <c r="A583" s="149" t="s">
        <v>75</v>
      </c>
      <c r="B583" s="592">
        <f t="shared" si="55"/>
        <v>3.9699845505553055E-4</v>
      </c>
      <c r="C583" s="364">
        <f t="shared" si="56"/>
        <v>5.2499999999999998E-2</v>
      </c>
      <c r="D583" s="364">
        <v>0</v>
      </c>
      <c r="E583" s="364">
        <f t="shared" si="52"/>
        <v>5.2896998455055529E-2</v>
      </c>
      <c r="F583" s="658">
        <f t="shared" si="51"/>
        <v>40290.625864497692</v>
      </c>
      <c r="G583" s="558">
        <f t="shared" si="53"/>
        <v>1.3128859956892853</v>
      </c>
      <c r="H583" s="462">
        <f t="shared" si="54"/>
        <v>1.3128859956892854E-6</v>
      </c>
    </row>
    <row r="584" spans="1:8">
      <c r="A584" s="149" t="s">
        <v>76</v>
      </c>
      <c r="B584" s="592">
        <f t="shared" si="55"/>
        <v>0.57445446857278615</v>
      </c>
      <c r="C584" s="364">
        <f t="shared" si="56"/>
        <v>1.9698</v>
      </c>
      <c r="D584" s="364">
        <v>0</v>
      </c>
      <c r="E584" s="364">
        <f t="shared" si="52"/>
        <v>2.5442544685727864</v>
      </c>
      <c r="F584" s="658">
        <f t="shared" si="51"/>
        <v>40290.625864497692</v>
      </c>
      <c r="G584" s="558">
        <f t="shared" si="53"/>
        <v>63.147553903218729</v>
      </c>
      <c r="H584" s="462">
        <f t="shared" si="54"/>
        <v>6.3147553903218726E-5</v>
      </c>
    </row>
    <row r="585" spans="1:8">
      <c r="A585" s="150" t="s">
        <v>77</v>
      </c>
      <c r="B585" s="592">
        <f>B493</f>
        <v>1.7100073055854823</v>
      </c>
      <c r="C585" s="364">
        <f t="shared" si="56"/>
        <v>19.295499999999997</v>
      </c>
      <c r="D585" s="364">
        <v>0</v>
      </c>
      <c r="E585" s="364">
        <f t="shared" si="52"/>
        <v>21.005507305585478</v>
      </c>
      <c r="F585" s="658">
        <f t="shared" si="51"/>
        <v>40290.625864497692</v>
      </c>
      <c r="G585" s="558">
        <f t="shared" si="53"/>
        <v>521.34973966970801</v>
      </c>
      <c r="H585" s="462">
        <f t="shared" si="54"/>
        <v>5.2134973966970802E-4</v>
      </c>
    </row>
    <row r="586" spans="1:8">
      <c r="A586" s="150" t="s">
        <v>78</v>
      </c>
      <c r="B586" s="592">
        <f>B494</f>
        <v>578.60487664468883</v>
      </c>
      <c r="C586" s="364">
        <f t="shared" si="56"/>
        <v>2077.7049999999999</v>
      </c>
      <c r="D586" s="364">
        <v>0</v>
      </c>
      <c r="E586" s="364">
        <f t="shared" si="52"/>
        <v>2656.3098766446888</v>
      </c>
      <c r="F586" s="658">
        <f t="shared" si="51"/>
        <v>40290.625864497692</v>
      </c>
      <c r="G586" s="558">
        <f t="shared" si="53"/>
        <v>65928.732047454017</v>
      </c>
      <c r="H586" s="462">
        <f t="shared" si="54"/>
        <v>6.5928732047454017E-2</v>
      </c>
    </row>
    <row r="587" spans="1:8">
      <c r="A587" s="150" t="s">
        <v>79</v>
      </c>
      <c r="B587" s="592">
        <f>B495</f>
        <v>74.3804796021291</v>
      </c>
      <c r="C587" s="364">
        <f t="shared" si="56"/>
        <v>232.9992</v>
      </c>
      <c r="D587" s="364">
        <v>0</v>
      </c>
      <c r="E587" s="364">
        <f t="shared" si="52"/>
        <v>307.3796796021291</v>
      </c>
      <c r="F587" s="658">
        <f t="shared" si="51"/>
        <v>40290.625864497692</v>
      </c>
      <c r="G587" s="558">
        <f t="shared" si="53"/>
        <v>7629.0619221425004</v>
      </c>
      <c r="H587" s="462">
        <f t="shared" si="54"/>
        <v>7.6290619221425007E-3</v>
      </c>
    </row>
    <row r="588" spans="1:8">
      <c r="A588" s="150" t="s">
        <v>80</v>
      </c>
      <c r="B588" s="592">
        <f>B496</f>
        <v>113.21921266598306</v>
      </c>
      <c r="C588" s="364">
        <f t="shared" si="56"/>
        <v>302.29978333333338</v>
      </c>
      <c r="D588" s="364">
        <v>0</v>
      </c>
      <c r="E588" s="364">
        <f t="shared" si="52"/>
        <v>415.51899599931642</v>
      </c>
      <c r="F588" s="658">
        <f t="shared" si="51"/>
        <v>40290.625864497692</v>
      </c>
      <c r="G588" s="558">
        <f t="shared" si="53"/>
        <v>10313.043967019963</v>
      </c>
      <c r="H588" s="462">
        <f t="shared" si="54"/>
        <v>1.0313043967019963E-2</v>
      </c>
    </row>
    <row r="589" spans="1:8">
      <c r="A589" s="150" t="s">
        <v>81</v>
      </c>
      <c r="B589" s="592">
        <f>B497</f>
        <v>76.856270056612061</v>
      </c>
      <c r="C589" s="364">
        <f t="shared" si="56"/>
        <v>67.697699999999998</v>
      </c>
      <c r="D589" s="364">
        <v>0</v>
      </c>
      <c r="E589" s="364">
        <f t="shared" si="52"/>
        <v>144.55397005661206</v>
      </c>
      <c r="F589" s="658">
        <f t="shared" si="51"/>
        <v>40290.625864497692</v>
      </c>
      <c r="G589" s="558">
        <f t="shared" si="53"/>
        <v>3587.781697478832</v>
      </c>
      <c r="H589" s="462">
        <f t="shared" si="54"/>
        <v>3.587781697478832E-3</v>
      </c>
    </row>
    <row r="590" spans="1:8">
      <c r="A590" s="150" t="s">
        <v>82</v>
      </c>
      <c r="B590" s="592">
        <f t="shared" ref="B590" si="57">B498</f>
        <v>0.54330655842909081</v>
      </c>
      <c r="C590" s="364">
        <f t="shared" si="56"/>
        <v>1.4619499999999999</v>
      </c>
      <c r="D590" s="364">
        <v>0</v>
      </c>
      <c r="E590" s="364">
        <f t="shared" si="52"/>
        <v>2.0052565584290907</v>
      </c>
      <c r="F590" s="658">
        <f t="shared" si="51"/>
        <v>40290.625864497692</v>
      </c>
      <c r="G590" s="558">
        <f t="shared" si="53"/>
        <v>49.769804151789899</v>
      </c>
      <c r="H590" s="462">
        <f t="shared" si="54"/>
        <v>4.97698041517899E-5</v>
      </c>
    </row>
    <row r="591" spans="1:8">
      <c r="A591" s="350" t="s">
        <v>154</v>
      </c>
      <c r="B591" s="592">
        <f>B501</f>
        <v>2871.8158267794706</v>
      </c>
      <c r="C591" s="364">
        <f t="shared" si="56"/>
        <v>1829.2190000000001</v>
      </c>
      <c r="D591" s="364">
        <f>$B$514</f>
        <v>1987.2090667787345</v>
      </c>
      <c r="E591" s="364">
        <f t="shared" si="52"/>
        <v>6688.2438935582049</v>
      </c>
      <c r="F591" s="658">
        <f t="shared" si="51"/>
        <v>40290.625864497692</v>
      </c>
      <c r="G591" s="597">
        <f t="shared" si="53"/>
        <v>166000.00000128039</v>
      </c>
      <c r="H591" s="583">
        <f t="shared" si="54"/>
        <v>0.1660000000012804</v>
      </c>
    </row>
    <row r="592" spans="1:8">
      <c r="A592" s="398" t="s">
        <v>84</v>
      </c>
      <c r="B592" s="592">
        <f>B502</f>
        <v>0.31337051447183795</v>
      </c>
      <c r="C592" s="364">
        <f t="shared" si="56"/>
        <v>2.6088999999999998</v>
      </c>
      <c r="D592" s="364">
        <v>0</v>
      </c>
      <c r="E592" s="364">
        <f t="shared" si="52"/>
        <v>2.9222705144718377</v>
      </c>
      <c r="F592" s="658">
        <f t="shared" si="51"/>
        <v>40290.625864497692</v>
      </c>
      <c r="G592" s="558">
        <f t="shared" si="53"/>
        <v>72.529787060141274</v>
      </c>
      <c r="H592" s="462">
        <f t="shared" si="54"/>
        <v>7.2529787060141273E-5</v>
      </c>
    </row>
    <row r="593" spans="1:8">
      <c r="A593" s="398" t="s">
        <v>85</v>
      </c>
      <c r="B593" s="592">
        <f t="shared" ref="B593:B594" si="58">B503</f>
        <v>0</v>
      </c>
      <c r="C593" s="364">
        <f t="shared" si="56"/>
        <v>124.30895555555556</v>
      </c>
      <c r="D593" s="364">
        <v>0</v>
      </c>
      <c r="E593" s="364">
        <f t="shared" si="52"/>
        <v>124.30895555555556</v>
      </c>
      <c r="F593" s="658">
        <f t="shared" si="51"/>
        <v>40290.625864497692</v>
      </c>
      <c r="G593" s="558">
        <f t="shared" si="53"/>
        <v>3085.3071375367012</v>
      </c>
      <c r="H593" s="462">
        <f t="shared" si="54"/>
        <v>3.0853071375367015E-3</v>
      </c>
    </row>
    <row r="594" spans="1:8" ht="14.65" thickBot="1">
      <c r="A594" s="152" t="s">
        <v>86</v>
      </c>
      <c r="B594" s="659">
        <f t="shared" si="58"/>
        <v>10.529262776259667</v>
      </c>
      <c r="C594" s="379">
        <f>F482</f>
        <v>53.472999999999999</v>
      </c>
      <c r="D594" s="379">
        <v>0</v>
      </c>
      <c r="E594" s="379">
        <f t="shared" si="52"/>
        <v>64.00226277625967</v>
      </c>
      <c r="F594" s="660">
        <f t="shared" si="51"/>
        <v>40290.625864497692</v>
      </c>
      <c r="G594" s="559">
        <f>E594/F594*1000000</f>
        <v>1588.5149809165814</v>
      </c>
      <c r="H594" s="464">
        <f t="shared" si="54"/>
        <v>1.5885149809165813E-3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89534.724143328203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40290.625864497692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42411.185120523885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2120.5592560261962</v>
      </c>
    </row>
    <row r="610" spans="1:5" ht="14.65" thickBot="1">
      <c r="A610" s="689" t="s">
        <v>16</v>
      </c>
      <c r="B610" s="163" t="s">
        <v>35</v>
      </c>
      <c r="C610" s="690">
        <f>$C$572-C609</f>
        <v>47123.539022804325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140</v>
      </c>
      <c r="C613" s="1061"/>
      <c r="D613" s="1061"/>
      <c r="E613" s="1009"/>
    </row>
    <row r="614" spans="1:5" ht="14.65" hidden="1" thickBot="1">
      <c r="A614" s="487" t="s">
        <v>67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t="14.65" hidden="1" thickBot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3.9699845505553391E-4</v>
      </c>
      <c r="E616" s="507">
        <f>SUM(B616:D616)</f>
        <v>5.2896998455055529E-2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0.313370514471838</v>
      </c>
      <c r="E617" s="508">
        <f>SUM(B617:D617)</f>
        <v>2.9222705144718377</v>
      </c>
    </row>
    <row r="618" spans="1:5" ht="14.65" hidden="1" thickBot="1"/>
    <row r="619" spans="1:5" ht="14.65" thickBot="1">
      <c r="A619" s="512"/>
      <c r="B619" s="249" t="s">
        <v>18</v>
      </c>
      <c r="C619" s="249" t="s">
        <v>234</v>
      </c>
    </row>
    <row r="620" spans="1:5">
      <c r="A620" s="134" t="s">
        <v>232</v>
      </c>
      <c r="B620" s="509" t="s">
        <v>24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40290.625864497692</v>
      </c>
    </row>
    <row r="622" spans="1:5">
      <c r="A622" s="68" t="s">
        <v>349</v>
      </c>
      <c r="B622" s="510" t="s">
        <v>35</v>
      </c>
      <c r="C622" s="245">
        <f>C621*C620</f>
        <v>15310.437828509122</v>
      </c>
    </row>
    <row r="623" spans="1:5">
      <c r="A623" s="68" t="s">
        <v>350</v>
      </c>
      <c r="B623" s="510" t="s">
        <v>35</v>
      </c>
      <c r="C623" s="246">
        <f>E583</f>
        <v>5.2896998455055529E-2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3.4549631465507513</v>
      </c>
    </row>
    <row r="625" spans="1:4" ht="14.65" thickBot="1"/>
    <row r="626" spans="1:4" ht="14.65" thickBot="1">
      <c r="A626" s="212"/>
      <c r="B626" s="1010" t="s">
        <v>216</v>
      </c>
      <c r="C626" s="1005" t="s">
        <v>165</v>
      </c>
      <c r="D626" s="1012"/>
    </row>
    <row r="627" spans="1:4">
      <c r="A627" s="487" t="s">
        <v>67</v>
      </c>
      <c r="B627" s="1011"/>
      <c r="C627" s="3" t="s">
        <v>166</v>
      </c>
      <c r="D627" s="15" t="s">
        <v>167</v>
      </c>
    </row>
    <row r="628" spans="1:4" ht="14.65" thickBot="1">
      <c r="A628" s="133" t="s">
        <v>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22.265553852272323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3.4549631465507513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521.34973966970801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49.769804151789899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E592/C610*1000000</f>
        <v>62.012967936420772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1588.5149809165814</v>
      </c>
      <c r="C634" s="486">
        <f>Rohdaten!$F$25</f>
        <v>5000</v>
      </c>
      <c r="D634" s="237">
        <f>Rohdaten!$H$25</f>
        <v>1500</v>
      </c>
    </row>
  </sheetData>
  <mergeCells count="45">
    <mergeCell ref="D63:F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  <mergeCell ref="B199:C199"/>
    <mergeCell ref="B200:C200"/>
    <mergeCell ref="B285:F285"/>
    <mergeCell ref="G285:L285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I286:L286"/>
    <mergeCell ref="I287:J287"/>
    <mergeCell ref="K287:L287"/>
    <mergeCell ref="B405:D405"/>
    <mergeCell ref="E405:H405"/>
    <mergeCell ref="B432:D432"/>
    <mergeCell ref="E432:H432"/>
    <mergeCell ref="E433:F433"/>
    <mergeCell ref="G433:H433"/>
    <mergeCell ref="B465:C465"/>
    <mergeCell ref="D465:F465"/>
    <mergeCell ref="G578:H578"/>
    <mergeCell ref="B613:E613"/>
    <mergeCell ref="B626:B627"/>
    <mergeCell ref="C626:D626"/>
    <mergeCell ref="B485:E485"/>
    <mergeCell ref="F485:G485"/>
    <mergeCell ref="F486:G486"/>
    <mergeCell ref="D510:E510"/>
    <mergeCell ref="B577:F577"/>
    <mergeCell ref="G577:H577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K141"/>
  <sheetViews>
    <sheetView topLeftCell="A31" zoomScale="70" zoomScaleNormal="70" workbookViewId="0">
      <selection activeCell="G144" sqref="G144"/>
    </sheetView>
  </sheetViews>
  <sheetFormatPr baseColWidth="10" defaultColWidth="8.86328125" defaultRowHeight="14.25"/>
  <cols>
    <col min="1" max="1" width="46.73046875" style="824" customWidth="1"/>
    <col min="2" max="2" width="32.1328125" style="824" customWidth="1"/>
    <col min="3" max="3" width="33.53125" style="824" customWidth="1"/>
    <col min="4" max="4" width="32.46484375" style="824" customWidth="1"/>
    <col min="5" max="5" width="31.796875" style="824" customWidth="1"/>
    <col min="6" max="6" width="27.19921875" style="824" customWidth="1"/>
    <col min="7" max="7" width="29.19921875" style="824" customWidth="1"/>
    <col min="8" max="8" width="31.46484375" style="824" customWidth="1"/>
    <col min="9" max="9" width="30.19921875" style="824" customWidth="1"/>
    <col min="10" max="10" width="29.46484375" style="824" customWidth="1"/>
    <col min="11" max="11" width="26.796875" style="824" customWidth="1"/>
    <col min="12" max="12" width="22.6640625" style="824" customWidth="1"/>
    <col min="13" max="13" width="22" style="824" customWidth="1"/>
    <col min="14" max="14" width="20.86328125" style="824" customWidth="1"/>
    <col min="15" max="15" width="15.86328125" style="824" customWidth="1"/>
    <col min="16" max="16" width="14.46484375" style="824" customWidth="1"/>
    <col min="17" max="17" width="12.46484375" style="824" customWidth="1"/>
    <col min="18" max="18" width="17.796875" style="824" customWidth="1"/>
    <col min="19" max="19" width="19.1328125" style="824" customWidth="1"/>
    <col min="20" max="16384" width="8.86328125" style="824"/>
  </cols>
  <sheetData>
    <row r="1" spans="1:4" ht="14.65" hidden="1" thickBot="1">
      <c r="A1" s="1131" t="s">
        <v>0</v>
      </c>
      <c r="B1" s="1132"/>
    </row>
    <row r="2" spans="1:4" hidden="1">
      <c r="A2" s="943" t="s">
        <v>1</v>
      </c>
      <c r="B2" s="1133" t="s">
        <v>2</v>
      </c>
      <c r="C2" s="1134"/>
    </row>
    <row r="3" spans="1:4" hidden="1">
      <c r="A3" s="1135" t="s">
        <v>3</v>
      </c>
      <c r="B3" s="1136" t="s">
        <v>4</v>
      </c>
      <c r="C3" s="895"/>
    </row>
    <row r="4" spans="1:4" hidden="1">
      <c r="A4" s="1135" t="s">
        <v>609</v>
      </c>
      <c r="B4" s="1137"/>
    </row>
    <row r="5" spans="1:4" hidden="1">
      <c r="A5" s="1135" t="s">
        <v>610</v>
      </c>
      <c r="B5" s="1137"/>
    </row>
    <row r="6" spans="1:4" ht="14.65" hidden="1" thickBot="1">
      <c r="A6" s="1138" t="s">
        <v>602</v>
      </c>
      <c r="B6" s="1139"/>
    </row>
    <row r="7" spans="1:4" hidden="1"/>
    <row r="8" spans="1:4" ht="14.65" hidden="1" thickBot="1">
      <c r="A8" s="1131" t="s">
        <v>5</v>
      </c>
      <c r="B8" s="1132"/>
    </row>
    <row r="9" spans="1:4" hidden="1">
      <c r="A9" s="943" t="s">
        <v>1</v>
      </c>
      <c r="B9" s="1133" t="s">
        <v>2</v>
      </c>
    </row>
    <row r="10" spans="1:4" hidden="1">
      <c r="A10" s="1135" t="s">
        <v>4</v>
      </c>
      <c r="B10" s="1136" t="s">
        <v>6</v>
      </c>
    </row>
    <row r="11" spans="1:4" ht="14.65" hidden="1" thickBot="1">
      <c r="A11" s="1138" t="s">
        <v>7</v>
      </c>
      <c r="B11" s="1139"/>
    </row>
    <row r="12" spans="1:4" hidden="1"/>
    <row r="13" spans="1:4" ht="14.65" hidden="1" thickBot="1">
      <c r="A13" s="1131" t="s">
        <v>8</v>
      </c>
      <c r="B13" s="1131"/>
    </row>
    <row r="14" spans="1:4" hidden="1">
      <c r="A14" s="943" t="s">
        <v>1</v>
      </c>
      <c r="B14" s="1133" t="s">
        <v>2</v>
      </c>
    </row>
    <row r="15" spans="1:4" hidden="1">
      <c r="A15" s="1135" t="s">
        <v>6</v>
      </c>
      <c r="B15" s="1136" t="s">
        <v>9</v>
      </c>
    </row>
    <row r="16" spans="1:4" ht="14.65" hidden="1" thickBot="1">
      <c r="A16" s="1138" t="s">
        <v>10</v>
      </c>
      <c r="B16" s="1140" t="s">
        <v>11</v>
      </c>
    </row>
    <row r="17" spans="1:2" hidden="1"/>
    <row r="18" spans="1:2" ht="14.65" hidden="1" thickBot="1">
      <c r="A18" s="1131" t="s">
        <v>12</v>
      </c>
      <c r="B18" s="1131"/>
    </row>
    <row r="19" spans="1:2" hidden="1">
      <c r="A19" s="943" t="s">
        <v>1</v>
      </c>
      <c r="B19" s="1133" t="s">
        <v>2</v>
      </c>
    </row>
    <row r="20" spans="1:2" hidden="1">
      <c r="A20" s="1135" t="s">
        <v>9</v>
      </c>
      <c r="B20" s="1136" t="s">
        <v>305</v>
      </c>
    </row>
    <row r="21" spans="1:2" hidden="1">
      <c r="A21" s="1135" t="s">
        <v>607</v>
      </c>
      <c r="B21" s="1137"/>
    </row>
    <row r="22" spans="1:2" hidden="1">
      <c r="A22" s="1135" t="s">
        <v>605</v>
      </c>
      <c r="B22" s="1137"/>
    </row>
    <row r="23" spans="1:2" hidden="1">
      <c r="A23" s="1135" t="s">
        <v>13</v>
      </c>
      <c r="B23" s="1137"/>
    </row>
    <row r="24" spans="1:2" ht="14.65" hidden="1" thickBot="1">
      <c r="A24" s="1138" t="s">
        <v>14</v>
      </c>
      <c r="B24" s="1139"/>
    </row>
    <row r="25" spans="1:2" hidden="1"/>
    <row r="26" spans="1:2" ht="14.65" hidden="1" thickBot="1">
      <c r="A26" s="1131" t="s">
        <v>15</v>
      </c>
      <c r="B26" s="1131"/>
    </row>
    <row r="27" spans="1:2" ht="14.65" hidden="1" thickBot="1">
      <c r="A27" s="943" t="s">
        <v>1</v>
      </c>
      <c r="B27" s="1133" t="s">
        <v>2</v>
      </c>
    </row>
    <row r="28" spans="1:2" hidden="1">
      <c r="A28" s="1141" t="s">
        <v>305</v>
      </c>
      <c r="B28" s="1142" t="s">
        <v>16</v>
      </c>
    </row>
    <row r="29" spans="1:2" ht="14.65" hidden="1" thickBot="1">
      <c r="A29" s="1143"/>
      <c r="B29" s="1140" t="s">
        <v>17</v>
      </c>
    </row>
    <row r="30" spans="1:2" hidden="1"/>
    <row r="70" spans="1:3" ht="14.65" thickBot="1">
      <c r="A70" s="1131" t="s">
        <v>601</v>
      </c>
      <c r="B70" s="1131"/>
      <c r="C70" s="1131"/>
    </row>
    <row r="71" spans="1:3" ht="14.65" thickBot="1">
      <c r="A71" s="1144" t="s">
        <v>586</v>
      </c>
      <c r="B71" s="1145"/>
      <c r="C71" s="1146"/>
    </row>
    <row r="72" spans="1:3">
      <c r="A72" s="943" t="s">
        <v>366</v>
      </c>
      <c r="B72" s="1147" t="s">
        <v>19</v>
      </c>
      <c r="C72" s="1148">
        <f>Rohdaten!C51</f>
        <v>2.8340000000000001</v>
      </c>
    </row>
    <row r="73" spans="1:3">
      <c r="A73" s="1149" t="s">
        <v>338</v>
      </c>
      <c r="B73" s="1150" t="s">
        <v>20</v>
      </c>
      <c r="C73" s="1151">
        <f>Rohdaten!C52</f>
        <v>1.5</v>
      </c>
    </row>
    <row r="74" spans="1:3">
      <c r="A74" s="1149" t="s">
        <v>329</v>
      </c>
      <c r="B74" s="1150" t="s">
        <v>21</v>
      </c>
      <c r="C74" s="1151">
        <f>Rohdaten!C49</f>
        <v>0.3</v>
      </c>
    </row>
    <row r="75" spans="1:3">
      <c r="A75" s="1149" t="s">
        <v>330</v>
      </c>
      <c r="B75" s="1150" t="s">
        <v>22</v>
      </c>
      <c r="C75" s="1151">
        <f>Rohdaten!C50</f>
        <v>0.55000000000000004</v>
      </c>
    </row>
    <row r="76" spans="1:3" ht="14.65" thickBot="1">
      <c r="A76" s="1152" t="s">
        <v>23</v>
      </c>
      <c r="B76" s="1153" t="s">
        <v>24</v>
      </c>
      <c r="C76" s="1154">
        <f>Rohdaten!C53</f>
        <v>1.7</v>
      </c>
    </row>
    <row r="78" spans="1:3" ht="14.65" thickBot="1">
      <c r="A78" s="1131" t="s">
        <v>600</v>
      </c>
      <c r="B78" s="1131"/>
      <c r="C78" s="1131"/>
    </row>
    <row r="79" spans="1:3">
      <c r="A79" s="943" t="s">
        <v>26</v>
      </c>
      <c r="B79" s="944" t="s">
        <v>27</v>
      </c>
      <c r="C79" s="1155" t="s">
        <v>355</v>
      </c>
    </row>
    <row r="80" spans="1:3" ht="14.65" thickBot="1">
      <c r="A80" s="1152" t="s">
        <v>237</v>
      </c>
      <c r="B80" s="1156" t="s">
        <v>237</v>
      </c>
      <c r="C80" s="1157" t="s">
        <v>237</v>
      </c>
    </row>
    <row r="81" spans="1:6" ht="14.65" thickBot="1">
      <c r="A81" s="1158">
        <v>0.62634496250407568</v>
      </c>
      <c r="B81" s="949">
        <v>0.37365503749592438</v>
      </c>
      <c r="C81" s="1159">
        <v>0.4094383112944317</v>
      </c>
    </row>
    <row r="82" spans="1:6">
      <c r="A82" s="1160"/>
      <c r="B82" s="895"/>
      <c r="C82" s="1161"/>
      <c r="D82" s="1161"/>
      <c r="E82" s="1162"/>
    </row>
    <row r="83" spans="1:6">
      <c r="A83" s="1163"/>
      <c r="B83" s="824" t="s">
        <v>595</v>
      </c>
      <c r="C83" s="1161"/>
      <c r="D83" s="1161"/>
      <c r="E83" s="1162"/>
    </row>
    <row r="84" spans="1:6">
      <c r="A84" s="1164"/>
      <c r="B84" s="824" t="s">
        <v>594</v>
      </c>
      <c r="C84" s="1161"/>
      <c r="D84" s="1161"/>
      <c r="E84" s="1162"/>
    </row>
    <row r="85" spans="1:6">
      <c r="A85" s="1165"/>
      <c r="B85" s="824" t="s">
        <v>596</v>
      </c>
      <c r="C85" s="1161"/>
      <c r="D85" s="1161"/>
      <c r="E85" s="1162"/>
    </row>
    <row r="86" spans="1:6">
      <c r="A86" s="1166"/>
      <c r="B86" s="1166"/>
      <c r="C86" s="1166"/>
      <c r="D86" s="1166"/>
    </row>
    <row r="87" spans="1:6" ht="14.65" thickBot="1">
      <c r="A87" s="1131" t="s">
        <v>0</v>
      </c>
      <c r="B87" s="1132"/>
      <c r="C87" s="1132"/>
      <c r="D87" s="1132"/>
      <c r="E87" s="1132"/>
      <c r="F87" s="1132"/>
    </row>
    <row r="88" spans="1:6">
      <c r="A88" s="1167"/>
      <c r="B88" s="1168" t="s">
        <v>597</v>
      </c>
      <c r="C88" s="1168"/>
      <c r="D88" s="1168"/>
      <c r="E88" s="1169"/>
      <c r="F88" s="1170" t="s">
        <v>598</v>
      </c>
    </row>
    <row r="89" spans="1:6">
      <c r="A89" s="655" t="s">
        <v>31</v>
      </c>
      <c r="B89" s="1171" t="s">
        <v>603</v>
      </c>
      <c r="C89" s="1172" t="s">
        <v>604</v>
      </c>
      <c r="D89" s="1172" t="s">
        <v>331</v>
      </c>
      <c r="E89" s="1172" t="s">
        <v>649</v>
      </c>
      <c r="F89" s="1173" t="s">
        <v>4</v>
      </c>
    </row>
    <row r="90" spans="1:6" ht="14.65" thickBot="1">
      <c r="A90" s="1174" t="s">
        <v>18</v>
      </c>
      <c r="B90" s="1175" t="s">
        <v>35</v>
      </c>
      <c r="C90" s="1176" t="s">
        <v>35</v>
      </c>
      <c r="D90" s="1177" t="s">
        <v>35</v>
      </c>
      <c r="E90" s="1177" t="s">
        <v>35</v>
      </c>
      <c r="F90" s="1178" t="s">
        <v>35</v>
      </c>
    </row>
    <row r="91" spans="1:6">
      <c r="A91" s="1179" t="s">
        <v>589</v>
      </c>
      <c r="B91" s="1180">
        <f>'P-Ex(Sze.1 SEFoV mit F HS)'!ISH</f>
        <v>12000</v>
      </c>
      <c r="C91" s="1181">
        <v>0</v>
      </c>
      <c r="D91" s="1182">
        <f>'P-Ex(Sze.1 SEFoV mit F HS)'!C30</f>
        <v>27708</v>
      </c>
      <c r="E91" s="1182">
        <f>'P-Ex(Sze.1 SEFoV mit F HS)'!C35</f>
        <v>16500</v>
      </c>
      <c r="F91" s="1183">
        <f>'P-Ex(Sze.1 SEFoV mit F HS)'!C63</f>
        <v>56208</v>
      </c>
    </row>
    <row r="92" spans="1:6">
      <c r="A92" s="897" t="s">
        <v>590</v>
      </c>
      <c r="B92" s="1184">
        <f>'P-Ex(Sze.2 SEFoV ohne F HS)'!ISH</f>
        <v>12000</v>
      </c>
      <c r="C92" s="1185">
        <v>0</v>
      </c>
      <c r="D92" s="1186">
        <f>'P-Ex(Sze.2 SEFoV ohne F HS)'!C30</f>
        <v>27708</v>
      </c>
      <c r="E92" s="1186">
        <f>'P-Ex(Sze.2 SEFoV ohne F HS)'!C35</f>
        <v>16500</v>
      </c>
      <c r="F92" s="1187">
        <f>'P-Ex(Sze.2 SEFoV ohne F HS)'!C63</f>
        <v>56208</v>
      </c>
    </row>
    <row r="93" spans="1:6" ht="14.65" thickBot="1">
      <c r="A93" s="1174" t="s">
        <v>591</v>
      </c>
      <c r="B93" s="1188">
        <f>'P-Ex(Sze.3 SEFmV mit F HS)'!ISH</f>
        <v>12000</v>
      </c>
      <c r="C93" s="1189">
        <f>'P-Ex(Sze.3 SEFmV mit F HS)'!SEF</f>
        <v>7000</v>
      </c>
      <c r="D93" s="1177">
        <f>'P-Ex(Sze.3 SEFmV mit F HS)'!C30</f>
        <v>43871</v>
      </c>
      <c r="E93" s="1177">
        <f>'P-Ex(Sze.3 SEFmV mit F HS)'!C35</f>
        <v>26125</v>
      </c>
      <c r="F93" s="1178">
        <f>'P-Ex(Sze.3 SEFmV mit F HS)'!C63</f>
        <v>88996</v>
      </c>
    </row>
    <row r="95" spans="1:6" ht="14.65" thickBot="1">
      <c r="A95" s="1131" t="s">
        <v>5</v>
      </c>
      <c r="B95" s="1132"/>
      <c r="C95" s="1132"/>
      <c r="D95" s="1132"/>
      <c r="E95" s="895"/>
      <c r="F95" s="895"/>
    </row>
    <row r="96" spans="1:6">
      <c r="A96" s="1167"/>
      <c r="B96" s="1190" t="s">
        <v>597</v>
      </c>
      <c r="C96" s="1191" t="s">
        <v>597</v>
      </c>
      <c r="D96" s="1170" t="s">
        <v>598</v>
      </c>
    </row>
    <row r="97" spans="1:7">
      <c r="A97" s="655" t="s">
        <v>31</v>
      </c>
      <c r="B97" s="1192" t="s">
        <v>4</v>
      </c>
      <c r="C97" s="1172" t="s">
        <v>36</v>
      </c>
      <c r="D97" s="1173" t="s">
        <v>6</v>
      </c>
      <c r="E97" s="895"/>
      <c r="F97" s="895"/>
    </row>
    <row r="98" spans="1:7" ht="14.65" thickBot="1">
      <c r="A98" s="1174" t="s">
        <v>18</v>
      </c>
      <c r="B98" s="1193" t="s">
        <v>35</v>
      </c>
      <c r="C98" s="1194" t="s">
        <v>35</v>
      </c>
      <c r="D98" s="1195" t="s">
        <v>35</v>
      </c>
      <c r="E98" s="895"/>
      <c r="F98" s="895"/>
    </row>
    <row r="99" spans="1:7">
      <c r="A99" s="1179" t="s">
        <v>589</v>
      </c>
      <c r="B99" s="1196">
        <f>'P-Ex(Sze.1 SEFoV mit F HS)'!C63</f>
        <v>56208</v>
      </c>
      <c r="C99" s="1197">
        <f>'P-Ex(Sze.1 SEFoV mit F HS)'!C123</f>
        <v>794.35807472358113</v>
      </c>
      <c r="D99" s="1198">
        <f>'P-Ex(Sze.1 SEFoV mit F HS)'!C167</f>
        <v>57002.358074723583</v>
      </c>
      <c r="E99" s="895"/>
      <c r="F99" s="895"/>
    </row>
    <row r="100" spans="1:7">
      <c r="A100" s="897" t="s">
        <v>590</v>
      </c>
      <c r="B100" s="1199">
        <f>'P-Ex(Sze.2 SEFoV ohne F HS)'!C63</f>
        <v>56208</v>
      </c>
      <c r="C100" s="1186">
        <f>'P-Ex(Sze.2 SEFoV ohne F HS)'!C123</f>
        <v>0</v>
      </c>
      <c r="D100" s="1187">
        <f>'P-Ex(Sze.2 SEFoV ohne F HS)'!C186</f>
        <v>56208</v>
      </c>
      <c r="E100" s="895"/>
      <c r="F100" s="895"/>
    </row>
    <row r="101" spans="1:7" ht="14.65" thickBot="1">
      <c r="A101" s="897" t="s">
        <v>591</v>
      </c>
      <c r="B101" s="1200">
        <f>'P-Ex(Sze.3 SEFmV mit F HS)'!C63</f>
        <v>88996</v>
      </c>
      <c r="C101" s="1177">
        <f>'P-Ex(Sze.3 SEFmV mit F HS)'!C123</f>
        <v>1257.7336183123368</v>
      </c>
      <c r="D101" s="1178">
        <f>'P-Ex(Sze.3 SEFmV mit F HS)'!C167</f>
        <v>90253.733618312341</v>
      </c>
      <c r="E101" s="895"/>
      <c r="F101" s="895"/>
    </row>
    <row r="103" spans="1:7" ht="14.65" thickBot="1">
      <c r="A103" s="1131" t="s">
        <v>8</v>
      </c>
      <c r="B103" s="1132"/>
      <c r="C103" s="1132"/>
      <c r="D103" s="1132"/>
      <c r="E103" s="1132"/>
      <c r="F103" s="1132"/>
    </row>
    <row r="104" spans="1:7">
      <c r="A104" s="1201"/>
      <c r="B104" s="1190" t="s">
        <v>597</v>
      </c>
      <c r="C104" s="1191" t="s">
        <v>597</v>
      </c>
      <c r="D104" s="1202" t="s">
        <v>598</v>
      </c>
      <c r="E104" s="1203" t="s">
        <v>598</v>
      </c>
      <c r="F104" s="1204"/>
    </row>
    <row r="105" spans="1:7">
      <c r="A105" s="1129" t="s">
        <v>31</v>
      </c>
      <c r="B105" s="1192" t="s">
        <v>6</v>
      </c>
      <c r="C105" s="1172" t="s">
        <v>338</v>
      </c>
      <c r="D105" s="354" t="s">
        <v>9</v>
      </c>
      <c r="E105" s="1205" t="s">
        <v>443</v>
      </c>
      <c r="F105" s="1280" t="s">
        <v>11</v>
      </c>
    </row>
    <row r="106" spans="1:7" ht="14.65" thickBot="1">
      <c r="A106" s="1206" t="s">
        <v>18</v>
      </c>
      <c r="B106" s="1207" t="s">
        <v>35</v>
      </c>
      <c r="C106" s="1176" t="s">
        <v>35</v>
      </c>
      <c r="D106" s="1208" t="s">
        <v>35</v>
      </c>
      <c r="E106" s="1209" t="s">
        <v>35</v>
      </c>
      <c r="F106" s="1210" t="s">
        <v>35</v>
      </c>
    </row>
    <row r="107" spans="1:7">
      <c r="A107" s="1211" t="s">
        <v>589</v>
      </c>
      <c r="B107" s="1212">
        <f>'P-Ex(Sze.1 SEFoV mit F HS)'!C167</f>
        <v>57002.358074723583</v>
      </c>
      <c r="C107" s="1182">
        <f>'P-Ex(Sze.1 SEFoV mit F HS)'!C292</f>
        <v>18000</v>
      </c>
      <c r="D107" s="1213">
        <f>'P-Ex(Sze.1 SEFoV mit F HS)'!C320</f>
        <v>47529.804674399027</v>
      </c>
      <c r="E107" s="1214">
        <f>'P-Ex(Sze.1 SEFoV mit F HS)'!C317</f>
        <v>959.32729290499924</v>
      </c>
      <c r="F107" s="1215">
        <f>'P-Ex(Sze.1 SEFoV mit F HS)'!C322</f>
        <v>26513.226107419556</v>
      </c>
    </row>
    <row r="108" spans="1:7">
      <c r="A108" s="1216" t="s">
        <v>590</v>
      </c>
      <c r="B108" s="1199">
        <f>'P-Ex(Sze.2 SEFoV ohne F HS)'!C186</f>
        <v>56208</v>
      </c>
      <c r="C108" s="1186">
        <f>'P-Ex(Sze.2 SEFoV ohne F HS)'!C255</f>
        <v>18000</v>
      </c>
      <c r="D108" s="1217">
        <f>'P-Ex(Sze.2 SEFoV ohne F HS)'!C283</f>
        <v>47026.411379810503</v>
      </c>
      <c r="E108" s="1218">
        <f>'P-Ex(Sze.2 SEFoV ohne F HS)'!C280</f>
        <v>949.16695393722193</v>
      </c>
      <c r="F108" s="1219">
        <f>'P-Ex(Sze.2 SEFoV ohne F HS)'!C285</f>
        <v>26232.421666252274</v>
      </c>
    </row>
    <row r="109" spans="1:7" ht="14.65" thickBot="1">
      <c r="A109" s="1216" t="s">
        <v>591</v>
      </c>
      <c r="B109" s="1200">
        <f>'P-Ex(Sze.3 SEFmV mit F HS)'!C167</f>
        <v>90253.733618312341</v>
      </c>
      <c r="C109" s="1177">
        <f>'P-Ex(Sze.3 SEFmV mit F HS)'!C236</f>
        <v>28500</v>
      </c>
      <c r="D109" s="1220">
        <f>'P-Ex(Sze.3 SEFmV mit F HS)'!C263</f>
        <v>75255.524067798455</v>
      </c>
      <c r="E109" s="1221">
        <f>'P-Ex(Sze.3 SEFmV mit F HS)'!C260</f>
        <v>1518.9348804329154</v>
      </c>
      <c r="F109" s="1222">
        <f>'P-Ex(Sze.3 SEFmV mit F HS)'!C265</f>
        <v>41979.274670080958</v>
      </c>
    </row>
    <row r="111" spans="1:7" ht="14.65" thickBot="1">
      <c r="A111" s="1131" t="s">
        <v>12</v>
      </c>
      <c r="B111" s="1132"/>
      <c r="C111" s="1132"/>
      <c r="D111" s="1132"/>
      <c r="E111" s="1132"/>
      <c r="F111" s="1132"/>
      <c r="G111" s="1132"/>
    </row>
    <row r="112" spans="1:7">
      <c r="A112" s="1167"/>
      <c r="B112" s="1223" t="s">
        <v>597</v>
      </c>
      <c r="C112" s="1224" t="s">
        <v>597</v>
      </c>
      <c r="D112" s="1168"/>
      <c r="E112" s="1168"/>
      <c r="F112" s="1169"/>
      <c r="G112" s="1170" t="s">
        <v>598</v>
      </c>
    </row>
    <row r="113" spans="1:11">
      <c r="A113" s="655" t="s">
        <v>31</v>
      </c>
      <c r="B113" s="1225" t="s">
        <v>9</v>
      </c>
      <c r="C113" s="1172" t="s">
        <v>608</v>
      </c>
      <c r="D113" s="1172" t="s">
        <v>606</v>
      </c>
      <c r="E113" s="1172" t="s">
        <v>650</v>
      </c>
      <c r="F113" s="1172" t="s">
        <v>651</v>
      </c>
      <c r="G113" s="1173" t="s">
        <v>305</v>
      </c>
    </row>
    <row r="114" spans="1:11" ht="14.65" thickBot="1">
      <c r="A114" s="1174" t="s">
        <v>18</v>
      </c>
      <c r="B114" s="1226" t="s">
        <v>35</v>
      </c>
      <c r="C114" s="1194" t="s">
        <v>35</v>
      </c>
      <c r="D114" s="1194" t="s">
        <v>35</v>
      </c>
      <c r="E114" s="1227" t="s">
        <v>35</v>
      </c>
      <c r="F114" s="1227" t="s">
        <v>35</v>
      </c>
      <c r="G114" s="1195" t="s">
        <v>35</v>
      </c>
    </row>
    <row r="115" spans="1:11">
      <c r="A115" s="1179" t="s">
        <v>589</v>
      </c>
      <c r="B115" s="1196">
        <f>'P-Ex(Sze.1 SEFoV mit F HS)'!C320</f>
        <v>47529.804674399027</v>
      </c>
      <c r="C115" s="1228">
        <f>'P-Ex(Sze.1 SEFoV mit F HS)'!B412</f>
        <v>17500</v>
      </c>
      <c r="D115" s="1228">
        <f>'P-Ex(Sze.1 SEFoV mit F HS)'!C412</f>
        <v>7000</v>
      </c>
      <c r="E115" s="1197">
        <f>'P-Ex(Sze.1 SEFoV mit F HS)'!C471</f>
        <v>10896.36825736008</v>
      </c>
      <c r="F115" s="1197">
        <f>'P-Ex(Sze.1 SEFoV mit F HS)'!C490</f>
        <v>13016.885924207872</v>
      </c>
      <c r="G115" s="1198">
        <f>'P-Ex(Sze.1 SEFoV mit F HS)'!C507</f>
        <v>95943.058855966985</v>
      </c>
    </row>
    <row r="116" spans="1:11">
      <c r="A116" s="897" t="s">
        <v>590</v>
      </c>
      <c r="B116" s="1199">
        <f>'P-Ex(Sze.2 SEFoV ohne F HS)'!C283</f>
        <v>47026.411379810503</v>
      </c>
      <c r="C116" s="1185">
        <f>'P-Ex(Sze.2 SEFoV ohne F HS)'!B375</f>
        <v>17500</v>
      </c>
      <c r="D116" s="1185">
        <f>'P-Ex(Sze.2 SEFoV ohne F HS)'!C375</f>
        <v>7000</v>
      </c>
      <c r="E116" s="1186">
        <f>'P-Ex(Sze.2 SEFoV ohne F HS)'!C434</f>
        <v>10394.908954573591</v>
      </c>
      <c r="F116" s="1186">
        <f>'P-Ex(Sze.2 SEFoV ohne F HS)'!C453</f>
        <v>13373.965177085956</v>
      </c>
      <c r="G116" s="1187">
        <f>'P-Ex(Sze.2 SEFoV ohne F HS)'!C471</f>
        <v>95295.285511470051</v>
      </c>
    </row>
    <row r="117" spans="1:11" ht="14.65" thickBot="1">
      <c r="A117" s="897" t="s">
        <v>591</v>
      </c>
      <c r="B117" s="1200">
        <f>'P-Ex(Sze.3 SEFmV mit F HS)'!C263</f>
        <v>75255.524067798455</v>
      </c>
      <c r="C117" s="1189">
        <f>'P-Ex(Sze.3 SEFmV mit F HS)'!B355</f>
        <v>17500</v>
      </c>
      <c r="D117" s="1189">
        <v>0</v>
      </c>
      <c r="E117" s="1177">
        <f>'P-Ex(Sze.3 SEFmV mit F HS)'!C414</f>
        <v>479.62595139419892</v>
      </c>
      <c r="F117" s="1177">
        <v>0</v>
      </c>
      <c r="G117" s="1178">
        <f>'P-Ex(Sze.3 SEFmV mit F HS)'!C446</f>
        <v>93235.150019192661</v>
      </c>
    </row>
    <row r="119" spans="1:11" ht="14.65" thickBot="1">
      <c r="A119" s="1131" t="s">
        <v>15</v>
      </c>
      <c r="B119" s="1132"/>
      <c r="C119" s="1132"/>
      <c r="D119" s="1132"/>
    </row>
    <row r="120" spans="1:11">
      <c r="A120" s="1167"/>
      <c r="B120" s="1223" t="s">
        <v>597</v>
      </c>
      <c r="C120" s="1203" t="s">
        <v>598</v>
      </c>
      <c r="D120" s="1204"/>
    </row>
    <row r="121" spans="1:11">
      <c r="A121" s="655" t="s">
        <v>31</v>
      </c>
      <c r="B121" s="1225" t="s">
        <v>305</v>
      </c>
      <c r="C121" s="1205" t="s">
        <v>17</v>
      </c>
      <c r="D121" s="1229" t="s">
        <v>16</v>
      </c>
      <c r="E121" s="895"/>
    </row>
    <row r="122" spans="1:11" ht="14.65" thickBot="1">
      <c r="A122" s="1174" t="s">
        <v>18</v>
      </c>
      <c r="B122" s="1226" t="s">
        <v>35</v>
      </c>
      <c r="C122" s="1230" t="s">
        <v>35</v>
      </c>
      <c r="D122" s="1231" t="s">
        <v>35</v>
      </c>
      <c r="E122" s="895"/>
    </row>
    <row r="123" spans="1:11">
      <c r="A123" s="1179" t="s">
        <v>589</v>
      </c>
      <c r="B123" s="1196">
        <f>'P-Ex(Sze.1 SEFoV mit F HS)'!C507</f>
        <v>95943.058855966985</v>
      </c>
      <c r="C123" s="1232">
        <f>'P-Ex(Sze.1 SEFoV mit F HS)'!C556</f>
        <v>45446.712089668566</v>
      </c>
      <c r="D123" s="1233">
        <f>'P-Ex(Sze.1 SEFoV mit F HS)'!C559</f>
        <v>50496.346766298411</v>
      </c>
      <c r="E123" s="895"/>
    </row>
    <row r="124" spans="1:11">
      <c r="A124" s="897" t="s">
        <v>590</v>
      </c>
      <c r="B124" s="1199">
        <f>'P-Ex(Sze.2 SEFoV ohne F HS)'!C471</f>
        <v>95295.285511470051</v>
      </c>
      <c r="C124" s="1218">
        <f>'P-Ex(Sze.2 SEFoV ohne F HS)'!C520</f>
        <v>45139.872084380557</v>
      </c>
      <c r="D124" s="1219">
        <f>'P-Ex(Sze.2 SEFoV ohne F HS)'!C523</f>
        <v>50155.413427089501</v>
      </c>
      <c r="E124" s="895"/>
    </row>
    <row r="125" spans="1:11" ht="14.65" thickBot="1">
      <c r="A125" s="897" t="s">
        <v>591</v>
      </c>
      <c r="B125" s="1200">
        <f>'P-Ex(Sze.3 SEFmV mit F HS)'!C446</f>
        <v>93235.150019192661</v>
      </c>
      <c r="C125" s="1221">
        <f>'P-Ex(Sze.3 SEFmV mit F HS)'!C493</f>
        <v>36303.205185410909</v>
      </c>
      <c r="D125" s="1222">
        <f>'P-Ex(Sze.3 SEFmV mit F HS)'!C496</f>
        <v>56931.944833781759</v>
      </c>
      <c r="E125" s="895"/>
    </row>
    <row r="127" spans="1:11" ht="14.65" thickBot="1">
      <c r="A127" s="1131" t="s">
        <v>592</v>
      </c>
      <c r="B127" s="1131"/>
      <c r="C127" s="1131"/>
      <c r="D127" s="1131"/>
      <c r="E127" s="1131"/>
      <c r="F127" s="1131"/>
      <c r="G127" s="1131"/>
      <c r="H127" s="1131"/>
      <c r="I127" s="1131"/>
      <c r="J127" s="1131"/>
      <c r="K127" s="1131"/>
    </row>
    <row r="128" spans="1:11">
      <c r="A128" s="1167" t="s">
        <v>39</v>
      </c>
      <c r="B128" s="1234" t="s">
        <v>597</v>
      </c>
      <c r="C128" s="1235"/>
      <c r="D128" s="1235"/>
      <c r="E128" s="1235"/>
      <c r="F128" s="1235"/>
      <c r="G128" s="1235"/>
      <c r="H128" s="1235"/>
      <c r="I128" s="1235"/>
      <c r="J128" s="1235"/>
      <c r="K128" s="1236"/>
    </row>
    <row r="129" spans="1:11">
      <c r="A129" s="655" t="s">
        <v>31</v>
      </c>
      <c r="B129" s="1135" t="s">
        <v>603</v>
      </c>
      <c r="C129" s="1237" t="s">
        <v>604</v>
      </c>
      <c r="D129" s="1237" t="s">
        <v>331</v>
      </c>
      <c r="E129" s="1237" t="s">
        <v>649</v>
      </c>
      <c r="F129" s="1237" t="s">
        <v>36</v>
      </c>
      <c r="G129" s="1237" t="s">
        <v>338</v>
      </c>
      <c r="H129" s="1237" t="s">
        <v>608</v>
      </c>
      <c r="I129" s="1237" t="s">
        <v>606</v>
      </c>
      <c r="J129" s="1237" t="s">
        <v>650</v>
      </c>
      <c r="K129" s="1238" t="s">
        <v>651</v>
      </c>
    </row>
    <row r="130" spans="1:11" ht="14.65" thickBot="1">
      <c r="A130" s="1174" t="s">
        <v>18</v>
      </c>
      <c r="B130" s="1138" t="s">
        <v>35</v>
      </c>
      <c r="C130" s="1176" t="s">
        <v>35</v>
      </c>
      <c r="D130" s="1177" t="s">
        <v>35</v>
      </c>
      <c r="E130" s="1177" t="s">
        <v>35</v>
      </c>
      <c r="F130" s="1177" t="s">
        <v>35</v>
      </c>
      <c r="G130" s="1177" t="s">
        <v>35</v>
      </c>
      <c r="H130" s="1189" t="s">
        <v>35</v>
      </c>
      <c r="I130" s="1189" t="s">
        <v>35</v>
      </c>
      <c r="J130" s="1189" t="s">
        <v>35</v>
      </c>
      <c r="K130" s="1239" t="s">
        <v>35</v>
      </c>
    </row>
    <row r="131" spans="1:11">
      <c r="A131" s="1179" t="s">
        <v>589</v>
      </c>
      <c r="B131" s="1240">
        <f>'P-Ex(Sze.1 SEFoV mit F HS)'!ISH</f>
        <v>12000</v>
      </c>
      <c r="C131" s="1181">
        <v>0</v>
      </c>
      <c r="D131" s="1182">
        <f>'P-Ex(Sze.1 SEFoV mit F HS)'!C30</f>
        <v>27708</v>
      </c>
      <c r="E131" s="1182">
        <f>'P-Ex(Sze.1 SEFoV mit F HS)'!C35</f>
        <v>16500</v>
      </c>
      <c r="F131" s="1182">
        <f>'P-Ex(Sze.1 SEFoV mit F HS)'!C123</f>
        <v>794.35807472358113</v>
      </c>
      <c r="G131" s="1182">
        <f>'P-Ex(Sze.1 SEFoV mit F HS)'!C292</f>
        <v>18000</v>
      </c>
      <c r="H131" s="1181">
        <f>'P-Ex(Sze.1 SEFoV mit F HS)'!B412</f>
        <v>17500</v>
      </c>
      <c r="I131" s="1181">
        <f>'P-Ex(Sze.1 SEFoV mit F HS)'!C412</f>
        <v>7000</v>
      </c>
      <c r="J131" s="1182">
        <f>'P-Ex(Sze.1 SEFoV mit F HS)'!C471</f>
        <v>10896.36825736008</v>
      </c>
      <c r="K131" s="1128">
        <f>'P-Ex(Sze.1 SEFoV mit F HS)'!C490</f>
        <v>13016.885924207872</v>
      </c>
    </row>
    <row r="132" spans="1:11">
      <c r="A132" s="897" t="s">
        <v>590</v>
      </c>
      <c r="B132" s="1241">
        <f>'P-Ex(Sze.2 SEFoV ohne F HS)'!ISH</f>
        <v>12000</v>
      </c>
      <c r="C132" s="1185">
        <v>0</v>
      </c>
      <c r="D132" s="1186">
        <f>'P-Ex(Sze.2 SEFoV ohne F HS)'!C30</f>
        <v>27708</v>
      </c>
      <c r="E132" s="1186">
        <f>'P-Ex(Sze.2 SEFoV ohne F HS)'!C35</f>
        <v>16500</v>
      </c>
      <c r="F132" s="1186">
        <f>'P-Ex(Sze.2 SEFoV ohne F HS)'!C123</f>
        <v>0</v>
      </c>
      <c r="G132" s="1186">
        <f>'P-Ex(Sze.2 SEFoV ohne F HS)'!C255</f>
        <v>18000</v>
      </c>
      <c r="H132" s="1185">
        <f>'P-Ex(Sze.2 SEFoV ohne F HS)'!B375</f>
        <v>17500</v>
      </c>
      <c r="I132" s="1185">
        <f>'P-Ex(Sze.2 SEFoV ohne F HS)'!C375</f>
        <v>7000</v>
      </c>
      <c r="J132" s="1186">
        <f>'P-Ex(Sze.2 SEFoV ohne F HS)'!C434</f>
        <v>10394.908954573591</v>
      </c>
      <c r="K132" s="1127">
        <f>'P-Ex(Sze.2 SEFoV ohne F HS)'!C453</f>
        <v>13373.965177085956</v>
      </c>
    </row>
    <row r="133" spans="1:11" ht="14.65" thickBot="1">
      <c r="A133" s="1174" t="s">
        <v>591</v>
      </c>
      <c r="B133" s="1242">
        <f>'P-Ex(Sze.3 SEFmV mit F)'!ISH</f>
        <v>12000</v>
      </c>
      <c r="C133" s="1189">
        <f>'P-Ex(Sze.3 SEFmV mit F)'!SEF</f>
        <v>7000</v>
      </c>
      <c r="D133" s="1177">
        <f>'P-Ex(Sze.3 SEFmV mit F HS)'!C30</f>
        <v>43871</v>
      </c>
      <c r="E133" s="1177">
        <f>'P-Ex(Sze.3 SEFmV mit F HS)'!C35</f>
        <v>26125</v>
      </c>
      <c r="F133" s="1177">
        <f>'P-Ex(Sze.3 SEFmV mit F HS)'!C123</f>
        <v>1257.7336183123368</v>
      </c>
      <c r="G133" s="1177">
        <f>'P-Ex(Sze.3 SEFmV mit F HS)'!C236</f>
        <v>28500</v>
      </c>
      <c r="H133" s="1189">
        <f>'P-Ex(Sze.3 SEFmV mit F HS)'!B355</f>
        <v>17500</v>
      </c>
      <c r="I133" s="1189">
        <v>0</v>
      </c>
      <c r="J133" s="1177">
        <f>'P-Ex(Sze.3 SEFmV mit F HS)'!C414</f>
        <v>479.62595139419892</v>
      </c>
      <c r="K133" s="1239">
        <v>0</v>
      </c>
    </row>
    <row r="135" spans="1:11" ht="14.65" thickBot="1">
      <c r="A135" s="1131" t="s">
        <v>593</v>
      </c>
      <c r="B135" s="1131"/>
      <c r="C135" s="1131"/>
      <c r="D135" s="1131"/>
      <c r="E135" s="1131"/>
    </row>
    <row r="136" spans="1:11">
      <c r="A136" s="1201" t="s">
        <v>39</v>
      </c>
      <c r="B136" s="1247" t="s">
        <v>598</v>
      </c>
      <c r="C136" s="1203"/>
      <c r="D136" s="1203"/>
      <c r="E136" s="1204"/>
    </row>
    <row r="137" spans="1:11">
      <c r="A137" s="1129" t="s">
        <v>31</v>
      </c>
      <c r="B137" s="1248" t="s">
        <v>443</v>
      </c>
      <c r="C137" s="1130" t="s">
        <v>11</v>
      </c>
      <c r="D137" s="1205" t="s">
        <v>17</v>
      </c>
      <c r="E137" s="1279" t="s">
        <v>16</v>
      </c>
    </row>
    <row r="138" spans="1:11" ht="14.65" thickBot="1">
      <c r="A138" s="1206" t="s">
        <v>18</v>
      </c>
      <c r="B138" s="1249" t="s">
        <v>35</v>
      </c>
      <c r="C138" s="1209" t="s">
        <v>35</v>
      </c>
      <c r="D138" s="1209" t="s">
        <v>35</v>
      </c>
      <c r="E138" s="1222" t="s">
        <v>35</v>
      </c>
    </row>
    <row r="139" spans="1:11">
      <c r="A139" s="1211" t="s">
        <v>589</v>
      </c>
      <c r="B139" s="1277">
        <f>'P-Ex(Sze.1 SEFoV mit F HS)'!C317</f>
        <v>959.32729290499924</v>
      </c>
      <c r="C139" s="1214">
        <f>'P-Ex(Sze.1 SEFoV mit F HS)'!C322</f>
        <v>26513.226107419556</v>
      </c>
      <c r="D139" s="1214">
        <f>'P-Ex(Sze.1 SEFoV mit F HS)'!C556</f>
        <v>45446.712089668566</v>
      </c>
      <c r="E139" s="1215">
        <f>'P-Ex(Sze.1 SEFoV mit F HS)'!C559</f>
        <v>50496.346766298411</v>
      </c>
    </row>
    <row r="140" spans="1:11">
      <c r="A140" s="1216" t="s">
        <v>590</v>
      </c>
      <c r="B140" s="1278">
        <f>'P-Ex(Sze.2 SEFoV ohne F HS)'!C280</f>
        <v>949.16695393722193</v>
      </c>
      <c r="C140" s="1218">
        <f>'P-Ex(Sze.2 SEFoV ohne F HS)'!C285</f>
        <v>26232.421666252274</v>
      </c>
      <c r="D140" s="1218">
        <f>'P-Ex(Sze.2 SEFoV ohne F HS)'!C520</f>
        <v>45139.872084380557</v>
      </c>
      <c r="E140" s="1219">
        <f>'P-Ex(Sze.2 SEFoV ohne F HS)'!C523</f>
        <v>50155.413427089501</v>
      </c>
    </row>
    <row r="141" spans="1:11" ht="14.65" thickBot="1">
      <c r="A141" s="1216" t="s">
        <v>591</v>
      </c>
      <c r="B141" s="1292">
        <f>'P-Ex(Sze.3 SEFmV mit F HS)'!C260</f>
        <v>1518.9348804329154</v>
      </c>
      <c r="C141" s="1221">
        <f>'P-Ex(Sze.3 SEFmV mit F HS)'!C265</f>
        <v>41979.274670080958</v>
      </c>
      <c r="D141" s="1221">
        <f>'P-Ex(Sze.3 SEFmV mit F HS)'!C493</f>
        <v>36303.205185410909</v>
      </c>
      <c r="E141" s="1222">
        <f>'P-Ex(Sze.3 SEFmV mit F HS)'!C496</f>
        <v>56931.944833781759</v>
      </c>
    </row>
  </sheetData>
  <mergeCells count="7">
    <mergeCell ref="A71:C71"/>
    <mergeCell ref="B88:E88"/>
    <mergeCell ref="B128:K128"/>
    <mergeCell ref="E104:F104"/>
    <mergeCell ref="B136:E136"/>
    <mergeCell ref="C120:D120"/>
    <mergeCell ref="C112:F11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4190F-1735-4F22-938C-255C7ABCD12D}">
  <sheetPr codeName="Tabelle16"/>
  <dimension ref="A1:L520"/>
  <sheetViews>
    <sheetView topLeftCell="A495" zoomScale="60" zoomScaleNormal="60" workbookViewId="0">
      <selection activeCell="B519" sqref="B519"/>
    </sheetView>
  </sheetViews>
  <sheetFormatPr baseColWidth="10" defaultColWidth="8.86328125" defaultRowHeight="14.25"/>
  <cols>
    <col min="1" max="1" width="45.597656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599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614</v>
      </c>
      <c r="C7" s="189" t="s">
        <v>615</v>
      </c>
      <c r="D7" s="190" t="s">
        <v>622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0.3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1.7</v>
      </c>
    </row>
    <row r="17" spans="1:5">
      <c r="A17" s="715"/>
      <c r="B17" s="716"/>
      <c r="C17" s="716"/>
      <c r="D17" s="716"/>
    </row>
    <row r="18" spans="1:5">
      <c r="A18" s="717" t="s">
        <v>451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623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0.3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3600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0.12992637505413598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27708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7">
      <c r="A33" s="232" t="s">
        <v>426</v>
      </c>
      <c r="B33" s="178" t="s">
        <v>35</v>
      </c>
      <c r="C33" s="723">
        <f>C30/C32*(1-C32)</f>
        <v>9900</v>
      </c>
    </row>
    <row r="34" spans="1:7" ht="14.65" thickBot="1">
      <c r="A34" s="680" t="s">
        <v>427</v>
      </c>
      <c r="B34" s="694" t="s">
        <v>35</v>
      </c>
      <c r="C34" s="725">
        <f>C30+C33</f>
        <v>16500</v>
      </c>
    </row>
    <row r="35" spans="1:7" ht="15.4" customHeight="1">
      <c r="A35" s="180"/>
      <c r="B35" s="181"/>
      <c r="C35" s="182"/>
    </row>
    <row r="36" spans="1:7" ht="14.65" thickBot="1">
      <c r="A36" s="183" t="s">
        <v>644</v>
      </c>
      <c r="B36" s="181"/>
      <c r="C36" s="182"/>
    </row>
    <row r="37" spans="1:7" ht="14.65" thickBot="1">
      <c r="A37" s="410"/>
      <c r="B37" s="169"/>
      <c r="C37" s="9" t="s">
        <v>263</v>
      </c>
      <c r="D37" s="1043" t="s">
        <v>262</v>
      </c>
      <c r="E37" s="1044"/>
      <c r="F37" s="1045"/>
    </row>
    <row r="38" spans="1:7">
      <c r="A38" s="92" t="s">
        <v>268</v>
      </c>
      <c r="B38" s="446" t="s">
        <v>88</v>
      </c>
      <c r="C38" s="412" t="s">
        <v>622</v>
      </c>
      <c r="D38" s="497" t="s">
        <v>624</v>
      </c>
      <c r="E38" s="421" t="s">
        <v>625</v>
      </c>
      <c r="F38" s="492" t="s">
        <v>626</v>
      </c>
    </row>
    <row r="39" spans="1:7" ht="14.65" thickBot="1">
      <c r="A39" s="93" t="s">
        <v>18</v>
      </c>
      <c r="B39" s="411" t="s">
        <v>24</v>
      </c>
      <c r="C39" s="73" t="s">
        <v>71</v>
      </c>
      <c r="D39" s="6" t="s">
        <v>35</v>
      </c>
      <c r="E39" s="7" t="s">
        <v>35</v>
      </c>
      <c r="F39" s="24" t="s">
        <v>35</v>
      </c>
    </row>
    <row r="40" spans="1:7">
      <c r="A40" s="106" t="s">
        <v>72</v>
      </c>
      <c r="B40" s="447">
        <v>0.65137271969690658</v>
      </c>
      <c r="C40" s="413">
        <v>39002</v>
      </c>
      <c r="D40" s="227">
        <f t="shared" ref="D40:D54" si="0">$D$9*C40/1000000</f>
        <v>468.024</v>
      </c>
      <c r="E40" s="429">
        <f t="shared" ref="E40:E52" si="1">B40*D40</f>
        <v>304.85806576342503</v>
      </c>
      <c r="F40" s="467">
        <f t="shared" ref="F40:F52" si="2">D40*(1-B40)</f>
        <v>163.165934236575</v>
      </c>
    </row>
    <row r="41" spans="1:7">
      <c r="A41" s="107" t="s">
        <v>73</v>
      </c>
      <c r="B41" s="448">
        <v>0.80153246110453391</v>
      </c>
      <c r="C41" s="413">
        <v>28.6</v>
      </c>
      <c r="D41" s="229">
        <f t="shared" si="0"/>
        <v>0.34320000000000001</v>
      </c>
      <c r="E41" s="424">
        <f t="shared" si="1"/>
        <v>0.27508594065107606</v>
      </c>
      <c r="F41" s="468">
        <f t="shared" si="2"/>
        <v>6.8114059348923964E-2</v>
      </c>
    </row>
    <row r="42" spans="1:7">
      <c r="A42" s="108" t="s">
        <v>74</v>
      </c>
      <c r="B42" s="448">
        <v>0.15823734978631154</v>
      </c>
      <c r="C42" s="413">
        <v>159000</v>
      </c>
      <c r="D42" s="229">
        <f t="shared" si="0"/>
        <v>1908</v>
      </c>
      <c r="E42" s="424">
        <f t="shared" si="1"/>
        <v>301.91686339228244</v>
      </c>
      <c r="F42" s="468">
        <f t="shared" si="2"/>
        <v>1606.0831366077175</v>
      </c>
      <c r="G42" s="710"/>
    </row>
    <row r="43" spans="1:7">
      <c r="A43" s="108" t="s">
        <v>75</v>
      </c>
      <c r="B43" s="448">
        <v>0.25348730816186238</v>
      </c>
      <c r="C43" s="413">
        <v>3.5</v>
      </c>
      <c r="D43" s="229">
        <f t="shared" si="0"/>
        <v>4.2000000000000003E-2</v>
      </c>
      <c r="E43" s="424">
        <f t="shared" si="1"/>
        <v>1.064646694279822E-2</v>
      </c>
      <c r="F43" s="468">
        <f t="shared" si="2"/>
        <v>3.1353533057201781E-2</v>
      </c>
    </row>
    <row r="44" spans="1:7">
      <c r="A44" s="108" t="s">
        <v>76</v>
      </c>
      <c r="B44" s="448">
        <v>0.40356545688185752</v>
      </c>
      <c r="C44" s="413">
        <v>136</v>
      </c>
      <c r="D44" s="229">
        <f t="shared" si="0"/>
        <v>1.6319999999999999</v>
      </c>
      <c r="E44" s="424">
        <f t="shared" si="1"/>
        <v>0.65861882563119145</v>
      </c>
      <c r="F44" s="468">
        <f t="shared" si="2"/>
        <v>0.97338117436880844</v>
      </c>
    </row>
    <row r="45" spans="1:7">
      <c r="A45" s="108" t="s">
        <v>77</v>
      </c>
      <c r="B45" s="448">
        <v>0.23362301177680689</v>
      </c>
      <c r="C45" s="413">
        <v>656</v>
      </c>
      <c r="D45" s="229">
        <f t="shared" si="0"/>
        <v>7.8719999999999999</v>
      </c>
      <c r="E45" s="424">
        <f t="shared" si="1"/>
        <v>1.8390803487070237</v>
      </c>
      <c r="F45" s="468">
        <f t="shared" si="2"/>
        <v>6.0329196512929757</v>
      </c>
    </row>
    <row r="46" spans="1:7">
      <c r="A46" s="108" t="s">
        <v>78</v>
      </c>
      <c r="B46" s="448">
        <v>0.50785001796590601</v>
      </c>
      <c r="C46" s="413">
        <v>87577</v>
      </c>
      <c r="D46" s="229">
        <f t="shared" si="0"/>
        <v>1050.924</v>
      </c>
      <c r="E46" s="424">
        <f t="shared" si="1"/>
        <v>533.71177228080182</v>
      </c>
      <c r="F46" s="468">
        <f t="shared" si="2"/>
        <v>517.21222771919815</v>
      </c>
    </row>
    <row r="47" spans="1:7">
      <c r="A47" s="108" t="s">
        <v>79</v>
      </c>
      <c r="B47" s="448">
        <v>0.76085478233676074</v>
      </c>
      <c r="C47" s="413">
        <v>8230</v>
      </c>
      <c r="D47" s="229">
        <f t="shared" si="0"/>
        <v>98.76</v>
      </c>
      <c r="E47" s="424">
        <f t="shared" si="1"/>
        <v>75.142018303578496</v>
      </c>
      <c r="F47" s="468">
        <f t="shared" si="2"/>
        <v>23.617981696421509</v>
      </c>
    </row>
    <row r="48" spans="1:7">
      <c r="A48" s="108" t="s">
        <v>80</v>
      </c>
      <c r="B48" s="448">
        <v>0.77360051904316074</v>
      </c>
      <c r="C48" s="413">
        <v>12900</v>
      </c>
      <c r="D48" s="229">
        <f t="shared" si="0"/>
        <v>154.80000000000001</v>
      </c>
      <c r="E48" s="424">
        <f t="shared" si="1"/>
        <v>119.7533603478813</v>
      </c>
      <c r="F48" s="468">
        <f t="shared" si="2"/>
        <v>35.046639652118721</v>
      </c>
    </row>
    <row r="49" spans="1:6">
      <c r="A49" s="108" t="s">
        <v>81</v>
      </c>
      <c r="B49" s="448">
        <v>0.8205530976880453</v>
      </c>
      <c r="C49" s="413">
        <v>8100</v>
      </c>
      <c r="D49" s="229">
        <f t="shared" si="0"/>
        <v>97.2</v>
      </c>
      <c r="E49" s="424">
        <f t="shared" si="1"/>
        <v>79.757761095277999</v>
      </c>
      <c r="F49" s="468">
        <f t="shared" si="2"/>
        <v>17.442238904721997</v>
      </c>
    </row>
    <row r="50" spans="1:6">
      <c r="A50" s="108" t="s">
        <v>82</v>
      </c>
      <c r="B50" s="448">
        <v>0.435768646693799</v>
      </c>
      <c r="C50" s="413">
        <v>125</v>
      </c>
      <c r="D50" s="229">
        <f t="shared" si="0"/>
        <v>1.5</v>
      </c>
      <c r="E50" s="424">
        <f t="shared" si="1"/>
        <v>0.65365297004069856</v>
      </c>
      <c r="F50" s="468">
        <f t="shared" si="2"/>
        <v>0.84634702995930144</v>
      </c>
    </row>
    <row r="51" spans="1:6">
      <c r="A51" s="108" t="s">
        <v>83</v>
      </c>
      <c r="B51" s="448">
        <v>0.87583141379652929</v>
      </c>
      <c r="C51" s="413">
        <v>81618</v>
      </c>
      <c r="D51" s="229">
        <f t="shared" si="0"/>
        <v>979.41600000000005</v>
      </c>
      <c r="E51" s="424">
        <f t="shared" si="1"/>
        <v>857.80329997494152</v>
      </c>
      <c r="F51" s="468">
        <f t="shared" si="2"/>
        <v>121.61270002505847</v>
      </c>
    </row>
    <row r="52" spans="1:6">
      <c r="A52" s="108" t="s">
        <v>84</v>
      </c>
      <c r="B52" s="448">
        <v>0.23049375883839485</v>
      </c>
      <c r="C52" s="413">
        <v>124</v>
      </c>
      <c r="D52" s="229">
        <f t="shared" si="0"/>
        <v>1.488</v>
      </c>
      <c r="E52" s="424">
        <f t="shared" si="1"/>
        <v>0.34297471315153155</v>
      </c>
      <c r="F52" s="468">
        <f t="shared" si="2"/>
        <v>1.1450252868484685</v>
      </c>
    </row>
    <row r="53" spans="1:6">
      <c r="A53" s="108" t="s">
        <v>85</v>
      </c>
      <c r="B53" s="448" t="s">
        <v>89</v>
      </c>
      <c r="C53" s="413">
        <v>18900</v>
      </c>
      <c r="D53" s="229">
        <f t="shared" si="0"/>
        <v>226.8</v>
      </c>
      <c r="E53" s="424" t="s">
        <v>89</v>
      </c>
      <c r="F53" s="468" t="s">
        <v>89</v>
      </c>
    </row>
    <row r="54" spans="1:6" ht="14.65" thickBot="1">
      <c r="A54" s="109" t="s">
        <v>86</v>
      </c>
      <c r="B54" s="449">
        <v>0.43789451837070636</v>
      </c>
      <c r="C54" s="414">
        <v>2353</v>
      </c>
      <c r="D54" s="230">
        <f t="shared" si="0"/>
        <v>28.236000000000001</v>
      </c>
      <c r="E54" s="435">
        <f>B54*D54</f>
        <v>12.364389620715265</v>
      </c>
      <c r="F54" s="469">
        <f>D54*(1-B54)</f>
        <v>15.871610379284736</v>
      </c>
    </row>
    <row r="55" spans="1:6">
      <c r="A55" s="5"/>
    </row>
    <row r="56" spans="1:6" ht="14.65" thickBot="1">
      <c r="A56" s="79" t="s">
        <v>265</v>
      </c>
    </row>
    <row r="57" spans="1:6" ht="14.65" thickBot="1">
      <c r="A57" s="103" t="s">
        <v>90</v>
      </c>
      <c r="B57" s="102" t="s">
        <v>18</v>
      </c>
      <c r="C57" s="17" t="s">
        <v>91</v>
      </c>
    </row>
    <row r="58" spans="1:6">
      <c r="A58" s="272" t="s">
        <v>623</v>
      </c>
      <c r="B58" s="298" t="s">
        <v>35</v>
      </c>
      <c r="C58" s="294">
        <f>$C$22</f>
        <v>12000</v>
      </c>
    </row>
    <row r="59" spans="1:6">
      <c r="A59" s="815" t="s">
        <v>366</v>
      </c>
      <c r="B59" s="278" t="s">
        <v>35</v>
      </c>
      <c r="C59" s="297">
        <f>C24</f>
        <v>34008</v>
      </c>
    </row>
    <row r="60" spans="1:6">
      <c r="A60" s="257" t="s">
        <v>329</v>
      </c>
      <c r="B60" s="278" t="s">
        <v>35</v>
      </c>
      <c r="C60" s="289">
        <f>C25</f>
        <v>3600</v>
      </c>
    </row>
    <row r="61" spans="1:6">
      <c r="A61" s="257" t="s">
        <v>428</v>
      </c>
      <c r="B61" s="278" t="s">
        <v>35</v>
      </c>
      <c r="C61" s="289">
        <f>C30</f>
        <v>6600.0000000000009</v>
      </c>
    </row>
    <row r="62" spans="1:6" ht="14.65" thickBot="1">
      <c r="A62" s="255" t="s">
        <v>4</v>
      </c>
      <c r="B62" s="271" t="s">
        <v>35</v>
      </c>
      <c r="C62" s="256">
        <f>C58+C59+C60+C61</f>
        <v>56208</v>
      </c>
    </row>
    <row r="63" spans="1:6">
      <c r="A63" s="83"/>
      <c r="B63" s="77"/>
      <c r="C63" s="96"/>
    </row>
    <row r="64" spans="1:6" ht="14.65" thickBot="1">
      <c r="A64" s="79" t="s">
        <v>278</v>
      </c>
      <c r="B64" s="79"/>
      <c r="C64" s="79"/>
    </row>
    <row r="65" spans="1:12" ht="14.65" thickBot="1">
      <c r="A65" s="103" t="s">
        <v>90</v>
      </c>
      <c r="B65" s="102" t="s">
        <v>18</v>
      </c>
      <c r="C65" s="17" t="s">
        <v>91</v>
      </c>
    </row>
    <row r="66" spans="1:12">
      <c r="A66" s="272" t="s">
        <v>623</v>
      </c>
      <c r="B66" s="298" t="s">
        <v>35</v>
      </c>
      <c r="C66" s="294">
        <f>$C$22</f>
        <v>12000</v>
      </c>
    </row>
    <row r="67" spans="1:12">
      <c r="A67" s="257" t="s">
        <v>329</v>
      </c>
      <c r="B67" s="278" t="s">
        <v>35</v>
      </c>
      <c r="C67" s="295">
        <f>$C$25</f>
        <v>3600</v>
      </c>
    </row>
    <row r="68" spans="1:12">
      <c r="A68" s="257" t="s">
        <v>428</v>
      </c>
      <c r="B68" s="278" t="s">
        <v>35</v>
      </c>
      <c r="C68" s="295">
        <f>$C$30</f>
        <v>6600.0000000000009</v>
      </c>
    </row>
    <row r="69" spans="1:12">
      <c r="A69" s="257" t="s">
        <v>336</v>
      </c>
      <c r="B69" s="278" t="s">
        <v>35</v>
      </c>
      <c r="C69" s="279">
        <f>C66+C67+C68</f>
        <v>22200</v>
      </c>
    </row>
    <row r="70" spans="1:12">
      <c r="A70" s="257" t="s">
        <v>4</v>
      </c>
      <c r="B70" s="278" t="s">
        <v>35</v>
      </c>
      <c r="C70" s="279">
        <f>$C$62</f>
        <v>56208</v>
      </c>
    </row>
    <row r="71" spans="1:12">
      <c r="A71" s="299" t="s">
        <v>64</v>
      </c>
      <c r="B71" s="260" t="s">
        <v>24</v>
      </c>
      <c r="C71" s="300">
        <f>C69/C70</f>
        <v>0.39496157130657555</v>
      </c>
    </row>
    <row r="72" spans="1:12">
      <c r="A72" s="257" t="s">
        <v>366</v>
      </c>
      <c r="B72" s="278" t="s">
        <v>35</v>
      </c>
      <c r="C72" s="279">
        <f>$C$24</f>
        <v>34008</v>
      </c>
    </row>
    <row r="73" spans="1:12">
      <c r="A73" s="257" t="s">
        <v>333</v>
      </c>
      <c r="B73" s="278" t="s">
        <v>35</v>
      </c>
      <c r="C73" s="279">
        <f>C72</f>
        <v>34008</v>
      </c>
    </row>
    <row r="74" spans="1:12">
      <c r="A74" s="257" t="s">
        <v>4</v>
      </c>
      <c r="B74" s="278" t="s">
        <v>35</v>
      </c>
      <c r="C74" s="279">
        <f>$C$62</f>
        <v>56208</v>
      </c>
    </row>
    <row r="75" spans="1:12" ht="14.65" thickBot="1">
      <c r="A75" s="301" t="s">
        <v>66</v>
      </c>
      <c r="B75" s="277" t="s">
        <v>24</v>
      </c>
      <c r="C75" s="303">
        <f>C73/C74</f>
        <v>0.60503842869342439</v>
      </c>
    </row>
    <row r="76" spans="1:12">
      <c r="A76" s="83"/>
      <c r="B76" s="77"/>
      <c r="C76" s="96"/>
    </row>
    <row r="77" spans="1:12" ht="14.65" thickBot="1">
      <c r="A77" s="79" t="s">
        <v>92</v>
      </c>
    </row>
    <row r="78" spans="1:12" ht="14.65" thickBot="1">
      <c r="A78" s="419"/>
      <c r="B78" s="1028" t="s">
        <v>262</v>
      </c>
      <c r="C78" s="1029"/>
      <c r="D78" s="1029"/>
      <c r="E78" s="1029"/>
      <c r="F78" s="1030"/>
      <c r="G78" s="1028" t="s">
        <v>263</v>
      </c>
      <c r="H78" s="1029"/>
      <c r="I78" s="1029"/>
      <c r="J78" s="1029"/>
      <c r="K78" s="1029"/>
      <c r="L78" s="1031"/>
    </row>
    <row r="79" spans="1:12">
      <c r="A79" s="420"/>
      <c r="B79" s="1047" t="s">
        <v>270</v>
      </c>
      <c r="C79" s="1051" t="s">
        <v>243</v>
      </c>
      <c r="D79" s="1051" t="s">
        <v>256</v>
      </c>
      <c r="E79" s="1049" t="s">
        <v>336</v>
      </c>
      <c r="F79" s="1052" t="s">
        <v>266</v>
      </c>
      <c r="G79" s="1026" t="s">
        <v>269</v>
      </c>
      <c r="H79" s="1040"/>
      <c r="I79" s="1022" t="s">
        <v>267</v>
      </c>
      <c r="J79" s="1032"/>
      <c r="K79" s="1032"/>
      <c r="L79" s="1023"/>
    </row>
    <row r="80" spans="1:12">
      <c r="A80" s="92" t="s">
        <v>93</v>
      </c>
      <c r="B80" s="1048"/>
      <c r="C80" s="1050"/>
      <c r="D80" s="1050"/>
      <c r="E80" s="1050"/>
      <c r="F80" s="1053"/>
      <c r="G80" s="1033"/>
      <c r="H80" s="1046"/>
      <c r="I80" s="1033" t="s">
        <v>243</v>
      </c>
      <c r="J80" s="1034"/>
      <c r="K80" s="1034" t="s">
        <v>256</v>
      </c>
      <c r="L80" s="1035"/>
    </row>
    <row r="81" spans="1:12" ht="14.65" thickBot="1">
      <c r="A81" s="93" t="s">
        <v>18</v>
      </c>
      <c r="B81" s="153" t="s">
        <v>35</v>
      </c>
      <c r="C81" s="154" t="s">
        <v>35</v>
      </c>
      <c r="D81" s="154" t="s">
        <v>35</v>
      </c>
      <c r="E81" s="154" t="s">
        <v>35</v>
      </c>
      <c r="F81" s="423" t="s">
        <v>35</v>
      </c>
      <c r="G81" s="403" t="s">
        <v>257</v>
      </c>
      <c r="H81" s="423" t="s">
        <v>237</v>
      </c>
      <c r="I81" s="403" t="s">
        <v>70</v>
      </c>
      <c r="J81" s="154" t="s">
        <v>237</v>
      </c>
      <c r="K81" s="154" t="s">
        <v>70</v>
      </c>
      <c r="L81" s="155" t="s">
        <v>237</v>
      </c>
    </row>
    <row r="82" spans="1:12">
      <c r="A82" s="148" t="s">
        <v>72</v>
      </c>
      <c r="B82" s="159">
        <f>D40</f>
        <v>468.024</v>
      </c>
      <c r="C82" s="428">
        <f>E40</f>
        <v>304.85806576342503</v>
      </c>
      <c r="D82" s="428">
        <f>F40</f>
        <v>163.165934236575</v>
      </c>
      <c r="E82" s="160">
        <f>$C$69</f>
        <v>22200</v>
      </c>
      <c r="F82" s="440">
        <f>$C$62</f>
        <v>56208</v>
      </c>
      <c r="G82" s="443">
        <f t="shared" ref="G82:G102" si="3">B82/E82*1000000</f>
        <v>21082.162162162163</v>
      </c>
      <c r="H82" s="554">
        <f>G82/1000000</f>
        <v>2.1082162162162164E-2</v>
      </c>
      <c r="I82" s="557">
        <f t="shared" ref="I82:I102" si="4">C82/F82*1000000</f>
        <v>5423.7486792525096</v>
      </c>
      <c r="J82" s="432">
        <f>I82/1000000</f>
        <v>5.4237486792525101E-3</v>
      </c>
      <c r="K82" s="431">
        <f t="shared" ref="K82:K102" si="5">D82/F82*1000000</f>
        <v>2902.8952148550916</v>
      </c>
      <c r="L82" s="433">
        <f>K82/1000000</f>
        <v>2.9028952148550916E-3</v>
      </c>
    </row>
    <row r="83" spans="1:12">
      <c r="A83" s="149" t="s">
        <v>73</v>
      </c>
      <c r="B83" s="161">
        <f>D41</f>
        <v>0.34320000000000001</v>
      </c>
      <c r="C83" s="235">
        <f>E41</f>
        <v>0.27508594065107606</v>
      </c>
      <c r="D83" s="235">
        <f>F41</f>
        <v>6.8114059348923964E-2</v>
      </c>
      <c r="E83" s="119">
        <f t="shared" ref="E83:E102" si="6">$C$69</f>
        <v>22200</v>
      </c>
      <c r="F83" s="441">
        <f t="shared" ref="F83:F102" si="7">$C$62</f>
        <v>56208</v>
      </c>
      <c r="G83" s="444">
        <f t="shared" si="3"/>
        <v>15.459459459459461</v>
      </c>
      <c r="H83" s="555">
        <f t="shared" ref="H83:H102" si="8">G83/1000000</f>
        <v>1.5459459459459461E-5</v>
      </c>
      <c r="I83" s="558">
        <f t="shared" si="4"/>
        <v>4.8940709623376755</v>
      </c>
      <c r="J83" s="427">
        <f t="shared" ref="J83:J102" si="9">I83/1000000</f>
        <v>4.8940709623376754E-6</v>
      </c>
      <c r="K83" s="426">
        <f t="shared" si="5"/>
        <v>1.2118214373207365</v>
      </c>
      <c r="L83" s="434">
        <f t="shared" ref="L83:L102" si="10">K83/1000000</f>
        <v>1.2118214373207366E-6</v>
      </c>
    </row>
    <row r="84" spans="1:12">
      <c r="A84" s="149" t="s">
        <v>74</v>
      </c>
      <c r="B84" s="161">
        <f>D42</f>
        <v>1908</v>
      </c>
      <c r="C84" s="235">
        <f>E42</f>
        <v>301.91686339228244</v>
      </c>
      <c r="D84" s="235">
        <f>F42</f>
        <v>1606.0831366077175</v>
      </c>
      <c r="E84" s="119">
        <f t="shared" si="6"/>
        <v>22200</v>
      </c>
      <c r="F84" s="441">
        <f t="shared" si="7"/>
        <v>56208</v>
      </c>
      <c r="G84" s="444">
        <f t="shared" si="3"/>
        <v>85945.945945945947</v>
      </c>
      <c r="H84" s="555">
        <f t="shared" si="8"/>
        <v>8.5945945945945942E-2</v>
      </c>
      <c r="I84" s="558">
        <f t="shared" si="4"/>
        <v>5371.4215661877752</v>
      </c>
      <c r="J84" s="427">
        <f t="shared" si="9"/>
        <v>5.371421566187775E-3</v>
      </c>
      <c r="K84" s="426">
        <f t="shared" si="5"/>
        <v>28573.924292053045</v>
      </c>
      <c r="L84" s="434">
        <f t="shared" si="10"/>
        <v>2.8573924292053045E-2</v>
      </c>
    </row>
    <row r="85" spans="1:12">
      <c r="A85" s="149" t="s">
        <v>75</v>
      </c>
      <c r="B85" s="161">
        <f>D43</f>
        <v>4.2000000000000003E-2</v>
      </c>
      <c r="C85" s="235">
        <f>E43</f>
        <v>1.064646694279822E-2</v>
      </c>
      <c r="D85" s="235">
        <f>F43</f>
        <v>3.1353533057201781E-2</v>
      </c>
      <c r="E85" s="119">
        <f t="shared" si="6"/>
        <v>22200</v>
      </c>
      <c r="F85" s="441">
        <f t="shared" si="7"/>
        <v>56208</v>
      </c>
      <c r="G85" s="444">
        <f t="shared" si="3"/>
        <v>1.8918918918918919</v>
      </c>
      <c r="H85" s="555">
        <f t="shared" si="8"/>
        <v>1.891891891891892E-6</v>
      </c>
      <c r="I85" s="558">
        <f t="shared" si="4"/>
        <v>0.18941195101761707</v>
      </c>
      <c r="J85" s="427">
        <f t="shared" si="9"/>
        <v>1.8941195101761708E-7</v>
      </c>
      <c r="K85" s="426">
        <f t="shared" si="5"/>
        <v>0.55781264334617464</v>
      </c>
      <c r="L85" s="434">
        <f t="shared" si="10"/>
        <v>5.5781264334617463E-7</v>
      </c>
    </row>
    <row r="86" spans="1:12">
      <c r="A86" s="149" t="s">
        <v>76</v>
      </c>
      <c r="B86" s="161">
        <f>D44</f>
        <v>1.6319999999999999</v>
      </c>
      <c r="C86" s="235">
        <f>E44</f>
        <v>0.65861882563119145</v>
      </c>
      <c r="D86" s="235">
        <f>F44</f>
        <v>0.97338117436880844</v>
      </c>
      <c r="E86" s="119">
        <f t="shared" si="6"/>
        <v>22200</v>
      </c>
      <c r="F86" s="441">
        <f t="shared" si="7"/>
        <v>56208</v>
      </c>
      <c r="G86" s="444">
        <f t="shared" si="3"/>
        <v>73.513513513513502</v>
      </c>
      <c r="H86" s="555">
        <f t="shared" si="8"/>
        <v>7.3513513513513503E-5</v>
      </c>
      <c r="I86" s="558">
        <f t="shared" si="4"/>
        <v>11.717528210062472</v>
      </c>
      <c r="J86" s="427">
        <f t="shared" si="9"/>
        <v>1.1717528210062473E-5</v>
      </c>
      <c r="K86" s="426">
        <f t="shared" si="5"/>
        <v>17.317484599501999</v>
      </c>
      <c r="L86" s="434">
        <f t="shared" si="10"/>
        <v>1.7317484599502E-5</v>
      </c>
    </row>
    <row r="87" spans="1:12">
      <c r="A87" s="150" t="s">
        <v>77</v>
      </c>
      <c r="B87" s="161">
        <f>D45</f>
        <v>7.8719999999999999</v>
      </c>
      <c r="C87" s="235">
        <f>E45</f>
        <v>1.8390803487070237</v>
      </c>
      <c r="D87" s="235">
        <f>F45</f>
        <v>6.0329196512929757</v>
      </c>
      <c r="E87" s="119">
        <f t="shared" si="6"/>
        <v>22200</v>
      </c>
      <c r="F87" s="441">
        <f t="shared" si="7"/>
        <v>56208</v>
      </c>
      <c r="G87" s="444">
        <f t="shared" si="3"/>
        <v>354.59459459459458</v>
      </c>
      <c r="H87" s="555">
        <f t="shared" si="8"/>
        <v>3.545945945945946E-4</v>
      </c>
      <c r="I87" s="558">
        <f t="shared" si="4"/>
        <v>32.719192084881577</v>
      </c>
      <c r="J87" s="427">
        <f t="shared" si="9"/>
        <v>3.271919208488158E-5</v>
      </c>
      <c r="K87" s="426">
        <f t="shared" si="5"/>
        <v>107.33204617301764</v>
      </c>
      <c r="L87" s="434">
        <f t="shared" si="10"/>
        <v>1.0733204617301765E-4</v>
      </c>
    </row>
    <row r="88" spans="1:12">
      <c r="A88" s="150" t="s">
        <v>78</v>
      </c>
      <c r="B88" s="161">
        <f>D46</f>
        <v>1050.924</v>
      </c>
      <c r="C88" s="235">
        <f>E46</f>
        <v>533.71177228080182</v>
      </c>
      <c r="D88" s="235">
        <f>F46</f>
        <v>517.21222771919815</v>
      </c>
      <c r="E88" s="119">
        <f t="shared" si="6"/>
        <v>22200</v>
      </c>
      <c r="F88" s="441">
        <f t="shared" si="7"/>
        <v>56208</v>
      </c>
      <c r="G88" s="444">
        <f t="shared" si="3"/>
        <v>47338.91891891892</v>
      </c>
      <c r="H88" s="555">
        <f t="shared" si="8"/>
        <v>4.7338918918918921E-2</v>
      </c>
      <c r="I88" s="558">
        <f t="shared" si="4"/>
        <v>9495.2991083262496</v>
      </c>
      <c r="J88" s="427">
        <f t="shared" si="9"/>
        <v>9.4952991083262495E-3</v>
      </c>
      <c r="K88" s="426">
        <f t="shared" si="5"/>
        <v>9201.7546918445441</v>
      </c>
      <c r="L88" s="434">
        <f t="shared" si="10"/>
        <v>9.2017546918445447E-3</v>
      </c>
    </row>
    <row r="89" spans="1:12">
      <c r="A89" s="150" t="s">
        <v>79</v>
      </c>
      <c r="B89" s="161">
        <f>D47</f>
        <v>98.76</v>
      </c>
      <c r="C89" s="235">
        <f>E47</f>
        <v>75.142018303578496</v>
      </c>
      <c r="D89" s="235">
        <f>F47</f>
        <v>23.617981696421509</v>
      </c>
      <c r="E89" s="119">
        <f t="shared" si="6"/>
        <v>22200</v>
      </c>
      <c r="F89" s="441">
        <f t="shared" si="7"/>
        <v>56208</v>
      </c>
      <c r="G89" s="444">
        <f t="shared" si="3"/>
        <v>4448.6486486486492</v>
      </c>
      <c r="H89" s="555">
        <f t="shared" si="8"/>
        <v>4.448648648648649E-3</v>
      </c>
      <c r="I89" s="558">
        <f t="shared" si="4"/>
        <v>1336.8562892040013</v>
      </c>
      <c r="J89" s="427">
        <f t="shared" si="9"/>
        <v>1.3368562892040012E-3</v>
      </c>
      <c r="K89" s="426">
        <f t="shared" si="5"/>
        <v>420.18897125714329</v>
      </c>
      <c r="L89" s="434">
        <f t="shared" si="10"/>
        <v>4.2018897125714328E-4</v>
      </c>
    </row>
    <row r="90" spans="1:12">
      <c r="A90" s="150" t="s">
        <v>80</v>
      </c>
      <c r="B90" s="161">
        <f>D48</f>
        <v>154.80000000000001</v>
      </c>
      <c r="C90" s="235">
        <f>E48</f>
        <v>119.7533603478813</v>
      </c>
      <c r="D90" s="235">
        <f>F48</f>
        <v>35.046639652118721</v>
      </c>
      <c r="E90" s="119">
        <f t="shared" si="6"/>
        <v>22200</v>
      </c>
      <c r="F90" s="441">
        <f t="shared" si="7"/>
        <v>56208</v>
      </c>
      <c r="G90" s="444">
        <f t="shared" si="3"/>
        <v>6972.9729729729743</v>
      </c>
      <c r="H90" s="555">
        <f t="shared" si="8"/>
        <v>6.9729729729729739E-3</v>
      </c>
      <c r="I90" s="558">
        <f t="shared" si="4"/>
        <v>2130.5394311820614</v>
      </c>
      <c r="J90" s="427">
        <f t="shared" si="9"/>
        <v>2.1305394311820613E-3</v>
      </c>
      <c r="K90" s="426">
        <f t="shared" si="5"/>
        <v>623.51693090162826</v>
      </c>
      <c r="L90" s="434">
        <f t="shared" si="10"/>
        <v>6.2351693090162831E-4</v>
      </c>
    </row>
    <row r="91" spans="1:12">
      <c r="A91" s="150" t="s">
        <v>81</v>
      </c>
      <c r="B91" s="161">
        <f>D49</f>
        <v>97.2</v>
      </c>
      <c r="C91" s="235">
        <f>E49</f>
        <v>79.757761095277999</v>
      </c>
      <c r="D91" s="235">
        <f>F49</f>
        <v>17.442238904721997</v>
      </c>
      <c r="E91" s="119">
        <f t="shared" si="6"/>
        <v>22200</v>
      </c>
      <c r="F91" s="441">
        <f t="shared" si="7"/>
        <v>56208</v>
      </c>
      <c r="G91" s="444">
        <f t="shared" si="3"/>
        <v>4378.3783783783783</v>
      </c>
      <c r="H91" s="555">
        <f t="shared" si="8"/>
        <v>4.3783783783783786E-3</v>
      </c>
      <c r="I91" s="558">
        <f t="shared" si="4"/>
        <v>1418.9752543281738</v>
      </c>
      <c r="J91" s="427">
        <f t="shared" si="9"/>
        <v>1.4189752543281738E-3</v>
      </c>
      <c r="K91" s="426">
        <f t="shared" si="5"/>
        <v>310.31594977088662</v>
      </c>
      <c r="L91" s="434">
        <f t="shared" si="10"/>
        <v>3.1031594977088664E-4</v>
      </c>
    </row>
    <row r="92" spans="1:12">
      <c r="A92" s="150" t="s">
        <v>82</v>
      </c>
      <c r="B92" s="161">
        <f>D50</f>
        <v>1.5</v>
      </c>
      <c r="C92" s="235">
        <f>E50</f>
        <v>0.65365297004069856</v>
      </c>
      <c r="D92" s="235">
        <f>F50</f>
        <v>0.84634702995930144</v>
      </c>
      <c r="E92" s="119">
        <f t="shared" si="6"/>
        <v>22200</v>
      </c>
      <c r="F92" s="441">
        <f t="shared" si="7"/>
        <v>56208</v>
      </c>
      <c r="G92" s="444">
        <f t="shared" si="3"/>
        <v>67.567567567567565</v>
      </c>
      <c r="H92" s="555">
        <f t="shared" si="8"/>
        <v>6.7567567567567569E-5</v>
      </c>
      <c r="I92" s="558">
        <f t="shared" si="4"/>
        <v>11.629180366508301</v>
      </c>
      <c r="J92" s="427">
        <f t="shared" si="9"/>
        <v>1.1629180366508301E-5</v>
      </c>
      <c r="K92" s="426">
        <f t="shared" si="5"/>
        <v>15.0574122893414</v>
      </c>
      <c r="L92" s="434">
        <f t="shared" si="10"/>
        <v>1.50574122893414E-5</v>
      </c>
    </row>
    <row r="93" spans="1:12">
      <c r="A93" s="150" t="s">
        <v>630</v>
      </c>
      <c r="B93" s="161">
        <f>D51</f>
        <v>979.41600000000005</v>
      </c>
      <c r="C93" s="235">
        <f>E51</f>
        <v>857.80329997494152</v>
      </c>
      <c r="D93" s="235">
        <f>F51</f>
        <v>121.61270002505847</v>
      </c>
      <c r="E93" s="119">
        <f t="shared" si="6"/>
        <v>22200</v>
      </c>
      <c r="F93" s="441">
        <f t="shared" si="7"/>
        <v>56208</v>
      </c>
      <c r="G93" s="444">
        <f t="shared" si="3"/>
        <v>44117.83783783784</v>
      </c>
      <c r="H93" s="555">
        <f t="shared" si="8"/>
        <v>4.4117837837837841E-2</v>
      </c>
      <c r="I93" s="558">
        <f t="shared" si="4"/>
        <v>15261.231496849941</v>
      </c>
      <c r="J93" s="427">
        <f t="shared" si="9"/>
        <v>1.5261231496849941E-2</v>
      </c>
      <c r="K93" s="426">
        <f t="shared" si="5"/>
        <v>2163.6190582311856</v>
      </c>
      <c r="L93" s="434">
        <f t="shared" si="10"/>
        <v>2.1636190582311858E-3</v>
      </c>
    </row>
    <row r="94" spans="1:12">
      <c r="A94" s="150" t="s">
        <v>96</v>
      </c>
      <c r="B94" s="161">
        <f>$C$30*31/98</f>
        <v>2087.7551020408168</v>
      </c>
      <c r="C94" s="235">
        <f>$C$30*31/98</f>
        <v>2087.7551020408168</v>
      </c>
      <c r="D94" s="235">
        <v>0</v>
      </c>
      <c r="E94" s="119">
        <f t="shared" si="6"/>
        <v>22200</v>
      </c>
      <c r="F94" s="441">
        <f t="shared" si="7"/>
        <v>56208</v>
      </c>
      <c r="G94" s="444">
        <f t="shared" si="3"/>
        <v>94043.022614451198</v>
      </c>
      <c r="H94" s="555">
        <f t="shared" si="8"/>
        <v>9.4043022614451202E-2</v>
      </c>
      <c r="I94" s="558">
        <f t="shared" si="4"/>
        <v>37143.379982223472</v>
      </c>
      <c r="J94" s="427">
        <f t="shared" si="9"/>
        <v>3.7143379982223473E-2</v>
      </c>
      <c r="K94" s="426">
        <f t="shared" si="5"/>
        <v>0</v>
      </c>
      <c r="L94" s="434">
        <f t="shared" si="10"/>
        <v>0</v>
      </c>
    </row>
    <row r="95" spans="1:12">
      <c r="A95" s="150" t="s">
        <v>97</v>
      </c>
      <c r="B95" s="161">
        <f>B93+B94</f>
        <v>3067.171102040817</v>
      </c>
      <c r="C95" s="235">
        <f>C93+C94</f>
        <v>2945.5584020157585</v>
      </c>
      <c r="D95" s="235">
        <f>D93+D94</f>
        <v>121.61270002505847</v>
      </c>
      <c r="E95" s="119">
        <f t="shared" si="6"/>
        <v>22200</v>
      </c>
      <c r="F95" s="441">
        <f t="shared" si="7"/>
        <v>56208</v>
      </c>
      <c r="G95" s="444">
        <f t="shared" si="3"/>
        <v>138160.86045228905</v>
      </c>
      <c r="H95" s="555">
        <f t="shared" si="8"/>
        <v>0.13816086045228906</v>
      </c>
      <c r="I95" s="558">
        <f t="shared" si="4"/>
        <v>52404.611479073414</v>
      </c>
      <c r="J95" s="427">
        <f t="shared" si="9"/>
        <v>5.2404611479073417E-2</v>
      </c>
      <c r="K95" s="426">
        <f t="shared" si="5"/>
        <v>2163.6190582311856</v>
      </c>
      <c r="L95" s="434">
        <f t="shared" si="10"/>
        <v>2.1636190582311858E-3</v>
      </c>
    </row>
    <row r="96" spans="1:12">
      <c r="A96" s="150" t="s">
        <v>84</v>
      </c>
      <c r="B96" s="161">
        <f>D52</f>
        <v>1.488</v>
      </c>
      <c r="C96" s="235">
        <f>E52</f>
        <v>0.34297471315153155</v>
      </c>
      <c r="D96" s="235">
        <f>F52</f>
        <v>1.1450252868484685</v>
      </c>
      <c r="E96" s="119">
        <f t="shared" si="6"/>
        <v>22200</v>
      </c>
      <c r="F96" s="441">
        <f t="shared" si="7"/>
        <v>56208</v>
      </c>
      <c r="G96" s="444">
        <f t="shared" si="3"/>
        <v>67.027027027027032</v>
      </c>
      <c r="H96" s="555">
        <f t="shared" si="8"/>
        <v>6.7027027027027027E-5</v>
      </c>
      <c r="I96" s="558">
        <f t="shared" si="4"/>
        <v>6.101884307421213</v>
      </c>
      <c r="J96" s="427">
        <f t="shared" si="9"/>
        <v>6.1018843074212133E-6</v>
      </c>
      <c r="K96" s="426">
        <f t="shared" si="5"/>
        <v>20.371215607181689</v>
      </c>
      <c r="L96" s="434">
        <f t="shared" si="10"/>
        <v>2.0371215607181691E-5</v>
      </c>
    </row>
    <row r="97" spans="1:12">
      <c r="A97" s="150" t="s">
        <v>631</v>
      </c>
      <c r="B97" s="161">
        <f>D53</f>
        <v>226.8</v>
      </c>
      <c r="C97" s="235">
        <v>0</v>
      </c>
      <c r="D97" s="235">
        <f>D53</f>
        <v>226.8</v>
      </c>
      <c r="E97" s="119">
        <f t="shared" si="6"/>
        <v>22200</v>
      </c>
      <c r="F97" s="441">
        <f t="shared" si="7"/>
        <v>56208</v>
      </c>
      <c r="G97" s="444">
        <f t="shared" si="3"/>
        <v>10216.216216216217</v>
      </c>
      <c r="H97" s="555">
        <f t="shared" si="8"/>
        <v>1.0216216216216217E-2</v>
      </c>
      <c r="I97" s="558">
        <f t="shared" si="4"/>
        <v>0</v>
      </c>
      <c r="J97" s="427">
        <f t="shared" si="9"/>
        <v>0</v>
      </c>
      <c r="K97" s="426">
        <f t="shared" si="5"/>
        <v>4035.0128095644745</v>
      </c>
      <c r="L97" s="434">
        <f t="shared" si="10"/>
        <v>4.0350128095644746E-3</v>
      </c>
    </row>
    <row r="98" spans="1:12">
      <c r="A98" s="150" t="s">
        <v>250</v>
      </c>
      <c r="B98" s="161">
        <f>$C$25*32/98</f>
        <v>1175.5102040816328</v>
      </c>
      <c r="C98" s="235">
        <v>0</v>
      </c>
      <c r="D98" s="235">
        <f>$C$25*32/98</f>
        <v>1175.5102040816328</v>
      </c>
      <c r="E98" s="119">
        <f t="shared" si="6"/>
        <v>22200</v>
      </c>
      <c r="F98" s="441">
        <f t="shared" si="7"/>
        <v>56208</v>
      </c>
      <c r="G98" s="444">
        <f t="shared" si="3"/>
        <v>52950.910093767241</v>
      </c>
      <c r="H98" s="555">
        <f t="shared" si="8"/>
        <v>5.2950910093767241E-2</v>
      </c>
      <c r="I98" s="558">
        <f t="shared" si="4"/>
        <v>0</v>
      </c>
      <c r="J98" s="427">
        <f t="shared" si="9"/>
        <v>0</v>
      </c>
      <c r="K98" s="426">
        <f t="shared" si="5"/>
        <v>20913.574652747524</v>
      </c>
      <c r="L98" s="434">
        <f t="shared" si="10"/>
        <v>2.0913574652747523E-2</v>
      </c>
    </row>
    <row r="99" spans="1:12">
      <c r="A99" s="150" t="s">
        <v>251</v>
      </c>
      <c r="B99" s="161">
        <f>B97+B98</f>
        <v>1402.3102040816327</v>
      </c>
      <c r="C99" s="235">
        <v>0</v>
      </c>
      <c r="D99" s="235">
        <f>D97+D98</f>
        <v>1402.3102040816327</v>
      </c>
      <c r="E99" s="119">
        <f t="shared" si="6"/>
        <v>22200</v>
      </c>
      <c r="F99" s="441">
        <f t="shared" si="7"/>
        <v>56208</v>
      </c>
      <c r="G99" s="444">
        <f t="shared" si="3"/>
        <v>63167.126309983461</v>
      </c>
      <c r="H99" s="555">
        <f t="shared" si="8"/>
        <v>6.316712630998346E-2</v>
      </c>
      <c r="I99" s="558">
        <f t="shared" si="4"/>
        <v>0</v>
      </c>
      <c r="J99" s="427">
        <f t="shared" si="9"/>
        <v>0</v>
      </c>
      <c r="K99" s="426">
        <f t="shared" si="5"/>
        <v>24948.587462311996</v>
      </c>
      <c r="L99" s="434">
        <f t="shared" si="10"/>
        <v>2.4948587462311995E-2</v>
      </c>
    </row>
    <row r="100" spans="1:12">
      <c r="A100" s="151" t="s">
        <v>238</v>
      </c>
      <c r="B100" s="161">
        <f>B99/32*96</f>
        <v>4206.9306122448979</v>
      </c>
      <c r="C100" s="235">
        <v>0</v>
      </c>
      <c r="D100" s="235">
        <f>D99/32*96</f>
        <v>4206.9306122448979</v>
      </c>
      <c r="E100" s="119">
        <f t="shared" si="6"/>
        <v>22200</v>
      </c>
      <c r="F100" s="441">
        <f t="shared" si="7"/>
        <v>56208</v>
      </c>
      <c r="G100" s="444">
        <f t="shared" si="3"/>
        <v>189501.37892995036</v>
      </c>
      <c r="H100" s="555">
        <f t="shared" si="8"/>
        <v>0.18950137892995036</v>
      </c>
      <c r="I100" s="558">
        <f t="shared" si="4"/>
        <v>0</v>
      </c>
      <c r="J100" s="427">
        <f t="shared" si="9"/>
        <v>0</v>
      </c>
      <c r="K100" s="426">
        <f t="shared" si="5"/>
        <v>74845.762386935996</v>
      </c>
      <c r="L100" s="434">
        <f t="shared" si="10"/>
        <v>7.4845762386935993E-2</v>
      </c>
    </row>
    <row r="101" spans="1:12">
      <c r="A101" s="151" t="s">
        <v>239</v>
      </c>
      <c r="B101" s="161">
        <f>B99/32*136</f>
        <v>5959.8183673469393</v>
      </c>
      <c r="C101" s="235">
        <v>0</v>
      </c>
      <c r="D101" s="235">
        <f>D99/32*136</f>
        <v>5959.8183673469393</v>
      </c>
      <c r="E101" s="119">
        <f t="shared" si="6"/>
        <v>22200</v>
      </c>
      <c r="F101" s="441">
        <f t="shared" si="7"/>
        <v>56208</v>
      </c>
      <c r="G101" s="444">
        <f t="shared" si="3"/>
        <v>268460.2868174297</v>
      </c>
      <c r="H101" s="555">
        <f t="shared" si="8"/>
        <v>0.26846028681742973</v>
      </c>
      <c r="I101" s="558">
        <f t="shared" si="4"/>
        <v>0</v>
      </c>
      <c r="J101" s="427">
        <f t="shared" si="9"/>
        <v>0</v>
      </c>
      <c r="K101" s="426">
        <f t="shared" si="5"/>
        <v>106031.49671482599</v>
      </c>
      <c r="L101" s="434">
        <f t="shared" si="10"/>
        <v>0.10603149671482599</v>
      </c>
    </row>
    <row r="102" spans="1:12" ht="14.65" thickBot="1">
      <c r="A102" s="152" t="s">
        <v>86</v>
      </c>
      <c r="B102" s="162">
        <f>D54</f>
        <v>28.236000000000001</v>
      </c>
      <c r="C102" s="236">
        <f>E54</f>
        <v>12.364389620715265</v>
      </c>
      <c r="D102" s="236">
        <f>F54</f>
        <v>15.871610379284736</v>
      </c>
      <c r="E102" s="135">
        <f t="shared" si="6"/>
        <v>22200</v>
      </c>
      <c r="F102" s="442">
        <f t="shared" si="7"/>
        <v>56208</v>
      </c>
      <c r="G102" s="445">
        <f t="shared" si="3"/>
        <v>1271.8918918918919</v>
      </c>
      <c r="H102" s="556">
        <f t="shared" si="8"/>
        <v>1.271891891891892E-3</v>
      </c>
      <c r="I102" s="559">
        <f t="shared" si="4"/>
        <v>219.97561949749618</v>
      </c>
      <c r="J102" s="438">
        <f t="shared" si="9"/>
        <v>2.1997561949749618E-4</v>
      </c>
      <c r="K102" s="437">
        <f t="shared" si="5"/>
        <v>282.3728006562186</v>
      </c>
      <c r="L102" s="439">
        <f t="shared" si="10"/>
        <v>2.823728006562186E-4</v>
      </c>
    </row>
    <row r="104" spans="1:12">
      <c r="A104" s="1" t="s">
        <v>98</v>
      </c>
      <c r="B104" s="1"/>
      <c r="C104" s="1"/>
      <c r="D104" s="792"/>
    </row>
    <row r="105" spans="1:12" ht="14.65" thickBot="1">
      <c r="A105" s="79" t="s">
        <v>360</v>
      </c>
      <c r="B105" s="79"/>
      <c r="C105" s="79"/>
    </row>
    <row r="106" spans="1:12">
      <c r="A106" s="496" t="s">
        <v>100</v>
      </c>
      <c r="B106" s="493">
        <v>0.05</v>
      </c>
      <c r="C106" s="304" t="s">
        <v>101</v>
      </c>
    </row>
    <row r="107" spans="1:12">
      <c r="A107" s="392" t="s">
        <v>102</v>
      </c>
      <c r="B107" s="494">
        <v>1.86</v>
      </c>
      <c r="C107" s="72" t="s">
        <v>103</v>
      </c>
    </row>
    <row r="108" spans="1:12">
      <c r="A108" s="392" t="s">
        <v>104</v>
      </c>
      <c r="B108" s="494">
        <v>0.997</v>
      </c>
      <c r="C108" s="72" t="s">
        <v>103</v>
      </c>
    </row>
    <row r="109" spans="1:12">
      <c r="A109" s="392" t="s">
        <v>105</v>
      </c>
      <c r="B109" s="494">
        <v>1.0206786471090072</v>
      </c>
      <c r="C109" s="72" t="s">
        <v>103</v>
      </c>
    </row>
    <row r="110" spans="1:12" ht="14.65" thickBot="1">
      <c r="A110" s="393" t="s">
        <v>334</v>
      </c>
      <c r="B110" s="495">
        <v>0.02</v>
      </c>
      <c r="C110" s="76" t="s">
        <v>25</v>
      </c>
    </row>
    <row r="112" spans="1:12" ht="14.65" thickBot="1">
      <c r="A112" s="79" t="s">
        <v>271</v>
      </c>
    </row>
    <row r="113" spans="1:3" ht="14.65" thickBot="1">
      <c r="A113" s="103" t="s">
        <v>53</v>
      </c>
      <c r="B113" s="102" t="s">
        <v>18</v>
      </c>
      <c r="C113" s="17" t="s">
        <v>106</v>
      </c>
    </row>
    <row r="114" spans="1:3">
      <c r="A114" s="243" t="s">
        <v>4</v>
      </c>
      <c r="B114" s="269" t="s">
        <v>35</v>
      </c>
      <c r="C114" s="386">
        <f>C62</f>
        <v>56208</v>
      </c>
    </row>
    <row r="115" spans="1:3">
      <c r="A115" s="392" t="s">
        <v>107</v>
      </c>
      <c r="B115" s="105" t="s">
        <v>108</v>
      </c>
      <c r="C115" s="450">
        <v>1.3</v>
      </c>
    </row>
    <row r="116" spans="1:3">
      <c r="A116" s="257" t="s">
        <v>109</v>
      </c>
      <c r="B116" s="105" t="s">
        <v>110</v>
      </c>
      <c r="C116" s="84">
        <f>C114/C115</f>
        <v>43236.923076923078</v>
      </c>
    </row>
    <row r="117" spans="1:3">
      <c r="A117" s="281" t="s">
        <v>334</v>
      </c>
      <c r="B117" s="305" t="s">
        <v>25</v>
      </c>
      <c r="C117" s="306">
        <f>$B$110</f>
        <v>0.02</v>
      </c>
    </row>
    <row r="118" spans="1:3">
      <c r="A118" s="281" t="s">
        <v>111</v>
      </c>
      <c r="B118" s="278" t="s">
        <v>110</v>
      </c>
      <c r="C118" s="289">
        <f>C116*C117</f>
        <v>864.73846153846159</v>
      </c>
    </row>
    <row r="119" spans="1:3">
      <c r="A119" s="281" t="s">
        <v>112</v>
      </c>
      <c r="B119" s="278" t="s">
        <v>108</v>
      </c>
      <c r="C119" s="307">
        <f>B109</f>
        <v>1.0206786471090072</v>
      </c>
    </row>
    <row r="120" spans="1:3" ht="14.65" thickBot="1">
      <c r="A120" s="255" t="s">
        <v>334</v>
      </c>
      <c r="B120" s="271" t="s">
        <v>35</v>
      </c>
      <c r="C120" s="280">
        <f>C118*C119</f>
        <v>882.62008302620131</v>
      </c>
    </row>
    <row r="121" spans="1:3">
      <c r="A121" s="83"/>
      <c r="B121" s="77"/>
      <c r="C121" s="96"/>
    </row>
    <row r="122" spans="1:3" hidden="1">
      <c r="A122" s="79" t="s">
        <v>47</v>
      </c>
      <c r="B122" s="79"/>
      <c r="C122" s="79"/>
    </row>
    <row r="123" spans="1:3" ht="14.65" hidden="1" thickBot="1">
      <c r="A123" s="103" t="s">
        <v>53</v>
      </c>
      <c r="B123" s="102" t="s">
        <v>18</v>
      </c>
      <c r="C123" s="17" t="s">
        <v>106</v>
      </c>
    </row>
    <row r="124" spans="1:3" hidden="1">
      <c r="A124" s="308" t="s">
        <v>627</v>
      </c>
      <c r="B124" s="309" t="s">
        <v>35</v>
      </c>
      <c r="C124" s="294">
        <f>$C$22</f>
        <v>12000</v>
      </c>
    </row>
    <row r="125" spans="1:3" hidden="1">
      <c r="A125" s="282" t="s">
        <v>32</v>
      </c>
      <c r="B125" s="288" t="s">
        <v>35</v>
      </c>
      <c r="C125" s="295">
        <f>$C$25</f>
        <v>3600</v>
      </c>
    </row>
    <row r="126" spans="1:3" hidden="1">
      <c r="A126" s="282" t="s">
        <v>629</v>
      </c>
      <c r="B126" s="288" t="s">
        <v>35</v>
      </c>
      <c r="C126" s="295">
        <f>$C$30</f>
        <v>6600.0000000000009</v>
      </c>
    </row>
    <row r="127" spans="1:3" hidden="1">
      <c r="A127" s="282" t="s">
        <v>115</v>
      </c>
      <c r="B127" s="288" t="s">
        <v>24</v>
      </c>
      <c r="C127" s="312">
        <f>$B$106</f>
        <v>0.05</v>
      </c>
    </row>
    <row r="128" spans="1:3" hidden="1">
      <c r="A128" s="282" t="s">
        <v>113</v>
      </c>
      <c r="B128" s="288" t="s">
        <v>35</v>
      </c>
      <c r="C128" s="295">
        <f>$C$120</f>
        <v>882.62008302620131</v>
      </c>
    </row>
    <row r="129" spans="1:3" hidden="1">
      <c r="A129" s="282" t="s">
        <v>116</v>
      </c>
      <c r="B129" s="288" t="s">
        <v>35</v>
      </c>
      <c r="C129" s="295">
        <f>C128*C127</f>
        <v>44.131004151310066</v>
      </c>
    </row>
    <row r="130" spans="1:3" hidden="1">
      <c r="A130" s="282" t="s">
        <v>430</v>
      </c>
      <c r="B130" s="288" t="s">
        <v>35</v>
      </c>
      <c r="C130" s="279">
        <f>C124+C125+C126+C129</f>
        <v>22244.13100415131</v>
      </c>
    </row>
    <row r="131" spans="1:3" hidden="1">
      <c r="A131" s="282" t="s">
        <v>114</v>
      </c>
      <c r="B131" s="288" t="s">
        <v>35</v>
      </c>
      <c r="C131" s="279">
        <f>$C$62+$C$120</f>
        <v>57090.620083026202</v>
      </c>
    </row>
    <row r="132" spans="1:3" hidden="1">
      <c r="A132" s="310" t="s">
        <v>64</v>
      </c>
      <c r="B132" s="283" t="s">
        <v>24</v>
      </c>
      <c r="C132" s="300">
        <f>C130/C131</f>
        <v>0.38962847087318264</v>
      </c>
    </row>
    <row r="133" spans="1:3" hidden="1">
      <c r="A133" s="282" t="s">
        <v>628</v>
      </c>
      <c r="B133" s="288" t="s">
        <v>35</v>
      </c>
      <c r="C133" s="279">
        <f>$C$24</f>
        <v>34008</v>
      </c>
    </row>
    <row r="134" spans="1:3" hidden="1">
      <c r="A134" s="282" t="s">
        <v>117</v>
      </c>
      <c r="B134" s="288" t="s">
        <v>24</v>
      </c>
      <c r="C134" s="312">
        <f>1-$B$106</f>
        <v>0.95</v>
      </c>
    </row>
    <row r="135" spans="1:3" hidden="1">
      <c r="A135" s="282" t="s">
        <v>113</v>
      </c>
      <c r="B135" s="288" t="s">
        <v>35</v>
      </c>
      <c r="C135" s="295">
        <f>$C$120</f>
        <v>882.62008302620131</v>
      </c>
    </row>
    <row r="136" spans="1:3" hidden="1">
      <c r="A136" s="282" t="s">
        <v>118</v>
      </c>
      <c r="B136" s="81" t="s">
        <v>35</v>
      </c>
      <c r="C136" s="84">
        <f>C134*C135</f>
        <v>838.48907887489122</v>
      </c>
    </row>
    <row r="137" spans="1:3" hidden="1">
      <c r="A137" s="282" t="s">
        <v>65</v>
      </c>
      <c r="B137" s="81" t="s">
        <v>35</v>
      </c>
      <c r="C137" s="84">
        <f>C133+C136</f>
        <v>34846.489078874889</v>
      </c>
    </row>
    <row r="138" spans="1:3" hidden="1">
      <c r="A138" s="282" t="s">
        <v>114</v>
      </c>
      <c r="B138" s="81" t="s">
        <v>35</v>
      </c>
      <c r="C138" s="84">
        <f>$C$62+$C$120</f>
        <v>57090.620083026202</v>
      </c>
    </row>
    <row r="139" spans="1:3" ht="14.65" hidden="1" thickBot="1">
      <c r="A139" s="311" t="s">
        <v>66</v>
      </c>
      <c r="B139" s="284" t="s">
        <v>24</v>
      </c>
      <c r="C139" s="303">
        <f>C137/C138</f>
        <v>0.61037152912681736</v>
      </c>
    </row>
    <row r="140" spans="1:3" hidden="1">
      <c r="A140" s="83"/>
      <c r="B140" s="77"/>
      <c r="C140" s="96"/>
    </row>
    <row r="141" spans="1:3" ht="14.65" thickBot="1">
      <c r="A141" s="79" t="s">
        <v>119</v>
      </c>
    </row>
    <row r="142" spans="1:3" ht="14.65" thickBot="1">
      <c r="A142" s="905" t="s">
        <v>23</v>
      </c>
      <c r="B142" s="1070">
        <v>1.7</v>
      </c>
      <c r="C142" s="1071"/>
    </row>
    <row r="143" spans="1:3" ht="14.65" thickBot="1">
      <c r="A143" s="2"/>
      <c r="B143" s="1072" t="s">
        <v>120</v>
      </c>
      <c r="C143" s="1073"/>
    </row>
    <row r="144" spans="1:3">
      <c r="A144" s="703" t="s">
        <v>77</v>
      </c>
      <c r="B144" s="880" t="s">
        <v>157</v>
      </c>
      <c r="C144" s="906">
        <v>0.99</v>
      </c>
    </row>
    <row r="145" spans="1:4">
      <c r="A145" s="232" t="s">
        <v>73</v>
      </c>
      <c r="B145" s="881" t="s">
        <v>158</v>
      </c>
      <c r="C145" s="882">
        <v>0.9</v>
      </c>
    </row>
    <row r="146" spans="1:4">
      <c r="A146" s="232" t="s">
        <v>86</v>
      </c>
      <c r="B146" s="881" t="s">
        <v>159</v>
      </c>
      <c r="C146" s="882">
        <v>0.95</v>
      </c>
    </row>
    <row r="147" spans="1:4">
      <c r="A147" s="232" t="s">
        <v>82</v>
      </c>
      <c r="B147" s="881" t="s">
        <v>160</v>
      </c>
      <c r="C147" s="907">
        <v>2.5000000000000001E-2</v>
      </c>
    </row>
    <row r="148" spans="1:4">
      <c r="A148" s="232" t="s">
        <v>72</v>
      </c>
      <c r="B148" s="881" t="s">
        <v>160</v>
      </c>
      <c r="C148" s="907">
        <v>2.5000000000000001E-2</v>
      </c>
    </row>
    <row r="149" spans="1:4">
      <c r="A149" s="232" t="s">
        <v>78</v>
      </c>
      <c r="B149" s="881" t="s">
        <v>160</v>
      </c>
      <c r="C149" s="907">
        <v>2.5000000000000001E-2</v>
      </c>
    </row>
    <row r="150" spans="1:4">
      <c r="A150" s="232" t="s">
        <v>80</v>
      </c>
      <c r="B150" s="881" t="s">
        <v>160</v>
      </c>
      <c r="C150" s="907">
        <v>2.5000000000000001E-2</v>
      </c>
    </row>
    <row r="151" spans="1:4">
      <c r="A151" s="232" t="s">
        <v>83</v>
      </c>
      <c r="B151" s="881" t="s">
        <v>160</v>
      </c>
      <c r="C151" s="907">
        <v>2.5000000000000001E-2</v>
      </c>
    </row>
    <row r="152" spans="1:4">
      <c r="A152" s="232" t="s">
        <v>79</v>
      </c>
      <c r="B152" s="881" t="s">
        <v>160</v>
      </c>
      <c r="C152" s="907">
        <v>2.5000000000000001E-2</v>
      </c>
    </row>
    <row r="153" spans="1:4">
      <c r="A153" s="232" t="s">
        <v>75</v>
      </c>
      <c r="B153" s="881" t="s">
        <v>322</v>
      </c>
      <c r="C153" s="908">
        <v>2.5000000000000001E-2</v>
      </c>
    </row>
    <row r="154" spans="1:4" ht="14.65" thickBot="1">
      <c r="A154" s="233" t="s">
        <v>84</v>
      </c>
      <c r="B154" s="883" t="s">
        <v>323</v>
      </c>
      <c r="C154" s="909">
        <v>2.5000000000000001E-2</v>
      </c>
    </row>
    <row r="155" spans="1:4">
      <c r="A155" s="78"/>
      <c r="B155" s="97"/>
      <c r="C155" s="98"/>
    </row>
    <row r="156" spans="1:4" ht="14.65" thickBot="1">
      <c r="A156" s="79" t="s">
        <v>273</v>
      </c>
    </row>
    <row r="157" spans="1:4">
      <c r="A157" s="18"/>
      <c r="B157" s="266" t="s">
        <v>120</v>
      </c>
      <c r="C157" s="274" t="s">
        <v>243</v>
      </c>
      <c r="D157" s="275" t="s">
        <v>244</v>
      </c>
    </row>
    <row r="158" spans="1:4" ht="14.65" thickBot="1">
      <c r="A158" s="21"/>
      <c r="B158" s="451" t="s">
        <v>24</v>
      </c>
      <c r="C158" s="154" t="s">
        <v>35</v>
      </c>
      <c r="D158" s="155" t="s">
        <v>35</v>
      </c>
    </row>
    <row r="159" spans="1:4">
      <c r="A159" s="184" t="s">
        <v>72</v>
      </c>
      <c r="B159" s="399">
        <f>C148</f>
        <v>2.5000000000000001E-2</v>
      </c>
      <c r="C159" s="428">
        <f>E40</f>
        <v>304.85806576342503</v>
      </c>
      <c r="D159" s="122">
        <f>C159*B159</f>
        <v>7.6214516440856261</v>
      </c>
    </row>
    <row r="160" spans="1:4">
      <c r="A160" s="185" t="s">
        <v>73</v>
      </c>
      <c r="B160" s="352">
        <f>C145</f>
        <v>0.9</v>
      </c>
      <c r="C160" s="235">
        <f>E41</f>
        <v>0.27508594065107606</v>
      </c>
      <c r="D160" s="87">
        <f>C160*B160</f>
        <v>0.24757734658596844</v>
      </c>
    </row>
    <row r="161" spans="1:4">
      <c r="A161" s="185" t="s">
        <v>75</v>
      </c>
      <c r="B161" s="400">
        <f>C153</f>
        <v>2.5000000000000001E-2</v>
      </c>
      <c r="C161" s="235">
        <f>E43</f>
        <v>1.064646694279822E-2</v>
      </c>
      <c r="D161" s="739">
        <f t="shared" ref="D161:D177" si="11">C161*B161</f>
        <v>2.6616167356995551E-4</v>
      </c>
    </row>
    <row r="162" spans="1:4">
      <c r="A162" s="186" t="s">
        <v>77</v>
      </c>
      <c r="B162" s="352">
        <f>C144</f>
        <v>0.99</v>
      </c>
      <c r="C162" s="235">
        <f>E45</f>
        <v>1.8390803487070237</v>
      </c>
      <c r="D162" s="87">
        <f t="shared" si="11"/>
        <v>1.8206895452199534</v>
      </c>
    </row>
    <row r="163" spans="1:4">
      <c r="A163" s="186" t="s">
        <v>78</v>
      </c>
      <c r="B163" s="400">
        <f>C149</f>
        <v>2.5000000000000001E-2</v>
      </c>
      <c r="C163" s="235">
        <f>E46</f>
        <v>533.71177228080182</v>
      </c>
      <c r="D163" s="87">
        <f t="shared" si="11"/>
        <v>13.342794307020046</v>
      </c>
    </row>
    <row r="164" spans="1:4">
      <c r="A164" s="186" t="s">
        <v>79</v>
      </c>
      <c r="B164" s="400">
        <f>C152</f>
        <v>2.5000000000000001E-2</v>
      </c>
      <c r="C164" s="235">
        <f>E47</f>
        <v>75.142018303578496</v>
      </c>
      <c r="D164" s="87">
        <f t="shared" si="11"/>
        <v>1.8785504575894625</v>
      </c>
    </row>
    <row r="165" spans="1:4">
      <c r="A165" s="186" t="s">
        <v>80</v>
      </c>
      <c r="B165" s="400">
        <f>C150</f>
        <v>2.5000000000000001E-2</v>
      </c>
      <c r="C165" s="235">
        <f>E48</f>
        <v>119.7533603478813</v>
      </c>
      <c r="D165" s="87">
        <f t="shared" si="11"/>
        <v>2.9938340086970325</v>
      </c>
    </row>
    <row r="166" spans="1:4">
      <c r="A166" s="186" t="s">
        <v>82</v>
      </c>
      <c r="B166" s="400">
        <f>C147</f>
        <v>2.5000000000000001E-2</v>
      </c>
      <c r="C166" s="235">
        <f>E50</f>
        <v>0.65365297004069856</v>
      </c>
      <c r="D166" s="87">
        <f t="shared" si="11"/>
        <v>1.6341324251017465E-2</v>
      </c>
    </row>
    <row r="167" spans="1:4">
      <c r="A167" s="186" t="s">
        <v>630</v>
      </c>
      <c r="B167" s="400">
        <f>C151</f>
        <v>2.5000000000000001E-2</v>
      </c>
      <c r="C167" s="235">
        <f>E51</f>
        <v>857.80329997494152</v>
      </c>
      <c r="D167" s="87">
        <f t="shared" si="11"/>
        <v>21.445082499373541</v>
      </c>
    </row>
    <row r="168" spans="1:4">
      <c r="A168" s="406" t="s">
        <v>96</v>
      </c>
      <c r="B168" s="400">
        <f>C151</f>
        <v>2.5000000000000001E-2</v>
      </c>
      <c r="C168" s="235">
        <f>B94</f>
        <v>2087.7551020408168</v>
      </c>
      <c r="D168" s="87">
        <f t="shared" si="11"/>
        <v>52.193877551020421</v>
      </c>
    </row>
    <row r="169" spans="1:4">
      <c r="A169" s="406" t="s">
        <v>274</v>
      </c>
      <c r="B169" s="400">
        <f>C151</f>
        <v>2.5000000000000001E-2</v>
      </c>
      <c r="C169" s="235">
        <f>C167+C168</f>
        <v>2945.5584020157585</v>
      </c>
      <c r="D169" s="87">
        <f t="shared" si="11"/>
        <v>73.638960050393962</v>
      </c>
    </row>
    <row r="170" spans="1:4">
      <c r="A170" s="406" t="s">
        <v>84</v>
      </c>
      <c r="B170" s="400">
        <f>C154</f>
        <v>2.5000000000000001E-2</v>
      </c>
      <c r="C170" s="235">
        <f>E52</f>
        <v>0.34297471315153155</v>
      </c>
      <c r="D170" s="87">
        <f t="shared" si="11"/>
        <v>8.5743678287882891E-3</v>
      </c>
    </row>
    <row r="171" spans="1:4">
      <c r="A171" s="186" t="s">
        <v>631</v>
      </c>
      <c r="B171" s="402">
        <v>1</v>
      </c>
      <c r="C171" s="235">
        <f>B97</f>
        <v>226.8</v>
      </c>
      <c r="D171" s="87">
        <f t="shared" si="11"/>
        <v>226.8</v>
      </c>
    </row>
    <row r="172" spans="1:4">
      <c r="A172" s="186" t="s">
        <v>250</v>
      </c>
      <c r="B172" s="396">
        <v>1</v>
      </c>
      <c r="C172" s="235">
        <f>B98</f>
        <v>1175.5102040816328</v>
      </c>
      <c r="D172" s="87">
        <f t="shared" si="11"/>
        <v>1175.5102040816328</v>
      </c>
    </row>
    <row r="173" spans="1:4">
      <c r="A173" s="186" t="s">
        <v>251</v>
      </c>
      <c r="B173" s="397">
        <v>1</v>
      </c>
      <c r="C173" s="573">
        <f>C171+C172</f>
        <v>1402.3102040816327</v>
      </c>
      <c r="D173" s="87">
        <f>C173*B173</f>
        <v>1402.3102040816327</v>
      </c>
    </row>
    <row r="174" spans="1:4">
      <c r="A174" s="406" t="s">
        <v>238</v>
      </c>
      <c r="B174" s="397">
        <v>1</v>
      </c>
      <c r="C174" s="573">
        <f>C173/32*96</f>
        <v>4206.9306122448979</v>
      </c>
      <c r="D174" s="87">
        <f>C174*B174</f>
        <v>4206.9306122448979</v>
      </c>
    </row>
    <row r="175" spans="1:4">
      <c r="A175" s="406" t="s">
        <v>239</v>
      </c>
      <c r="B175" s="397">
        <v>1</v>
      </c>
      <c r="C175" s="573">
        <f>C173/32*136</f>
        <v>5959.8183673469393</v>
      </c>
      <c r="D175" s="87">
        <f>C175*B175</f>
        <v>5959.8183673469393</v>
      </c>
    </row>
    <row r="176" spans="1:4">
      <c r="A176" s="406" t="s">
        <v>248</v>
      </c>
      <c r="B176" s="396">
        <v>1</v>
      </c>
      <c r="C176" s="235">
        <f>C120*B106*32/78</f>
        <v>18.105027344127205</v>
      </c>
      <c r="D176" s="87">
        <f>C176*B176</f>
        <v>18.105027344127205</v>
      </c>
    </row>
    <row r="177" spans="1:4" ht="14.65" thickBot="1">
      <c r="A177" s="187" t="s">
        <v>86</v>
      </c>
      <c r="B177" s="353">
        <f>C146</f>
        <v>0.95</v>
      </c>
      <c r="C177" s="236">
        <f>E54</f>
        <v>12.364389620715265</v>
      </c>
      <c r="D177" s="88">
        <f t="shared" si="11"/>
        <v>11.746170139679501</v>
      </c>
    </row>
    <row r="179" spans="1:4" ht="14.65" thickBot="1">
      <c r="A179" s="79" t="s">
        <v>272</v>
      </c>
      <c r="D179" s="99"/>
    </row>
    <row r="180" spans="1:4" ht="14.65" thickBot="1">
      <c r="A180" s="103" t="s">
        <v>90</v>
      </c>
      <c r="B180" s="102" t="s">
        <v>18</v>
      </c>
      <c r="C180" s="17" t="s">
        <v>91</v>
      </c>
    </row>
    <row r="181" spans="1:4">
      <c r="A181" s="276" t="s">
        <v>4</v>
      </c>
      <c r="B181" s="296" t="s">
        <v>35</v>
      </c>
      <c r="C181" s="286">
        <f>C114</f>
        <v>56208</v>
      </c>
    </row>
    <row r="182" spans="1:4">
      <c r="A182" s="281" t="s">
        <v>334</v>
      </c>
      <c r="B182" s="278" t="s">
        <v>35</v>
      </c>
      <c r="C182" s="289">
        <f>C120</f>
        <v>882.62008302620131</v>
      </c>
    </row>
    <row r="183" spans="1:4" ht="14.65" thickBot="1">
      <c r="A183" s="255" t="s">
        <v>6</v>
      </c>
      <c r="B183" s="271" t="s">
        <v>35</v>
      </c>
      <c r="C183" s="280">
        <f>C181+C182</f>
        <v>57090.620083026202</v>
      </c>
    </row>
    <row r="184" spans="1:4">
      <c r="B184" s="77"/>
      <c r="C184" s="83"/>
    </row>
    <row r="185" spans="1:4" ht="14.65" thickBot="1">
      <c r="A185" s="79" t="s">
        <v>279</v>
      </c>
      <c r="B185" s="79"/>
      <c r="C185" s="79"/>
      <c r="D185" s="99"/>
    </row>
    <row r="186" spans="1:4" ht="14.65" thickBot="1">
      <c r="A186" s="3" t="s">
        <v>90</v>
      </c>
      <c r="B186" s="14" t="s">
        <v>18</v>
      </c>
      <c r="C186" s="15" t="s">
        <v>91</v>
      </c>
      <c r="D186" s="99"/>
    </row>
    <row r="187" spans="1:4">
      <c r="A187" s="308" t="s">
        <v>623</v>
      </c>
      <c r="B187" s="309" t="s">
        <v>35</v>
      </c>
      <c r="C187" s="294">
        <f>C22</f>
        <v>12000</v>
      </c>
      <c r="D187" s="99"/>
    </row>
    <row r="188" spans="1:4">
      <c r="A188" s="282" t="s">
        <v>329</v>
      </c>
      <c r="B188" s="288" t="s">
        <v>35</v>
      </c>
      <c r="C188" s="295">
        <f>C25</f>
        <v>3600</v>
      </c>
      <c r="D188" s="99"/>
    </row>
    <row r="189" spans="1:4">
      <c r="A189" s="282" t="s">
        <v>428</v>
      </c>
      <c r="B189" s="288" t="s">
        <v>35</v>
      </c>
      <c r="C189" s="295">
        <f>C30</f>
        <v>6600.0000000000009</v>
      </c>
      <c r="D189" s="99"/>
    </row>
    <row r="190" spans="1:4">
      <c r="A190" s="282" t="s">
        <v>115</v>
      </c>
      <c r="B190" s="288" t="s">
        <v>24</v>
      </c>
      <c r="C190" s="312">
        <f>$B$106</f>
        <v>0.05</v>
      </c>
      <c r="D190" s="99"/>
    </row>
    <row r="191" spans="1:4">
      <c r="A191" s="282" t="s">
        <v>334</v>
      </c>
      <c r="B191" s="288" t="s">
        <v>35</v>
      </c>
      <c r="C191" s="295">
        <f>C120</f>
        <v>882.62008302620131</v>
      </c>
      <c r="D191" s="99"/>
    </row>
    <row r="192" spans="1:4">
      <c r="A192" s="282" t="s">
        <v>429</v>
      </c>
      <c r="B192" s="288" t="s">
        <v>35</v>
      </c>
      <c r="C192" s="295">
        <f>C191*C190</f>
        <v>44.131004151310066</v>
      </c>
      <c r="D192" s="99"/>
    </row>
    <row r="193" spans="1:12">
      <c r="A193" s="282" t="s">
        <v>337</v>
      </c>
      <c r="B193" s="288" t="s">
        <v>35</v>
      </c>
      <c r="C193" s="279">
        <f>C187+C188+C189+C192</f>
        <v>22244.13100415131</v>
      </c>
      <c r="D193" s="99"/>
    </row>
    <row r="194" spans="1:12">
      <c r="A194" s="282" t="s">
        <v>6</v>
      </c>
      <c r="B194" s="288" t="s">
        <v>35</v>
      </c>
      <c r="C194" s="289">
        <f>C183</f>
        <v>57090.620083026202</v>
      </c>
    </row>
    <row r="195" spans="1:12">
      <c r="A195" s="310" t="s">
        <v>64</v>
      </c>
      <c r="B195" s="283" t="s">
        <v>24</v>
      </c>
      <c r="C195" s="300">
        <f>C193/C194</f>
        <v>0.38962847087318264</v>
      </c>
    </row>
    <row r="196" spans="1:12">
      <c r="A196" s="282" t="s">
        <v>366</v>
      </c>
      <c r="B196" s="288" t="s">
        <v>35</v>
      </c>
      <c r="C196" s="279">
        <f>C24</f>
        <v>34008</v>
      </c>
    </row>
    <row r="197" spans="1:12">
      <c r="A197" s="282" t="s">
        <v>117</v>
      </c>
      <c r="B197" s="288" t="s">
        <v>24</v>
      </c>
      <c r="C197" s="312">
        <f>1-$B$106</f>
        <v>0.95</v>
      </c>
    </row>
    <row r="198" spans="1:12">
      <c r="A198" s="282" t="s">
        <v>334</v>
      </c>
      <c r="B198" s="288" t="s">
        <v>35</v>
      </c>
      <c r="C198" s="295">
        <f>C120</f>
        <v>882.62008302620131</v>
      </c>
    </row>
    <row r="199" spans="1:12">
      <c r="A199" s="282" t="s">
        <v>356</v>
      </c>
      <c r="B199" s="288" t="s">
        <v>35</v>
      </c>
      <c r="C199" s="279">
        <f>C197*C198</f>
        <v>838.48907887489122</v>
      </c>
    </row>
    <row r="200" spans="1:12">
      <c r="A200" s="282" t="s">
        <v>335</v>
      </c>
      <c r="B200" s="288" t="s">
        <v>35</v>
      </c>
      <c r="C200" s="279">
        <f>C196+C199</f>
        <v>34846.489078874889</v>
      </c>
    </row>
    <row r="201" spans="1:12">
      <c r="A201" s="282" t="s">
        <v>6</v>
      </c>
      <c r="B201" s="288" t="s">
        <v>35</v>
      </c>
      <c r="C201" s="289">
        <f>C183</f>
        <v>57090.620083026202</v>
      </c>
    </row>
    <row r="202" spans="1:12" ht="14.65" thickBot="1">
      <c r="A202" s="311" t="s">
        <v>66</v>
      </c>
      <c r="B202" s="284" t="s">
        <v>24</v>
      </c>
      <c r="C202" s="303">
        <f>C200/C201</f>
        <v>0.61037152912681736</v>
      </c>
    </row>
    <row r="203" spans="1:12">
      <c r="A203" s="83"/>
      <c r="B203" s="77"/>
      <c r="C203" s="96"/>
    </row>
    <row r="204" spans="1:12" ht="14.65" thickBot="1">
      <c r="A204" s="79" t="s">
        <v>124</v>
      </c>
    </row>
    <row r="205" spans="1:12" ht="14.65" thickBot="1">
      <c r="A205" s="419"/>
      <c r="B205" s="1062" t="s">
        <v>262</v>
      </c>
      <c r="C205" s="1063"/>
      <c r="D205" s="1063"/>
      <c r="E205" s="1063"/>
      <c r="F205" s="1064"/>
      <c r="G205" s="1062" t="s">
        <v>263</v>
      </c>
      <c r="H205" s="1063"/>
      <c r="I205" s="1063"/>
      <c r="J205" s="1063"/>
      <c r="K205" s="1063"/>
      <c r="L205" s="1066"/>
    </row>
    <row r="206" spans="1:12">
      <c r="A206" s="452"/>
      <c r="B206" s="1024" t="s">
        <v>275</v>
      </c>
      <c r="C206" s="1041" t="s">
        <v>243</v>
      </c>
      <c r="D206" s="1041" t="s">
        <v>256</v>
      </c>
      <c r="E206" s="1041" t="s">
        <v>337</v>
      </c>
      <c r="F206" s="1041" t="s">
        <v>276</v>
      </c>
      <c r="G206" s="1032" t="s">
        <v>269</v>
      </c>
      <c r="H206" s="1054"/>
      <c r="I206" s="1022" t="s">
        <v>277</v>
      </c>
      <c r="J206" s="1032"/>
      <c r="K206" s="1032"/>
      <c r="L206" s="1023"/>
    </row>
    <row r="207" spans="1:12">
      <c r="A207" s="219" t="s">
        <v>93</v>
      </c>
      <c r="B207" s="1067"/>
      <c r="C207" s="1042"/>
      <c r="D207" s="1042"/>
      <c r="E207" s="1042"/>
      <c r="F207" s="1042"/>
      <c r="G207" s="1034"/>
      <c r="H207" s="1046"/>
      <c r="I207" s="1033" t="s">
        <v>243</v>
      </c>
      <c r="J207" s="1034"/>
      <c r="K207" s="1034" t="s">
        <v>256</v>
      </c>
      <c r="L207" s="1035"/>
    </row>
    <row r="208" spans="1:12" ht="14.65" thickBot="1">
      <c r="A208" s="220" t="s">
        <v>18</v>
      </c>
      <c r="B208" s="403" t="s">
        <v>35</v>
      </c>
      <c r="C208" s="154" t="s">
        <v>35</v>
      </c>
      <c r="D208" s="154" t="s">
        <v>35</v>
      </c>
      <c r="E208" s="154" t="s">
        <v>35</v>
      </c>
      <c r="F208" s="154" t="s">
        <v>35</v>
      </c>
      <c r="G208" s="154" t="s">
        <v>257</v>
      </c>
      <c r="H208" s="423" t="s">
        <v>237</v>
      </c>
      <c r="I208" s="403" t="s">
        <v>70</v>
      </c>
      <c r="J208" s="154" t="s">
        <v>237</v>
      </c>
      <c r="K208" s="154" t="s">
        <v>70</v>
      </c>
      <c r="L208" s="155" t="s">
        <v>237</v>
      </c>
    </row>
    <row r="209" spans="1:12">
      <c r="A209" s="222" t="s">
        <v>72</v>
      </c>
      <c r="B209" s="159">
        <f>B82</f>
        <v>468.024</v>
      </c>
      <c r="C209" s="429">
        <f>B209-D209</f>
        <v>297.23661411933938</v>
      </c>
      <c r="D209" s="428">
        <f>D82+D159</f>
        <v>170.78738588066062</v>
      </c>
      <c r="E209" s="160">
        <f>$C$193</f>
        <v>22244.13100415131</v>
      </c>
      <c r="F209" s="429">
        <f>$C$183</f>
        <v>57090.620083026202</v>
      </c>
      <c r="G209" s="404">
        <f t="shared" ref="G209:G228" si="12">B209/E209*1000000</f>
        <v>21040.336433581291</v>
      </c>
      <c r="H209" s="560">
        <f>G209/1000000</f>
        <v>2.1040336433581292E-2</v>
      </c>
      <c r="I209" s="557">
        <f>C209/F209*1000000</f>
        <v>5206.4001702393798</v>
      </c>
      <c r="J209" s="430">
        <f>I209/1000000</f>
        <v>5.2064001702393798E-3</v>
      </c>
      <c r="K209" s="431">
        <f>D209/F209*1000000</f>
        <v>2991.5139410342113</v>
      </c>
      <c r="L209" s="433">
        <f>K209/1000000</f>
        <v>2.9915139410342114E-3</v>
      </c>
    </row>
    <row r="210" spans="1:12">
      <c r="A210" s="149" t="s">
        <v>73</v>
      </c>
      <c r="B210" s="161">
        <f>B83</f>
        <v>0.34320000000000001</v>
      </c>
      <c r="C210" s="424">
        <f t="shared" ref="C210:C230" si="13">B210-D210</f>
        <v>2.7508594065107583E-2</v>
      </c>
      <c r="D210" s="235">
        <f>D83+D160</f>
        <v>0.31569140593489242</v>
      </c>
      <c r="E210" s="119">
        <f t="shared" ref="E210:E230" si="14">$C$193</f>
        <v>22244.13100415131</v>
      </c>
      <c r="F210" s="424">
        <f t="shared" ref="F210:F230" si="15">$C$183</f>
        <v>57090.620083026202</v>
      </c>
      <c r="G210" s="395">
        <f t="shared" si="12"/>
        <v>15.428788831352877</v>
      </c>
      <c r="H210" s="561">
        <f t="shared" ref="H210:H230" si="16">G210/1000000</f>
        <v>1.5428788831352878E-5</v>
      </c>
      <c r="I210" s="558">
        <f t="shared" ref="I210:I230" si="17">C210/F210*1000000</f>
        <v>0.48184087027084599</v>
      </c>
      <c r="J210" s="425">
        <f t="shared" ref="J210:J230" si="18">I210/1000000</f>
        <v>4.81840870270846E-7</v>
      </c>
      <c r="K210" s="426">
        <f t="shared" ref="K210:K230" si="19">D210/F210*1000000</f>
        <v>5.5296545295144144</v>
      </c>
      <c r="L210" s="434">
        <f t="shared" ref="L210:L230" si="20">K210/1000000</f>
        <v>5.5296545295144144E-6</v>
      </c>
    </row>
    <row r="211" spans="1:12">
      <c r="A211" s="149" t="s">
        <v>74</v>
      </c>
      <c r="B211" s="161">
        <f>B84</f>
        <v>1908</v>
      </c>
      <c r="C211" s="424">
        <f t="shared" si="13"/>
        <v>301.91686339228249</v>
      </c>
      <c r="D211" s="235">
        <f>D84</f>
        <v>1606.0831366077175</v>
      </c>
      <c r="E211" s="119">
        <f t="shared" si="14"/>
        <v>22244.13100415131</v>
      </c>
      <c r="F211" s="424">
        <f t="shared" si="15"/>
        <v>57090.620083026202</v>
      </c>
      <c r="G211" s="395">
        <f t="shared" si="12"/>
        <v>85775.434412066694</v>
      </c>
      <c r="H211" s="561">
        <f t="shared" si="16"/>
        <v>8.5775434412066698E-2</v>
      </c>
      <c r="I211" s="558">
        <f t="shared" si="17"/>
        <v>5288.3794737771013</v>
      </c>
      <c r="J211" s="425">
        <f t="shared" si="18"/>
        <v>5.2883794737771011E-3</v>
      </c>
      <c r="K211" s="426">
        <f t="shared" si="19"/>
        <v>28132.171874679418</v>
      </c>
      <c r="L211" s="434">
        <f t="shared" si="20"/>
        <v>2.8132171874679417E-2</v>
      </c>
    </row>
    <row r="212" spans="1:12">
      <c r="A212" s="149" t="s">
        <v>75</v>
      </c>
      <c r="B212" s="161">
        <f>B85</f>
        <v>4.2000000000000003E-2</v>
      </c>
      <c r="C212" s="424">
        <f t="shared" si="13"/>
        <v>1.0380305269228264E-2</v>
      </c>
      <c r="D212" s="235">
        <f>D161+D85</f>
        <v>3.1619694730771739E-2</v>
      </c>
      <c r="E212" s="119">
        <f t="shared" si="14"/>
        <v>22244.13100415131</v>
      </c>
      <c r="F212" s="424">
        <f t="shared" si="15"/>
        <v>57090.620083026202</v>
      </c>
      <c r="G212" s="395">
        <f t="shared" si="12"/>
        <v>1.8881384933473802</v>
      </c>
      <c r="H212" s="561">
        <f t="shared" si="16"/>
        <v>1.8881384933473802E-6</v>
      </c>
      <c r="I212" s="558">
        <f t="shared" si="17"/>
        <v>0.18182155412101517</v>
      </c>
      <c r="J212" s="425">
        <f t="shared" si="18"/>
        <v>1.8182155412101517E-7</v>
      </c>
      <c r="K212" s="426">
        <f t="shared" si="19"/>
        <v>0.55385095983871957</v>
      </c>
      <c r="L212" s="434">
        <f t="shared" si="20"/>
        <v>5.5385095983871962E-7</v>
      </c>
    </row>
    <row r="213" spans="1:12">
      <c r="A213" s="149" t="s">
        <v>76</v>
      </c>
      <c r="B213" s="161">
        <f>B86</f>
        <v>1.6319999999999999</v>
      </c>
      <c r="C213" s="424">
        <f t="shared" si="13"/>
        <v>0.65861882563119145</v>
      </c>
      <c r="D213" s="235">
        <f>D86</f>
        <v>0.97338117436880844</v>
      </c>
      <c r="E213" s="119">
        <f t="shared" si="14"/>
        <v>22244.13100415131</v>
      </c>
      <c r="F213" s="424">
        <f t="shared" si="15"/>
        <v>57090.620083026202</v>
      </c>
      <c r="G213" s="395">
        <f t="shared" si="12"/>
        <v>73.367667170069623</v>
      </c>
      <c r="H213" s="561">
        <f t="shared" si="16"/>
        <v>7.3367667170069629E-5</v>
      </c>
      <c r="I213" s="558">
        <f t="shared" si="17"/>
        <v>11.536375409364446</v>
      </c>
      <c r="J213" s="425">
        <f t="shared" si="18"/>
        <v>1.1536375409364445E-5</v>
      </c>
      <c r="K213" s="426">
        <f t="shared" si="19"/>
        <v>17.049756561642383</v>
      </c>
      <c r="L213" s="434">
        <f t="shared" si="20"/>
        <v>1.7049756561642384E-5</v>
      </c>
    </row>
    <row r="214" spans="1:12">
      <c r="A214" s="150" t="s">
        <v>77</v>
      </c>
      <c r="B214" s="161">
        <f>B87</f>
        <v>7.8719999999999999</v>
      </c>
      <c r="C214" s="424">
        <f t="shared" si="13"/>
        <v>1.8390803487070784E-2</v>
      </c>
      <c r="D214" s="235">
        <f>D87+D162</f>
        <v>7.8536091965129291</v>
      </c>
      <c r="E214" s="119">
        <f t="shared" si="14"/>
        <v>22244.13100415131</v>
      </c>
      <c r="F214" s="424">
        <f t="shared" si="15"/>
        <v>57090.620083026202</v>
      </c>
      <c r="G214" s="395">
        <f t="shared" si="12"/>
        <v>353.89110046739466</v>
      </c>
      <c r="H214" s="561">
        <f t="shared" si="16"/>
        <v>3.5389110046739466E-4</v>
      </c>
      <c r="I214" s="558">
        <f t="shared" si="17"/>
        <v>0.32213353893030516</v>
      </c>
      <c r="J214" s="425">
        <f t="shared" si="18"/>
        <v>3.2213353893030519E-7</v>
      </c>
      <c r="K214" s="426">
        <f t="shared" si="19"/>
        <v>137.56391479180851</v>
      </c>
      <c r="L214" s="434">
        <f t="shared" si="20"/>
        <v>1.3756391479180852E-4</v>
      </c>
    </row>
    <row r="215" spans="1:12">
      <c r="A215" s="150" t="s">
        <v>78</v>
      </c>
      <c r="B215" s="161">
        <f>B88</f>
        <v>1050.924</v>
      </c>
      <c r="C215" s="424">
        <f t="shared" si="13"/>
        <v>520.36897797378174</v>
      </c>
      <c r="D215" s="235">
        <f>D88+D163</f>
        <v>530.55502202621824</v>
      </c>
      <c r="E215" s="119">
        <f t="shared" si="14"/>
        <v>22244.13100415131</v>
      </c>
      <c r="F215" s="424">
        <f t="shared" si="15"/>
        <v>57090.620083026202</v>
      </c>
      <c r="G215" s="395">
        <f t="shared" si="12"/>
        <v>47245.001380538146</v>
      </c>
      <c r="H215" s="561">
        <f t="shared" si="16"/>
        <v>4.7245001380538144E-2</v>
      </c>
      <c r="I215" s="558">
        <f t="shared" si="17"/>
        <v>9114.7893860149943</v>
      </c>
      <c r="J215" s="425">
        <f t="shared" si="18"/>
        <v>9.1147893860149942E-3</v>
      </c>
      <c r="K215" s="426">
        <f t="shared" si="19"/>
        <v>9293.2082582854837</v>
      </c>
      <c r="L215" s="434">
        <f t="shared" si="20"/>
        <v>9.293208258285484E-3</v>
      </c>
    </row>
    <row r="216" spans="1:12">
      <c r="A216" s="150" t="s">
        <v>79</v>
      </c>
      <c r="B216" s="161">
        <f>B89</f>
        <v>98.76</v>
      </c>
      <c r="C216" s="424">
        <f t="shared" si="13"/>
        <v>73.263467845989027</v>
      </c>
      <c r="D216" s="235">
        <f>D89+D164</f>
        <v>25.496532154010971</v>
      </c>
      <c r="E216" s="119">
        <f t="shared" si="14"/>
        <v>22244.13100415131</v>
      </c>
      <c r="F216" s="424">
        <f t="shared" si="15"/>
        <v>57090.620083026202</v>
      </c>
      <c r="G216" s="395">
        <f t="shared" si="12"/>
        <v>4439.8228000711251</v>
      </c>
      <c r="H216" s="561">
        <f t="shared" si="16"/>
        <v>4.4398228000711252E-3</v>
      </c>
      <c r="I216" s="558">
        <f t="shared" si="17"/>
        <v>1283.2837993254032</v>
      </c>
      <c r="J216" s="425">
        <f t="shared" si="18"/>
        <v>1.2832837993254033E-3</v>
      </c>
      <c r="K216" s="426">
        <f t="shared" si="19"/>
        <v>446.59756921420143</v>
      </c>
      <c r="L216" s="434">
        <f t="shared" si="20"/>
        <v>4.465975692142014E-4</v>
      </c>
    </row>
    <row r="217" spans="1:12">
      <c r="A217" s="150" t="s">
        <v>80</v>
      </c>
      <c r="B217" s="161">
        <f>B90</f>
        <v>154.80000000000001</v>
      </c>
      <c r="C217" s="424">
        <f t="shared" si="13"/>
        <v>116.75952633918425</v>
      </c>
      <c r="D217" s="235">
        <f>D90+D165</f>
        <v>38.040473660815756</v>
      </c>
      <c r="E217" s="119">
        <f t="shared" si="14"/>
        <v>22244.13100415131</v>
      </c>
      <c r="F217" s="424">
        <f t="shared" si="15"/>
        <v>57090.620083026202</v>
      </c>
      <c r="G217" s="395">
        <f t="shared" si="12"/>
        <v>6959.139018337487</v>
      </c>
      <c r="H217" s="561">
        <f t="shared" si="16"/>
        <v>6.9591390183374874E-3</v>
      </c>
      <c r="I217" s="558">
        <f t="shared" si="17"/>
        <v>2045.1612921594176</v>
      </c>
      <c r="J217" s="425">
        <f t="shared" si="18"/>
        <v>2.0451612921594175E-3</v>
      </c>
      <c r="K217" s="426">
        <f t="shared" si="19"/>
        <v>666.31740214931904</v>
      </c>
      <c r="L217" s="434">
        <f t="shared" si="20"/>
        <v>6.6631740214931898E-4</v>
      </c>
    </row>
    <row r="218" spans="1:12">
      <c r="A218" s="150" t="s">
        <v>81</v>
      </c>
      <c r="B218" s="161">
        <f>B91+C120*B106*46/78</f>
        <v>123.22597680718286</v>
      </c>
      <c r="C218" s="424">
        <f t="shared" si="13"/>
        <v>105.78373790246087</v>
      </c>
      <c r="D218" s="235">
        <f>D91</f>
        <v>17.442238904721997</v>
      </c>
      <c r="E218" s="119">
        <f t="shared" si="14"/>
        <v>22244.13100415131</v>
      </c>
      <c r="F218" s="424">
        <f t="shared" si="15"/>
        <v>57090.620083026202</v>
      </c>
      <c r="G218" s="395">
        <f t="shared" si="12"/>
        <v>5539.7073854755581</v>
      </c>
      <c r="H218" s="561">
        <f t="shared" si="16"/>
        <v>5.5397073854755582E-3</v>
      </c>
      <c r="I218" s="558">
        <f t="shared" si="17"/>
        <v>1852.9092475895488</v>
      </c>
      <c r="J218" s="425">
        <f t="shared" si="18"/>
        <v>1.8529092475895489E-3</v>
      </c>
      <c r="K218" s="426">
        <f t="shared" si="19"/>
        <v>305.51847009816947</v>
      </c>
      <c r="L218" s="434">
        <f t="shared" si="20"/>
        <v>3.055184700981695E-4</v>
      </c>
    </row>
    <row r="219" spans="1:12">
      <c r="A219" s="150" t="s">
        <v>82</v>
      </c>
      <c r="B219" s="161">
        <f>B92</f>
        <v>1.5</v>
      </c>
      <c r="C219" s="424">
        <f t="shared" si="13"/>
        <v>0.63731164578968114</v>
      </c>
      <c r="D219" s="235">
        <f>D92+D166</f>
        <v>0.86268835421031886</v>
      </c>
      <c r="E219" s="119">
        <f t="shared" si="14"/>
        <v>22244.13100415131</v>
      </c>
      <c r="F219" s="424">
        <f t="shared" si="15"/>
        <v>57090.620083026202</v>
      </c>
      <c r="G219" s="395">
        <f t="shared" si="12"/>
        <v>67.433517619549292</v>
      </c>
      <c r="H219" s="561">
        <f t="shared" si="16"/>
        <v>6.743351761954929E-5</v>
      </c>
      <c r="I219" s="558">
        <f t="shared" si="17"/>
        <v>11.163158586521682</v>
      </c>
      <c r="J219" s="425">
        <f t="shared" si="18"/>
        <v>1.1163158586521681E-5</v>
      </c>
      <c r="K219" s="426">
        <f t="shared" si="19"/>
        <v>15.110859769183126</v>
      </c>
      <c r="L219" s="434">
        <f t="shared" si="20"/>
        <v>1.5110859769183126E-5</v>
      </c>
    </row>
    <row r="220" spans="1:12">
      <c r="A220" s="150" t="s">
        <v>630</v>
      </c>
      <c r="B220" s="161">
        <f>B93</f>
        <v>979.41600000000005</v>
      </c>
      <c r="C220" s="424">
        <f t="shared" si="13"/>
        <v>836.35821747556804</v>
      </c>
      <c r="D220" s="235">
        <f>D93+D167</f>
        <v>143.05778252443201</v>
      </c>
      <c r="E220" s="119">
        <f t="shared" si="14"/>
        <v>22244.13100415131</v>
      </c>
      <c r="F220" s="424">
        <f t="shared" si="15"/>
        <v>57090.620083026202</v>
      </c>
      <c r="G220" s="395">
        <f t="shared" si="12"/>
        <v>44030.310728578988</v>
      </c>
      <c r="H220" s="561">
        <f t="shared" si="16"/>
        <v>4.4030310728578985E-2</v>
      </c>
      <c r="I220" s="558">
        <f t="shared" si="17"/>
        <v>14649.660771931753</v>
      </c>
      <c r="J220" s="425">
        <f t="shared" si="18"/>
        <v>1.4649660771931753E-2</v>
      </c>
      <c r="K220" s="426">
        <f t="shared" si="19"/>
        <v>2505.8018693155691</v>
      </c>
      <c r="L220" s="434">
        <f t="shared" si="20"/>
        <v>2.505801869315569E-3</v>
      </c>
    </row>
    <row r="221" spans="1:12">
      <c r="A221" s="150" t="s">
        <v>96</v>
      </c>
      <c r="B221" s="161">
        <f>B94</f>
        <v>2087.7551020408168</v>
      </c>
      <c r="C221" s="424">
        <f t="shared" si="13"/>
        <v>2035.5612244897964</v>
      </c>
      <c r="D221" s="235">
        <f>D94+D168</f>
        <v>52.193877551020421</v>
      </c>
      <c r="E221" s="119">
        <f t="shared" si="14"/>
        <v>22244.13100415131</v>
      </c>
      <c r="F221" s="424">
        <f t="shared" si="15"/>
        <v>57090.620083026202</v>
      </c>
      <c r="G221" s="395">
        <f t="shared" si="12"/>
        <v>93856.446972515565</v>
      </c>
      <c r="H221" s="561">
        <f t="shared" si="16"/>
        <v>9.3856446972515564E-2</v>
      </c>
      <c r="I221" s="558">
        <f t="shared" si="17"/>
        <v>35654.915317603911</v>
      </c>
      <c r="J221" s="425">
        <f t="shared" si="18"/>
        <v>3.5654915317603911E-2</v>
      </c>
      <c r="K221" s="426">
        <f t="shared" si="19"/>
        <v>914.22859788727976</v>
      </c>
      <c r="L221" s="434">
        <f t="shared" si="20"/>
        <v>9.1422859788727973E-4</v>
      </c>
    </row>
    <row r="222" spans="1:12">
      <c r="A222" s="150" t="s">
        <v>97</v>
      </c>
      <c r="B222" s="161">
        <f>B95</f>
        <v>3067.171102040817</v>
      </c>
      <c r="C222" s="424">
        <f t="shared" si="13"/>
        <v>2871.9194419653645</v>
      </c>
      <c r="D222" s="235">
        <f>D95+D169</f>
        <v>195.25166007545243</v>
      </c>
      <c r="E222" s="119">
        <f t="shared" si="14"/>
        <v>22244.13100415131</v>
      </c>
      <c r="F222" s="424">
        <f t="shared" si="15"/>
        <v>57090.620083026202</v>
      </c>
      <c r="G222" s="395">
        <f t="shared" si="12"/>
        <v>137886.75770109458</v>
      </c>
      <c r="H222" s="561">
        <f t="shared" si="16"/>
        <v>0.13788675770109457</v>
      </c>
      <c r="I222" s="558">
        <f t="shared" si="17"/>
        <v>50304.576089535665</v>
      </c>
      <c r="J222" s="425">
        <f t="shared" si="18"/>
        <v>5.0304576089535667E-2</v>
      </c>
      <c r="K222" s="426">
        <f t="shared" si="19"/>
        <v>3420.0304672028487</v>
      </c>
      <c r="L222" s="434">
        <f t="shared" si="20"/>
        <v>3.4200304672028486E-3</v>
      </c>
    </row>
    <row r="223" spans="1:12">
      <c r="A223" s="150" t="s">
        <v>84</v>
      </c>
      <c r="B223" s="161">
        <f>B96</f>
        <v>1.488</v>
      </c>
      <c r="C223" s="424">
        <f t="shared" si="13"/>
        <v>0.3344003453227431</v>
      </c>
      <c r="D223" s="235">
        <f>D170+D96</f>
        <v>1.1535996546772569</v>
      </c>
      <c r="E223" s="119">
        <f t="shared" si="14"/>
        <v>22244.13100415131</v>
      </c>
      <c r="F223" s="424">
        <f t="shared" si="15"/>
        <v>57090.620083026202</v>
      </c>
      <c r="G223" s="395">
        <f t="shared" si="12"/>
        <v>66.894049478592891</v>
      </c>
      <c r="H223" s="561">
        <f t="shared" si="16"/>
        <v>6.6894049478592895E-5</v>
      </c>
      <c r="I223" s="558">
        <f t="shared" si="17"/>
        <v>5.8573605407758524</v>
      </c>
      <c r="J223" s="425">
        <f t="shared" si="18"/>
        <v>5.8573605407758521E-6</v>
      </c>
      <c r="K223" s="426">
        <f t="shared" si="19"/>
        <v>20.206465668083318</v>
      </c>
      <c r="L223" s="434">
        <f t="shared" si="20"/>
        <v>2.0206465668083317E-5</v>
      </c>
    </row>
    <row r="224" spans="1:12">
      <c r="A224" s="150" t="s">
        <v>631</v>
      </c>
      <c r="B224" s="161">
        <f>B97</f>
        <v>226.8</v>
      </c>
      <c r="C224" s="424">
        <f t="shared" si="13"/>
        <v>0</v>
      </c>
      <c r="D224" s="235">
        <f>D171</f>
        <v>226.8</v>
      </c>
      <c r="E224" s="119">
        <f t="shared" si="14"/>
        <v>22244.13100415131</v>
      </c>
      <c r="F224" s="424">
        <f t="shared" si="15"/>
        <v>57090.620083026202</v>
      </c>
      <c r="G224" s="395">
        <f t="shared" si="12"/>
        <v>10195.947864075853</v>
      </c>
      <c r="H224" s="561">
        <f t="shared" si="16"/>
        <v>1.0195947864075853E-2</v>
      </c>
      <c r="I224" s="558">
        <f t="shared" si="17"/>
        <v>0</v>
      </c>
      <c r="J224" s="425">
        <f t="shared" si="18"/>
        <v>0</v>
      </c>
      <c r="K224" s="426">
        <f t="shared" si="19"/>
        <v>3972.631575382567</v>
      </c>
      <c r="L224" s="434">
        <f t="shared" si="20"/>
        <v>3.972631575382567E-3</v>
      </c>
    </row>
    <row r="225" spans="1:12">
      <c r="A225" s="150" t="s">
        <v>250</v>
      </c>
      <c r="B225" s="161">
        <f>B98</f>
        <v>1175.5102040816328</v>
      </c>
      <c r="C225" s="424">
        <f t="shared" si="13"/>
        <v>0</v>
      </c>
      <c r="D225" s="235">
        <f>D172</f>
        <v>1175.5102040816328</v>
      </c>
      <c r="E225" s="119">
        <f t="shared" si="14"/>
        <v>22244.13100415131</v>
      </c>
      <c r="F225" s="424">
        <f t="shared" si="15"/>
        <v>57090.620083026202</v>
      </c>
      <c r="G225" s="395">
        <f t="shared" si="12"/>
        <v>52845.858705932507</v>
      </c>
      <c r="H225" s="561">
        <f t="shared" si="16"/>
        <v>5.2845858705932509E-2</v>
      </c>
      <c r="I225" s="558">
        <f t="shared" si="17"/>
        <v>0</v>
      </c>
      <c r="J225" s="425">
        <f t="shared" si="18"/>
        <v>0</v>
      </c>
      <c r="K225" s="426">
        <f t="shared" si="19"/>
        <v>20590.251119572749</v>
      </c>
      <c r="L225" s="434">
        <f t="shared" si="20"/>
        <v>2.0590251119572748E-2</v>
      </c>
    </row>
    <row r="226" spans="1:12">
      <c r="A226" s="150" t="s">
        <v>251</v>
      </c>
      <c r="B226" s="161">
        <f>B224+B225</f>
        <v>1402.3102040816327</v>
      </c>
      <c r="C226" s="424">
        <f>B226-D226</f>
        <v>0</v>
      </c>
      <c r="D226" s="235">
        <f>D173</f>
        <v>1402.3102040816327</v>
      </c>
      <c r="E226" s="119">
        <f t="shared" si="14"/>
        <v>22244.13100415131</v>
      </c>
      <c r="F226" s="424">
        <f t="shared" si="15"/>
        <v>57090.620083026202</v>
      </c>
      <c r="G226" s="395">
        <f t="shared" si="12"/>
        <v>63041.806570008368</v>
      </c>
      <c r="H226" s="561">
        <f t="shared" si="16"/>
        <v>6.3041806570008366E-2</v>
      </c>
      <c r="I226" s="558">
        <f>C226/F226*1000000</f>
        <v>0</v>
      </c>
      <c r="J226" s="425">
        <f>I226/1000000</f>
        <v>0</v>
      </c>
      <c r="K226" s="426">
        <f>D226/F226*1000000</f>
        <v>24562.882694955315</v>
      </c>
      <c r="L226" s="434">
        <f>K226/1000000</f>
        <v>2.4562882694955317E-2</v>
      </c>
    </row>
    <row r="227" spans="1:12">
      <c r="A227" s="151" t="s">
        <v>238</v>
      </c>
      <c r="B227" s="161">
        <f>B226/32*96</f>
        <v>4206.9306122448979</v>
      </c>
      <c r="C227" s="424">
        <f>B227-D227</f>
        <v>0</v>
      </c>
      <c r="D227" s="235">
        <f>D174</f>
        <v>4206.9306122448979</v>
      </c>
      <c r="E227" s="119">
        <f t="shared" si="14"/>
        <v>22244.13100415131</v>
      </c>
      <c r="F227" s="424">
        <f t="shared" si="15"/>
        <v>57090.620083026202</v>
      </c>
      <c r="G227" s="395">
        <f t="shared" si="12"/>
        <v>189125.41971002507</v>
      </c>
      <c r="H227" s="561">
        <f t="shared" si="16"/>
        <v>0.18912541971002508</v>
      </c>
      <c r="I227" s="558">
        <f>C227/F227*1000000</f>
        <v>0</v>
      </c>
      <c r="J227" s="425">
        <f>I227/1000000</f>
        <v>0</v>
      </c>
      <c r="K227" s="426">
        <f>D227/F227*1000000</f>
        <v>73688.648084865941</v>
      </c>
      <c r="L227" s="434">
        <f>K227/1000000</f>
        <v>7.3688648084865943E-2</v>
      </c>
    </row>
    <row r="228" spans="1:12">
      <c r="A228" s="151" t="s">
        <v>239</v>
      </c>
      <c r="B228" s="161">
        <f>B226/32*136</f>
        <v>5959.8183673469393</v>
      </c>
      <c r="C228" s="424">
        <f>B228-D228</f>
        <v>0</v>
      </c>
      <c r="D228" s="235">
        <f>D175</f>
        <v>5959.8183673469393</v>
      </c>
      <c r="E228" s="119">
        <f t="shared" si="14"/>
        <v>22244.13100415131</v>
      </c>
      <c r="F228" s="424">
        <f t="shared" si="15"/>
        <v>57090.620083026202</v>
      </c>
      <c r="G228" s="395">
        <f t="shared" si="12"/>
        <v>267927.67792253551</v>
      </c>
      <c r="H228" s="561">
        <f t="shared" si="16"/>
        <v>0.26792767792253552</v>
      </c>
      <c r="I228" s="558">
        <f>C228/F228*1000000</f>
        <v>0</v>
      </c>
      <c r="J228" s="425">
        <f>I228/1000000</f>
        <v>0</v>
      </c>
      <c r="K228" s="426">
        <f>D228/F228*1000000</f>
        <v>104392.25145356009</v>
      </c>
      <c r="L228" s="434">
        <f>K228/1000000</f>
        <v>0.1043922514535601</v>
      </c>
    </row>
    <row r="229" spans="1:12">
      <c r="A229" s="151" t="s">
        <v>248</v>
      </c>
      <c r="B229" s="161">
        <f>C176</f>
        <v>18.105027344127205</v>
      </c>
      <c r="C229" s="424">
        <f>B229-D229</f>
        <v>0</v>
      </c>
      <c r="D229" s="235">
        <f>D176</f>
        <v>18.105027344127205</v>
      </c>
      <c r="E229" s="119">
        <f t="shared" si="14"/>
        <v>22244.13100415131</v>
      </c>
      <c r="F229" s="424">
        <f t="shared" si="15"/>
        <v>57090.620083026202</v>
      </c>
      <c r="G229" s="395">
        <f>B229/E229*1000000</f>
        <v>813.92378694174897</v>
      </c>
      <c r="H229" s="561">
        <f t="shared" si="16"/>
        <v>8.1392378694174899E-4</v>
      </c>
      <c r="I229" s="558">
        <f>C229/F229*1000000</f>
        <v>0</v>
      </c>
      <c r="J229" s="425">
        <f>I229/1000000</f>
        <v>0</v>
      </c>
      <c r="K229" s="426">
        <f>D229/F229*1000000</f>
        <v>317.1278805134238</v>
      </c>
      <c r="L229" s="434">
        <f>K229/1000000</f>
        <v>3.1712788051342378E-4</v>
      </c>
    </row>
    <row r="230" spans="1:12" ht="14.65" thickBot="1">
      <c r="A230" s="152" t="s">
        <v>86</v>
      </c>
      <c r="B230" s="162">
        <f>B102</f>
        <v>28.236000000000001</v>
      </c>
      <c r="C230" s="435">
        <f t="shared" si="13"/>
        <v>0.61821948103576219</v>
      </c>
      <c r="D230" s="236">
        <f>D102+D177</f>
        <v>27.617780518964238</v>
      </c>
      <c r="E230" s="135">
        <f t="shared" si="14"/>
        <v>22244.13100415131</v>
      </c>
      <c r="F230" s="435">
        <f t="shared" si="15"/>
        <v>57090.620083026202</v>
      </c>
      <c r="G230" s="405">
        <f>B230/E230*1000000</f>
        <v>1269.3685356703959</v>
      </c>
      <c r="H230" s="562">
        <f t="shared" si="16"/>
        <v>1.2693685356703959E-3</v>
      </c>
      <c r="I230" s="559">
        <f t="shared" si="17"/>
        <v>10.82873999505861</v>
      </c>
      <c r="J230" s="436">
        <f t="shared" si="18"/>
        <v>1.0828739995058611E-5</v>
      </c>
      <c r="K230" s="437">
        <f t="shared" si="19"/>
        <v>483.75338153272872</v>
      </c>
      <c r="L230" s="439">
        <f t="shared" si="20"/>
        <v>4.8375338153272871E-4</v>
      </c>
    </row>
    <row r="232" spans="1:12">
      <c r="A232" s="1" t="s">
        <v>125</v>
      </c>
      <c r="B232" s="1"/>
      <c r="C232" s="1"/>
    </row>
    <row r="233" spans="1:12" ht="14.65" thickBot="1">
      <c r="A233" s="79" t="s">
        <v>361</v>
      </c>
    </row>
    <row r="234" spans="1:12" ht="14.65" thickBot="1">
      <c r="A234" s="453" t="s">
        <v>26</v>
      </c>
      <c r="B234" s="454" t="s">
        <v>27</v>
      </c>
      <c r="C234" s="455" t="s">
        <v>355</v>
      </c>
    </row>
    <row r="235" spans="1:12" ht="14.65" thickBot="1">
      <c r="A235" s="456">
        <v>0.62634496250407568</v>
      </c>
      <c r="B235" s="457">
        <v>0.37365503749592438</v>
      </c>
      <c r="C235" s="458">
        <v>0.4094383112944317</v>
      </c>
    </row>
    <row r="237" spans="1:12" ht="14.65" thickBot="1">
      <c r="A237" s="79" t="s">
        <v>287</v>
      </c>
    </row>
    <row r="238" spans="1:12" ht="14.65" thickBot="1">
      <c r="A238" s="103" t="s">
        <v>53</v>
      </c>
      <c r="B238" s="102" t="s">
        <v>18</v>
      </c>
      <c r="C238" s="17" t="s">
        <v>106</v>
      </c>
    </row>
    <row r="239" spans="1:12">
      <c r="A239" s="243" t="s">
        <v>6</v>
      </c>
      <c r="B239" s="269" t="s">
        <v>35</v>
      </c>
      <c r="C239" s="386">
        <f>C183</f>
        <v>57090.620083026202</v>
      </c>
    </row>
    <row r="240" spans="1:12">
      <c r="A240" s="415" t="s">
        <v>338</v>
      </c>
      <c r="B240" s="37" t="s">
        <v>52</v>
      </c>
      <c r="C240" s="631">
        <v>1.5</v>
      </c>
    </row>
    <row r="241" spans="1:3">
      <c r="A241" s="257" t="s">
        <v>623</v>
      </c>
      <c r="B241" s="278" t="s">
        <v>35</v>
      </c>
      <c r="C241" s="279">
        <f>C22</f>
        <v>12000</v>
      </c>
    </row>
    <row r="242" spans="1:3" ht="14.65" thickBot="1">
      <c r="A242" s="255" t="s">
        <v>338</v>
      </c>
      <c r="B242" s="271" t="s">
        <v>35</v>
      </c>
      <c r="C242" s="256">
        <f>WWK*C241</f>
        <v>18000</v>
      </c>
    </row>
    <row r="243" spans="1:3">
      <c r="A243" s="83"/>
      <c r="B243" s="77"/>
      <c r="C243" s="96"/>
    </row>
    <row r="244" spans="1:3" ht="14.65" thickBot="1">
      <c r="A244" s="79" t="s">
        <v>288</v>
      </c>
    </row>
    <row r="245" spans="1:3" ht="14.65" thickBot="1">
      <c r="A245" s="103" t="s">
        <v>90</v>
      </c>
      <c r="B245" s="102" t="s">
        <v>18</v>
      </c>
      <c r="C245" s="17" t="s">
        <v>91</v>
      </c>
    </row>
    <row r="246" spans="1:3">
      <c r="A246" s="276" t="s">
        <v>6</v>
      </c>
      <c r="B246" s="296" t="s">
        <v>35</v>
      </c>
      <c r="C246" s="286">
        <f>C239</f>
        <v>57090.620083026202</v>
      </c>
    </row>
    <row r="247" spans="1:3">
      <c r="A247" s="257" t="s">
        <v>338</v>
      </c>
      <c r="B247" s="278" t="s">
        <v>35</v>
      </c>
      <c r="C247" s="279">
        <f>C242</f>
        <v>18000</v>
      </c>
    </row>
    <row r="248" spans="1:3">
      <c r="A248" s="257" t="s">
        <v>339</v>
      </c>
      <c r="B248" s="278" t="s">
        <v>35</v>
      </c>
      <c r="C248" s="279">
        <f>C246+C247</f>
        <v>75090.62008302621</v>
      </c>
    </row>
    <row r="249" spans="1:3">
      <c r="A249" s="257" t="s">
        <v>130</v>
      </c>
      <c r="B249" s="278" t="s">
        <v>24</v>
      </c>
      <c r="C249" s="314">
        <f>A235</f>
        <v>0.62634496250407568</v>
      </c>
    </row>
    <row r="250" spans="1:3">
      <c r="A250" s="253" t="s">
        <v>9</v>
      </c>
      <c r="B250" s="270" t="s">
        <v>35</v>
      </c>
      <c r="C250" s="254">
        <f>C248*C249</f>
        <v>47032.631620310844</v>
      </c>
    </row>
    <row r="251" spans="1:3">
      <c r="A251" s="257" t="s">
        <v>131</v>
      </c>
      <c r="B251" s="278" t="s">
        <v>24</v>
      </c>
      <c r="C251" s="314">
        <f>B235</f>
        <v>0.37365503749592438</v>
      </c>
    </row>
    <row r="252" spans="1:3">
      <c r="A252" s="253" t="s">
        <v>11</v>
      </c>
      <c r="B252" s="270" t="s">
        <v>35</v>
      </c>
      <c r="C252" s="322">
        <f>C248*C251</f>
        <v>28057.98846271537</v>
      </c>
    </row>
    <row r="253" spans="1:3">
      <c r="A253" s="281" t="s">
        <v>355</v>
      </c>
      <c r="B253" s="278" t="s">
        <v>24</v>
      </c>
      <c r="C253" s="318">
        <f>C235</f>
        <v>0.4094383112944317</v>
      </c>
    </row>
    <row r="254" spans="1:3">
      <c r="A254" s="281" t="s">
        <v>421</v>
      </c>
      <c r="B254" s="278" t="s">
        <v>35</v>
      </c>
      <c r="C254" s="289">
        <f>C252*C253</f>
        <v>11488.015414492829</v>
      </c>
    </row>
    <row r="255" spans="1:3">
      <c r="A255" s="281" t="s">
        <v>132</v>
      </c>
      <c r="B255" s="278" t="s">
        <v>24</v>
      </c>
      <c r="C255" s="318">
        <f>1-C253</f>
        <v>0.59056168870556824</v>
      </c>
    </row>
    <row r="256" spans="1:3" ht="14.65" thickBot="1">
      <c r="A256" s="319" t="s">
        <v>340</v>
      </c>
      <c r="B256" s="320" t="s">
        <v>35</v>
      </c>
      <c r="C256" s="321">
        <f>C252*C255</f>
        <v>16569.973048222539</v>
      </c>
    </row>
    <row r="257" spans="1:3">
      <c r="A257" s="77"/>
      <c r="B257" s="77"/>
      <c r="C257" s="117"/>
    </row>
    <row r="258" spans="1:3" ht="14.65" thickBot="1">
      <c r="A258" s="79" t="s">
        <v>133</v>
      </c>
      <c r="B258" s="79"/>
      <c r="C258" s="79"/>
    </row>
    <row r="259" spans="1:3" ht="14.65" thickBot="1">
      <c r="A259" s="103" t="s">
        <v>90</v>
      </c>
      <c r="B259" s="102" t="s">
        <v>18</v>
      </c>
      <c r="C259" s="17" t="s">
        <v>106</v>
      </c>
    </row>
    <row r="260" spans="1:3">
      <c r="A260" s="272" t="s">
        <v>623</v>
      </c>
      <c r="B260" s="296" t="s">
        <v>35</v>
      </c>
      <c r="C260" s="297">
        <f>$C$22</f>
        <v>12000</v>
      </c>
    </row>
    <row r="261" spans="1:3">
      <c r="A261" s="257" t="s">
        <v>329</v>
      </c>
      <c r="B261" s="278" t="s">
        <v>35</v>
      </c>
      <c r="C261" s="295">
        <f>$C$25</f>
        <v>3600</v>
      </c>
    </row>
    <row r="262" spans="1:3">
      <c r="A262" s="257" t="s">
        <v>428</v>
      </c>
      <c r="B262" s="278" t="s">
        <v>35</v>
      </c>
      <c r="C262" s="295">
        <f>$C$30</f>
        <v>6600.0000000000009</v>
      </c>
    </row>
    <row r="263" spans="1:3">
      <c r="A263" s="257" t="s">
        <v>115</v>
      </c>
      <c r="B263" s="278" t="s">
        <v>24</v>
      </c>
      <c r="C263" s="312">
        <f>$B$106</f>
        <v>0.05</v>
      </c>
    </row>
    <row r="264" spans="1:3">
      <c r="A264" s="257" t="s">
        <v>334</v>
      </c>
      <c r="B264" s="278" t="s">
        <v>35</v>
      </c>
      <c r="C264" s="295">
        <f>$C$120</f>
        <v>882.62008302620131</v>
      </c>
    </row>
    <row r="265" spans="1:3">
      <c r="A265" s="257" t="s">
        <v>429</v>
      </c>
      <c r="B265" s="278" t="s">
        <v>35</v>
      </c>
      <c r="C265" s="295">
        <f>C264*C263</f>
        <v>44.131004151310066</v>
      </c>
    </row>
    <row r="266" spans="1:3">
      <c r="A266" s="281" t="s">
        <v>421</v>
      </c>
      <c r="B266" s="278" t="s">
        <v>35</v>
      </c>
      <c r="C266" s="289">
        <f>$C$254</f>
        <v>11488.015414492829</v>
      </c>
    </row>
    <row r="267" spans="1:3">
      <c r="A267" s="257" t="s">
        <v>341</v>
      </c>
      <c r="B267" s="278" t="s">
        <v>35</v>
      </c>
      <c r="C267" s="279">
        <f>C260+C261+C262+C265-C266</f>
        <v>10756.115589658481</v>
      </c>
    </row>
    <row r="268" spans="1:3">
      <c r="A268" s="257" t="s">
        <v>9</v>
      </c>
      <c r="B268" s="278" t="s">
        <v>35</v>
      </c>
      <c r="C268" s="279">
        <f>$C$250</f>
        <v>47032.631620310844</v>
      </c>
    </row>
    <row r="269" spans="1:3">
      <c r="A269" s="299" t="s">
        <v>64</v>
      </c>
      <c r="B269" s="260" t="s">
        <v>24</v>
      </c>
      <c r="C269" s="300">
        <f>C267/C268</f>
        <v>0.22869474275841919</v>
      </c>
    </row>
    <row r="270" spans="1:3">
      <c r="A270" s="257" t="s">
        <v>366</v>
      </c>
      <c r="B270" s="278" t="s">
        <v>35</v>
      </c>
      <c r="C270" s="279">
        <f>$C$24</f>
        <v>34008</v>
      </c>
    </row>
    <row r="271" spans="1:3">
      <c r="A271" s="257" t="s">
        <v>117</v>
      </c>
      <c r="B271" s="278" t="s">
        <v>24</v>
      </c>
      <c r="C271" s="312">
        <f>1-$B$106</f>
        <v>0.95</v>
      </c>
    </row>
    <row r="272" spans="1:3">
      <c r="A272" s="257" t="s">
        <v>334</v>
      </c>
      <c r="B272" s="278" t="s">
        <v>35</v>
      </c>
      <c r="C272" s="295">
        <f>$C$120</f>
        <v>882.62008302620131</v>
      </c>
    </row>
    <row r="273" spans="1:8">
      <c r="A273" s="257" t="s">
        <v>356</v>
      </c>
      <c r="B273" s="278" t="s">
        <v>35</v>
      </c>
      <c r="C273" s="279">
        <f>C271*C272</f>
        <v>838.48907887489122</v>
      </c>
    </row>
    <row r="274" spans="1:8">
      <c r="A274" s="257" t="s">
        <v>338</v>
      </c>
      <c r="B274" s="278" t="s">
        <v>35</v>
      </c>
      <c r="C274" s="279">
        <f>$C$242</f>
        <v>18000</v>
      </c>
    </row>
    <row r="275" spans="1:8">
      <c r="A275" s="281" t="s">
        <v>340</v>
      </c>
      <c r="B275" s="278" t="s">
        <v>35</v>
      </c>
      <c r="C275" s="289">
        <f>$C$256</f>
        <v>16569.973048222539</v>
      </c>
    </row>
    <row r="276" spans="1:8">
      <c r="A276" s="257" t="s">
        <v>342</v>
      </c>
      <c r="B276" s="278" t="s">
        <v>35</v>
      </c>
      <c r="C276" s="279">
        <f>C270+C273+C274-C275</f>
        <v>36276.516030652347</v>
      </c>
    </row>
    <row r="277" spans="1:8">
      <c r="A277" s="257" t="s">
        <v>9</v>
      </c>
      <c r="B277" s="278" t="s">
        <v>35</v>
      </c>
      <c r="C277" s="279">
        <f>$C$250</f>
        <v>47032.631620310844</v>
      </c>
    </row>
    <row r="278" spans="1:8" ht="14.65" thickBot="1">
      <c r="A278" s="301" t="s">
        <v>66</v>
      </c>
      <c r="B278" s="277" t="s">
        <v>24</v>
      </c>
      <c r="C278" s="303">
        <f>C276/C277</f>
        <v>0.7713052572415805</v>
      </c>
    </row>
    <row r="279" spans="1:8">
      <c r="A279" s="77"/>
      <c r="B279" s="77"/>
      <c r="C279" s="117"/>
    </row>
    <row r="280" spans="1:8" ht="14.65" thickBot="1">
      <c r="A280" s="79" t="s">
        <v>135</v>
      </c>
    </row>
    <row r="281" spans="1:8" ht="14.65" thickBot="1">
      <c r="A281" s="419"/>
      <c r="B281" s="1028" t="s">
        <v>262</v>
      </c>
      <c r="C281" s="1029"/>
      <c r="D281" s="1031"/>
      <c r="E281" s="1065" t="s">
        <v>263</v>
      </c>
      <c r="F281" s="1061"/>
      <c r="G281" s="1061"/>
      <c r="H281" s="1009"/>
    </row>
    <row r="282" spans="1:8">
      <c r="A282" s="92" t="s">
        <v>93</v>
      </c>
      <c r="B282" s="377" t="s">
        <v>243</v>
      </c>
      <c r="C282" s="491" t="s">
        <v>341</v>
      </c>
      <c r="D282" s="492" t="s">
        <v>281</v>
      </c>
      <c r="E282" s="1039" t="s">
        <v>269</v>
      </c>
      <c r="F282" s="1040"/>
      <c r="G282" s="1022" t="s">
        <v>282</v>
      </c>
      <c r="H282" s="1023"/>
    </row>
    <row r="283" spans="1:8" ht="14.65" thickBot="1">
      <c r="A283" s="93" t="s">
        <v>18</v>
      </c>
      <c r="B283" s="403" t="s">
        <v>35</v>
      </c>
      <c r="C283" s="154" t="s">
        <v>35</v>
      </c>
      <c r="D283" s="155" t="s">
        <v>35</v>
      </c>
      <c r="E283" s="153" t="s">
        <v>257</v>
      </c>
      <c r="F283" s="423" t="s">
        <v>237</v>
      </c>
      <c r="G283" s="403" t="s">
        <v>71</v>
      </c>
      <c r="H283" s="155" t="s">
        <v>237</v>
      </c>
    </row>
    <row r="284" spans="1:8">
      <c r="A284" s="111" t="s">
        <v>72</v>
      </c>
      <c r="B284" s="459">
        <f>C209</f>
        <v>297.23661411933938</v>
      </c>
      <c r="C284" s="160">
        <f>$C$267</f>
        <v>10756.115589658481</v>
      </c>
      <c r="D284" s="467">
        <f>$C$250</f>
        <v>47032.631620310844</v>
      </c>
      <c r="E284" s="465">
        <f>B284/C284*1000000</f>
        <v>27634.196717365045</v>
      </c>
      <c r="F284" s="560">
        <f>E284/1000000</f>
        <v>2.7634196717365046E-2</v>
      </c>
      <c r="G284" s="443">
        <f>B284/D284*1000000</f>
        <v>6319.795509613351</v>
      </c>
      <c r="H284" s="460">
        <f>G284/1000000</f>
        <v>6.3197955096133511E-3</v>
      </c>
    </row>
    <row r="285" spans="1:8">
      <c r="A285" s="112" t="s">
        <v>73</v>
      </c>
      <c r="B285" s="461">
        <f>C210</f>
        <v>2.7508594065107583E-2</v>
      </c>
      <c r="C285" s="119">
        <f t="shared" ref="C285:C305" si="21">$C$267</f>
        <v>10756.115589658481</v>
      </c>
      <c r="D285" s="468">
        <f t="shared" ref="D285:D305" si="22">$C$250</f>
        <v>47032.631620310844</v>
      </c>
      <c r="E285" s="331">
        <f t="shared" ref="E285:E305" si="23">B285/C285*1000000</f>
        <v>2.5574840504276337</v>
      </c>
      <c r="F285" s="561">
        <f t="shared" ref="F285:F305" si="24">E285/1000000</f>
        <v>2.5574840504276335E-6</v>
      </c>
      <c r="G285" s="444">
        <f t="shared" ref="G285:G305" si="25">B285/D285*1000000</f>
        <v>0.58488315702130755</v>
      </c>
      <c r="H285" s="462">
        <f t="shared" ref="H285:H305" si="26">G285/1000000</f>
        <v>5.8488315702130753E-7</v>
      </c>
    </row>
    <row r="286" spans="1:8">
      <c r="A286" s="112" t="s">
        <v>74</v>
      </c>
      <c r="B286" s="461">
        <f>C211</f>
        <v>301.91686339228249</v>
      </c>
      <c r="C286" s="119">
        <f t="shared" si="21"/>
        <v>10756.115589658481</v>
      </c>
      <c r="D286" s="468">
        <f t="shared" si="22"/>
        <v>47032.631620310844</v>
      </c>
      <c r="E286" s="331">
        <f t="shared" si="23"/>
        <v>28069.321203889063</v>
      </c>
      <c r="F286" s="561">
        <f t="shared" si="24"/>
        <v>2.8069321203889063E-2</v>
      </c>
      <c r="G286" s="444">
        <f t="shared" si="25"/>
        <v>6419.3061921268509</v>
      </c>
      <c r="H286" s="462">
        <f t="shared" si="26"/>
        <v>6.4193061921268505E-3</v>
      </c>
    </row>
    <row r="287" spans="1:8">
      <c r="A287" s="112" t="s">
        <v>75</v>
      </c>
      <c r="B287" s="461">
        <f>C212</f>
        <v>1.0380305269228264E-2</v>
      </c>
      <c r="C287" s="119">
        <f t="shared" si="21"/>
        <v>10756.115589658481</v>
      </c>
      <c r="D287" s="468">
        <f t="shared" si="22"/>
        <v>47032.631620310844</v>
      </c>
      <c r="E287" s="331">
        <f t="shared" si="23"/>
        <v>0.9650607770716465</v>
      </c>
      <c r="F287" s="561">
        <f t="shared" si="24"/>
        <v>9.6506077707164649E-7</v>
      </c>
      <c r="G287" s="444">
        <f t="shared" si="25"/>
        <v>0.2207043261586403</v>
      </c>
      <c r="H287" s="462">
        <f t="shared" si="26"/>
        <v>2.207043261586403E-7</v>
      </c>
    </row>
    <row r="288" spans="1:8">
      <c r="A288" s="112" t="s">
        <v>76</v>
      </c>
      <c r="B288" s="461">
        <f>C213</f>
        <v>0.65861882563119145</v>
      </c>
      <c r="C288" s="119">
        <f t="shared" si="21"/>
        <v>10756.115589658481</v>
      </c>
      <c r="D288" s="468">
        <f t="shared" si="22"/>
        <v>47032.631620310844</v>
      </c>
      <c r="E288" s="331">
        <f t="shared" si="23"/>
        <v>61.232033083060557</v>
      </c>
      <c r="F288" s="561">
        <f t="shared" si="24"/>
        <v>6.1232033083060555E-5</v>
      </c>
      <c r="G288" s="444">
        <f t="shared" si="25"/>
        <v>14.003444054505547</v>
      </c>
      <c r="H288" s="462">
        <f t="shared" si="26"/>
        <v>1.4003444054505546E-5</v>
      </c>
    </row>
    <row r="289" spans="1:8">
      <c r="A289" s="113" t="s">
        <v>77</v>
      </c>
      <c r="B289" s="461">
        <f>C214</f>
        <v>1.8390803487070784E-2</v>
      </c>
      <c r="C289" s="119">
        <f t="shared" si="21"/>
        <v>10756.115589658481</v>
      </c>
      <c r="D289" s="468">
        <f t="shared" si="22"/>
        <v>47032.631620310844</v>
      </c>
      <c r="E289" s="331">
        <f t="shared" si="23"/>
        <v>1.7097997259115281</v>
      </c>
      <c r="F289" s="561">
        <f t="shared" si="24"/>
        <v>1.709799725911528E-6</v>
      </c>
      <c r="G289" s="444">
        <f t="shared" si="25"/>
        <v>0.39102220848575253</v>
      </c>
      <c r="H289" s="462">
        <f t="shared" si="26"/>
        <v>3.9102220848575252E-7</v>
      </c>
    </row>
    <row r="290" spans="1:8">
      <c r="A290" s="113" t="s">
        <v>78</v>
      </c>
      <c r="B290" s="461">
        <f>C215</f>
        <v>520.36897797378174</v>
      </c>
      <c r="C290" s="119">
        <f t="shared" si="21"/>
        <v>10756.115589658481</v>
      </c>
      <c r="D290" s="468">
        <f t="shared" si="22"/>
        <v>47032.631620310844</v>
      </c>
      <c r="E290" s="331">
        <f t="shared" si="23"/>
        <v>48378.894186865473</v>
      </c>
      <c r="F290" s="561">
        <f t="shared" si="24"/>
        <v>4.8378894186865473E-2</v>
      </c>
      <c r="G290" s="444">
        <f t="shared" si="25"/>
        <v>11063.99876100198</v>
      </c>
      <c r="H290" s="462">
        <f t="shared" si="26"/>
        <v>1.106399876100198E-2</v>
      </c>
    </row>
    <row r="291" spans="1:8">
      <c r="A291" s="113" t="s">
        <v>79</v>
      </c>
      <c r="B291" s="461">
        <f>C216</f>
        <v>73.263467845989027</v>
      </c>
      <c r="C291" s="119">
        <f t="shared" si="21"/>
        <v>10756.115589658481</v>
      </c>
      <c r="D291" s="468">
        <f t="shared" si="22"/>
        <v>47032.631620310844</v>
      </c>
      <c r="E291" s="331">
        <f t="shared" si="23"/>
        <v>6811.3313988953914</v>
      </c>
      <c r="F291" s="561">
        <f t="shared" si="24"/>
        <v>6.811331398895391E-3</v>
      </c>
      <c r="G291" s="444">
        <f t="shared" si="25"/>
        <v>1557.7156821127251</v>
      </c>
      <c r="H291" s="462">
        <f t="shared" si="26"/>
        <v>1.5577156821127251E-3</v>
      </c>
    </row>
    <row r="292" spans="1:8">
      <c r="A292" s="113" t="s">
        <v>80</v>
      </c>
      <c r="B292" s="461">
        <f>C217</f>
        <v>116.75952633918425</v>
      </c>
      <c r="C292" s="119">
        <f t="shared" si="21"/>
        <v>10756.115589658481</v>
      </c>
      <c r="D292" s="468">
        <f t="shared" si="22"/>
        <v>47032.631620310844</v>
      </c>
      <c r="E292" s="331">
        <f t="shared" si="23"/>
        <v>10855.175863993434</v>
      </c>
      <c r="F292" s="561">
        <f t="shared" si="24"/>
        <v>1.0855175863993434E-2</v>
      </c>
      <c r="G292" s="444">
        <f t="shared" si="25"/>
        <v>2482.5216518133793</v>
      </c>
      <c r="H292" s="462">
        <f t="shared" si="26"/>
        <v>2.4825216518133794E-3</v>
      </c>
    </row>
    <row r="293" spans="1:8">
      <c r="A293" s="113" t="s">
        <v>81</v>
      </c>
      <c r="B293" s="461">
        <f>C218</f>
        <v>105.78373790246087</v>
      </c>
      <c r="C293" s="119">
        <f t="shared" si="21"/>
        <v>10756.115589658481</v>
      </c>
      <c r="D293" s="468">
        <f t="shared" si="22"/>
        <v>47032.631620310844</v>
      </c>
      <c r="E293" s="331">
        <f t="shared" si="23"/>
        <v>9834.7527990650415</v>
      </c>
      <c r="F293" s="561">
        <f t="shared" si="24"/>
        <v>9.834752799065042E-3</v>
      </c>
      <c r="G293" s="444">
        <f t="shared" si="25"/>
        <v>2249.1562614748227</v>
      </c>
      <c r="H293" s="462">
        <f t="shared" si="26"/>
        <v>2.2491562614748227E-3</v>
      </c>
    </row>
    <row r="294" spans="1:8">
      <c r="A294" s="113" t="s">
        <v>82</v>
      </c>
      <c r="B294" s="461">
        <f>C219</f>
        <v>0.63731164578968114</v>
      </c>
      <c r="C294" s="119">
        <f t="shared" si="21"/>
        <v>10756.115589658481</v>
      </c>
      <c r="D294" s="468">
        <f t="shared" si="22"/>
        <v>47032.631620310844</v>
      </c>
      <c r="E294" s="331">
        <f t="shared" si="23"/>
        <v>59.251096780925955</v>
      </c>
      <c r="F294" s="561">
        <f t="shared" si="24"/>
        <v>5.9251096780925958E-5</v>
      </c>
      <c r="G294" s="444">
        <f t="shared" si="25"/>
        <v>13.55041433646806</v>
      </c>
      <c r="H294" s="462">
        <f t="shared" si="26"/>
        <v>1.3550414336468061E-5</v>
      </c>
    </row>
    <row r="295" spans="1:8">
      <c r="A295" s="113" t="s">
        <v>630</v>
      </c>
      <c r="B295" s="461">
        <f>C220</f>
        <v>836.35821747556804</v>
      </c>
      <c r="C295" s="119">
        <f t="shared" si="21"/>
        <v>10756.115589658481</v>
      </c>
      <c r="D295" s="468">
        <f t="shared" si="22"/>
        <v>47032.631620310844</v>
      </c>
      <c r="E295" s="331">
        <f t="shared" si="23"/>
        <v>77756.529344077397</v>
      </c>
      <c r="F295" s="561">
        <f t="shared" si="24"/>
        <v>7.7756529344077396E-2</v>
      </c>
      <c r="G295" s="444">
        <f t="shared" si="25"/>
        <v>17782.509476131254</v>
      </c>
      <c r="H295" s="462">
        <f t="shared" si="26"/>
        <v>1.7782509476131254E-2</v>
      </c>
    </row>
    <row r="296" spans="1:8">
      <c r="A296" s="113" t="s">
        <v>96</v>
      </c>
      <c r="B296" s="461">
        <f>C221</f>
        <v>2035.5612244897964</v>
      </c>
      <c r="C296" s="119">
        <f t="shared" si="21"/>
        <v>10756.115589658481</v>
      </c>
      <c r="D296" s="468">
        <f t="shared" si="22"/>
        <v>47032.631620310844</v>
      </c>
      <c r="E296" s="331">
        <f t="shared" si="23"/>
        <v>189246.87146788349</v>
      </c>
      <c r="F296" s="561">
        <f t="shared" si="24"/>
        <v>0.18924687146788349</v>
      </c>
      <c r="G296" s="444">
        <f t="shared" si="25"/>
        <v>43279.764588183236</v>
      </c>
      <c r="H296" s="462">
        <f t="shared" si="26"/>
        <v>4.3279764588183237E-2</v>
      </c>
    </row>
    <row r="297" spans="1:8">
      <c r="A297" s="113" t="s">
        <v>97</v>
      </c>
      <c r="B297" s="461">
        <f>C222</f>
        <v>2871.9194419653645</v>
      </c>
      <c r="C297" s="119">
        <f t="shared" si="21"/>
        <v>10756.115589658481</v>
      </c>
      <c r="D297" s="468">
        <f t="shared" si="22"/>
        <v>47032.631620310844</v>
      </c>
      <c r="E297" s="331">
        <f t="shared" si="23"/>
        <v>267003.40081196086</v>
      </c>
      <c r="F297" s="561">
        <f t="shared" si="24"/>
        <v>0.26700340081196089</v>
      </c>
      <c r="G297" s="444">
        <f t="shared" si="25"/>
        <v>61062.274064314493</v>
      </c>
      <c r="H297" s="462">
        <f t="shared" si="26"/>
        <v>6.1062274064314491E-2</v>
      </c>
    </row>
    <row r="298" spans="1:8">
      <c r="A298" s="113" t="s">
        <v>84</v>
      </c>
      <c r="B298" s="461">
        <f>C223</f>
        <v>0.3344003453227431</v>
      </c>
      <c r="C298" s="119">
        <f t="shared" si="21"/>
        <v>10756.115589658481</v>
      </c>
      <c r="D298" s="468">
        <f t="shared" si="22"/>
        <v>47032.631620310844</v>
      </c>
      <c r="E298" s="331">
        <f t="shared" si="23"/>
        <v>31.089322398529625</v>
      </c>
      <c r="F298" s="561">
        <f t="shared" si="24"/>
        <v>3.1089322398529626E-5</v>
      </c>
      <c r="G298" s="444">
        <f t="shared" si="25"/>
        <v>7.1099645884652922</v>
      </c>
      <c r="H298" s="462">
        <f t="shared" si="26"/>
        <v>7.1099645884652925E-6</v>
      </c>
    </row>
    <row r="299" spans="1:8">
      <c r="A299" s="113" t="s">
        <v>631</v>
      </c>
      <c r="B299" s="461">
        <f>C224</f>
        <v>0</v>
      </c>
      <c r="C299" s="119">
        <f t="shared" si="21"/>
        <v>10756.115589658481</v>
      </c>
      <c r="D299" s="468">
        <f t="shared" si="22"/>
        <v>47032.631620310844</v>
      </c>
      <c r="E299" s="331">
        <f t="shared" si="23"/>
        <v>0</v>
      </c>
      <c r="F299" s="561">
        <f t="shared" si="24"/>
        <v>0</v>
      </c>
      <c r="G299" s="444">
        <f t="shared" si="25"/>
        <v>0</v>
      </c>
      <c r="H299" s="462">
        <f t="shared" si="26"/>
        <v>0</v>
      </c>
    </row>
    <row r="300" spans="1:8">
      <c r="A300" s="113" t="s">
        <v>250</v>
      </c>
      <c r="B300" s="461">
        <f>C225</f>
        <v>0</v>
      </c>
      <c r="C300" s="119">
        <f t="shared" si="21"/>
        <v>10756.115589658481</v>
      </c>
      <c r="D300" s="468">
        <f t="shared" si="22"/>
        <v>47032.631620310844</v>
      </c>
      <c r="E300" s="331">
        <f t="shared" si="23"/>
        <v>0</v>
      </c>
      <c r="F300" s="561">
        <f t="shared" si="24"/>
        <v>0</v>
      </c>
      <c r="G300" s="444">
        <f t="shared" si="25"/>
        <v>0</v>
      </c>
      <c r="H300" s="462">
        <f t="shared" si="26"/>
        <v>0</v>
      </c>
    </row>
    <row r="301" spans="1:8">
      <c r="A301" s="113" t="s">
        <v>251</v>
      </c>
      <c r="B301" s="461">
        <f>C226</f>
        <v>0</v>
      </c>
      <c r="C301" s="119">
        <f t="shared" si="21"/>
        <v>10756.115589658481</v>
      </c>
      <c r="D301" s="468">
        <f t="shared" si="22"/>
        <v>47032.631620310844</v>
      </c>
      <c r="E301" s="331">
        <f t="shared" si="23"/>
        <v>0</v>
      </c>
      <c r="F301" s="561">
        <f t="shared" si="24"/>
        <v>0</v>
      </c>
      <c r="G301" s="444">
        <f t="shared" si="25"/>
        <v>0</v>
      </c>
      <c r="H301" s="462">
        <f t="shared" si="26"/>
        <v>0</v>
      </c>
    </row>
    <row r="302" spans="1:8">
      <c r="A302" s="394" t="s">
        <v>238</v>
      </c>
      <c r="B302" s="461">
        <f>C227</f>
        <v>0</v>
      </c>
      <c r="C302" s="119">
        <f t="shared" si="21"/>
        <v>10756.115589658481</v>
      </c>
      <c r="D302" s="468">
        <f t="shared" si="22"/>
        <v>47032.631620310844</v>
      </c>
      <c r="E302" s="331">
        <f t="shared" si="23"/>
        <v>0</v>
      </c>
      <c r="F302" s="561">
        <f t="shared" si="24"/>
        <v>0</v>
      </c>
      <c r="G302" s="444">
        <f t="shared" si="25"/>
        <v>0</v>
      </c>
      <c r="H302" s="462">
        <f t="shared" si="26"/>
        <v>0</v>
      </c>
    </row>
    <row r="303" spans="1:8">
      <c r="A303" s="394" t="s">
        <v>239</v>
      </c>
      <c r="B303" s="461">
        <f>C228</f>
        <v>0</v>
      </c>
      <c r="C303" s="119">
        <f t="shared" si="21"/>
        <v>10756.115589658481</v>
      </c>
      <c r="D303" s="468">
        <f t="shared" si="22"/>
        <v>47032.631620310844</v>
      </c>
      <c r="E303" s="331">
        <f t="shared" si="23"/>
        <v>0</v>
      </c>
      <c r="F303" s="561">
        <f t="shared" si="24"/>
        <v>0</v>
      </c>
      <c r="G303" s="444">
        <f t="shared" si="25"/>
        <v>0</v>
      </c>
      <c r="H303" s="462">
        <f t="shared" si="26"/>
        <v>0</v>
      </c>
    </row>
    <row r="304" spans="1:8">
      <c r="A304" s="394" t="s">
        <v>248</v>
      </c>
      <c r="B304" s="461">
        <f>C229</f>
        <v>0</v>
      </c>
      <c r="C304" s="119">
        <f t="shared" si="21"/>
        <v>10756.115589658481</v>
      </c>
      <c r="D304" s="468">
        <f t="shared" si="22"/>
        <v>47032.631620310844</v>
      </c>
      <c r="E304" s="331">
        <f>B304/C304*1000000</f>
        <v>0</v>
      </c>
      <c r="F304" s="561">
        <f>E304/1000000</f>
        <v>0</v>
      </c>
      <c r="G304" s="444">
        <f>B304/D304*1000000</f>
        <v>0</v>
      </c>
      <c r="H304" s="462">
        <f>G304/1000000</f>
        <v>0</v>
      </c>
    </row>
    <row r="305" spans="1:8" ht="14.65" thickBot="1">
      <c r="A305" s="114" t="s">
        <v>86</v>
      </c>
      <c r="B305" s="463">
        <f>C230</f>
        <v>0.61821948103576219</v>
      </c>
      <c r="C305" s="135">
        <f t="shared" si="21"/>
        <v>10756.115589658481</v>
      </c>
      <c r="D305" s="469">
        <f t="shared" si="22"/>
        <v>47032.631620310844</v>
      </c>
      <c r="E305" s="466">
        <f t="shared" si="23"/>
        <v>57.476091241540047</v>
      </c>
      <c r="F305" s="562">
        <f t="shared" si="24"/>
        <v>5.747609124154005E-5</v>
      </c>
      <c r="G305" s="445">
        <f t="shared" si="25"/>
        <v>13.144479901243432</v>
      </c>
      <c r="H305" s="464">
        <f t="shared" si="26"/>
        <v>1.3144479901243432E-5</v>
      </c>
    </row>
    <row r="306" spans="1:8">
      <c r="A306" s="145"/>
      <c r="B306" s="146"/>
      <c r="C306" s="96"/>
      <c r="D306" s="96"/>
      <c r="E306" s="96"/>
      <c r="F306" s="95"/>
    </row>
    <row r="307" spans="1:8" ht="14.65" thickBot="1">
      <c r="A307" s="79" t="s">
        <v>137</v>
      </c>
    </row>
    <row r="308" spans="1:8" ht="14.65" thickBot="1">
      <c r="A308" s="419"/>
      <c r="B308" s="1028" t="s">
        <v>262</v>
      </c>
      <c r="C308" s="1029"/>
      <c r="D308" s="1031"/>
      <c r="E308" s="1036" t="s">
        <v>263</v>
      </c>
      <c r="F308" s="1037"/>
      <c r="G308" s="1037"/>
      <c r="H308" s="1038"/>
    </row>
    <row r="309" spans="1:8">
      <c r="A309" s="92" t="s">
        <v>93</v>
      </c>
      <c r="B309" s="377" t="s">
        <v>256</v>
      </c>
      <c r="C309" s="491" t="s">
        <v>421</v>
      </c>
      <c r="D309" s="492" t="s">
        <v>284</v>
      </c>
      <c r="E309" s="1039" t="s">
        <v>269</v>
      </c>
      <c r="F309" s="1040"/>
      <c r="G309" s="1022" t="s">
        <v>242</v>
      </c>
      <c r="H309" s="1023"/>
    </row>
    <row r="310" spans="1:8" ht="14.65" thickBot="1">
      <c r="A310" s="93" t="s">
        <v>18</v>
      </c>
      <c r="B310" s="403" t="s">
        <v>35</v>
      </c>
      <c r="C310" s="154" t="s">
        <v>35</v>
      </c>
      <c r="D310" s="155" t="s">
        <v>35</v>
      </c>
      <c r="E310" s="153" t="s">
        <v>257</v>
      </c>
      <c r="F310" s="423" t="s">
        <v>237</v>
      </c>
      <c r="G310" s="403" t="s">
        <v>71</v>
      </c>
      <c r="H310" s="155" t="s">
        <v>237</v>
      </c>
    </row>
    <row r="311" spans="1:8">
      <c r="A311" s="711" t="s">
        <v>72</v>
      </c>
      <c r="B311" s="459">
        <f>D209</f>
        <v>170.78738588066062</v>
      </c>
      <c r="C311" s="160">
        <f>$C$254</f>
        <v>11488.015414492829</v>
      </c>
      <c r="D311" s="440">
        <f>$C$252</f>
        <v>28057.98846271537</v>
      </c>
      <c r="E311" s="443">
        <f>B311/C311*1000000</f>
        <v>14866.570048748539</v>
      </c>
      <c r="F311" s="560">
        <f>E311/1000000</f>
        <v>1.4866570048748539E-2</v>
      </c>
      <c r="G311" s="443">
        <f>B311/D311*1000000</f>
        <v>6086.9433354999792</v>
      </c>
      <c r="H311" s="460">
        <f>G311/1000000</f>
        <v>6.0869433354999794E-3</v>
      </c>
    </row>
    <row r="312" spans="1:8">
      <c r="A312" s="112" t="s">
        <v>73</v>
      </c>
      <c r="B312" s="461">
        <f>D210</f>
        <v>0.31569140593489242</v>
      </c>
      <c r="C312" s="119">
        <f t="shared" ref="C312:C332" si="27">$C$254</f>
        <v>11488.015414492829</v>
      </c>
      <c r="D312" s="441">
        <f t="shared" ref="D312:D332" si="28">$C$252</f>
        <v>28057.98846271537</v>
      </c>
      <c r="E312" s="444">
        <f t="shared" ref="E312:E332" si="29">B312/C312*1000000</f>
        <v>27.480064619048868</v>
      </c>
      <c r="F312" s="561">
        <f t="shared" ref="F312:F332" si="30">E312/1000000</f>
        <v>2.7480064619048869E-5</v>
      </c>
      <c r="G312" s="444">
        <f t="shared" ref="G312:G332" si="31">B312/D312*1000000</f>
        <v>11.251391251885229</v>
      </c>
      <c r="H312" s="462">
        <f t="shared" ref="H312:H332" si="32">G312/1000000</f>
        <v>1.1251391251885229E-5</v>
      </c>
    </row>
    <row r="313" spans="1:8">
      <c r="A313" s="112" t="s">
        <v>74</v>
      </c>
      <c r="B313" s="461">
        <f>D211</f>
        <v>1606.0831366077175</v>
      </c>
      <c r="C313" s="119">
        <f t="shared" si="27"/>
        <v>11488.015414492829</v>
      </c>
      <c r="D313" s="441">
        <f t="shared" si="28"/>
        <v>28057.98846271537</v>
      </c>
      <c r="E313" s="444">
        <f t="shared" si="29"/>
        <v>139805.09937178061</v>
      </c>
      <c r="F313" s="561">
        <f t="shared" si="30"/>
        <v>0.13980509937178062</v>
      </c>
      <c r="G313" s="444">
        <f t="shared" si="31"/>
        <v>57241.563797132068</v>
      </c>
      <c r="H313" s="462">
        <f t="shared" si="32"/>
        <v>5.7241563797132071E-2</v>
      </c>
    </row>
    <row r="314" spans="1:8">
      <c r="A314" s="112" t="s">
        <v>75</v>
      </c>
      <c r="B314" s="461">
        <f>D212</f>
        <v>3.1619694730771739E-2</v>
      </c>
      <c r="C314" s="119">
        <f t="shared" si="27"/>
        <v>11488.015414492829</v>
      </c>
      <c r="D314" s="441">
        <f t="shared" si="28"/>
        <v>28057.98846271537</v>
      </c>
      <c r="E314" s="444">
        <f t="shared" si="29"/>
        <v>2.7524070598722883</v>
      </c>
      <c r="F314" s="561">
        <f t="shared" si="30"/>
        <v>2.7524070598722885E-6</v>
      </c>
      <c r="G314" s="444">
        <f t="shared" si="31"/>
        <v>1.1269408985889817</v>
      </c>
      <c r="H314" s="462">
        <f t="shared" si="32"/>
        <v>1.1269408985889817E-6</v>
      </c>
    </row>
    <row r="315" spans="1:8">
      <c r="A315" s="112" t="s">
        <v>76</v>
      </c>
      <c r="B315" s="461">
        <f>D213</f>
        <v>0.97338117436880844</v>
      </c>
      <c r="C315" s="119">
        <f t="shared" si="27"/>
        <v>11488.015414492829</v>
      </c>
      <c r="D315" s="441">
        <f t="shared" si="28"/>
        <v>28057.98846271537</v>
      </c>
      <c r="E315" s="444">
        <f t="shared" si="29"/>
        <v>84.730141738914185</v>
      </c>
      <c r="F315" s="561">
        <f t="shared" si="30"/>
        <v>8.4730141738914181E-5</v>
      </c>
      <c r="G315" s="444">
        <f t="shared" si="31"/>
        <v>34.691766149318873</v>
      </c>
      <c r="H315" s="462">
        <f t="shared" si="32"/>
        <v>3.469176614931887E-5</v>
      </c>
    </row>
    <row r="316" spans="1:8">
      <c r="A316" s="113" t="s">
        <v>77</v>
      </c>
      <c r="B316" s="461">
        <f>D214</f>
        <v>7.8536091965129291</v>
      </c>
      <c r="C316" s="119">
        <f t="shared" si="27"/>
        <v>11488.015414492829</v>
      </c>
      <c r="D316" s="441">
        <f t="shared" si="28"/>
        <v>28057.98846271537</v>
      </c>
      <c r="E316" s="444">
        <f t="shared" si="29"/>
        <v>683.63498073001574</v>
      </c>
      <c r="F316" s="561">
        <f t="shared" si="30"/>
        <v>6.8363498073001577E-4</v>
      </c>
      <c r="G316" s="444">
        <f t="shared" si="31"/>
        <v>279.90635205189903</v>
      </c>
      <c r="H316" s="462">
        <f t="shared" si="32"/>
        <v>2.7990635205189904E-4</v>
      </c>
    </row>
    <row r="317" spans="1:8">
      <c r="A317" s="113" t="s">
        <v>78</v>
      </c>
      <c r="B317" s="461">
        <f>D215</f>
        <v>530.55502202621824</v>
      </c>
      <c r="C317" s="119">
        <f t="shared" si="27"/>
        <v>11488.015414492829</v>
      </c>
      <c r="D317" s="441">
        <f t="shared" si="28"/>
        <v>28057.98846271537</v>
      </c>
      <c r="E317" s="444">
        <f t="shared" si="29"/>
        <v>46183.348723304363</v>
      </c>
      <c r="F317" s="561">
        <f t="shared" si="30"/>
        <v>4.618334872330436E-2</v>
      </c>
      <c r="G317" s="444">
        <f t="shared" si="31"/>
        <v>18909.232311191587</v>
      </c>
      <c r="H317" s="462">
        <f t="shared" si="32"/>
        <v>1.8909232311191588E-2</v>
      </c>
    </row>
    <row r="318" spans="1:8">
      <c r="A318" s="113" t="s">
        <v>79</v>
      </c>
      <c r="B318" s="461">
        <f>D216</f>
        <v>25.496532154010971</v>
      </c>
      <c r="C318" s="119">
        <f t="shared" si="27"/>
        <v>11488.015414492829</v>
      </c>
      <c r="D318" s="441">
        <f t="shared" si="28"/>
        <v>28057.98846271537</v>
      </c>
      <c r="E318" s="444">
        <f t="shared" si="29"/>
        <v>2219.4026761006562</v>
      </c>
      <c r="F318" s="561">
        <f t="shared" si="30"/>
        <v>2.219402676100656E-3</v>
      </c>
      <c r="G318" s="444">
        <f t="shared" si="31"/>
        <v>908.70848378499522</v>
      </c>
      <c r="H318" s="462">
        <f t="shared" si="32"/>
        <v>9.0870848378499518E-4</v>
      </c>
    </row>
    <row r="319" spans="1:8">
      <c r="A319" s="113" t="s">
        <v>80</v>
      </c>
      <c r="B319" s="461">
        <f>D217</f>
        <v>38.040473660815756</v>
      </c>
      <c r="C319" s="119">
        <f t="shared" si="27"/>
        <v>11488.015414492829</v>
      </c>
      <c r="D319" s="441">
        <f t="shared" si="28"/>
        <v>28057.98846271537</v>
      </c>
      <c r="E319" s="444">
        <f t="shared" si="29"/>
        <v>3311.3181248717151</v>
      </c>
      <c r="F319" s="561">
        <f t="shared" si="30"/>
        <v>3.3113181248717151E-3</v>
      </c>
      <c r="G319" s="444">
        <f t="shared" si="31"/>
        <v>1355.7805012061194</v>
      </c>
      <c r="H319" s="462">
        <f t="shared" si="32"/>
        <v>1.3557805012061194E-3</v>
      </c>
    </row>
    <row r="320" spans="1:8">
      <c r="A320" s="113" t="s">
        <v>81</v>
      </c>
      <c r="B320" s="461">
        <f>D218</f>
        <v>17.442238904721997</v>
      </c>
      <c r="C320" s="119">
        <f t="shared" si="27"/>
        <v>11488.015414492829</v>
      </c>
      <c r="D320" s="441">
        <f t="shared" si="28"/>
        <v>28057.98846271537</v>
      </c>
      <c r="E320" s="444">
        <f t="shared" si="29"/>
        <v>1518.298703074297</v>
      </c>
      <c r="F320" s="561">
        <f t="shared" si="30"/>
        <v>1.5182987030742971E-3</v>
      </c>
      <c r="G320" s="444">
        <f t="shared" si="31"/>
        <v>621.64965702726602</v>
      </c>
      <c r="H320" s="462">
        <f t="shared" si="32"/>
        <v>6.2164965702726598E-4</v>
      </c>
    </row>
    <row r="321" spans="1:8">
      <c r="A321" s="113" t="s">
        <v>82</v>
      </c>
      <c r="B321" s="461">
        <f>D219</f>
        <v>0.86268835421031886</v>
      </c>
      <c r="C321" s="119">
        <f t="shared" si="27"/>
        <v>11488.015414492829</v>
      </c>
      <c r="D321" s="441">
        <f t="shared" si="28"/>
        <v>28057.98846271537</v>
      </c>
      <c r="E321" s="444">
        <f t="shared" si="29"/>
        <v>75.094637592667667</v>
      </c>
      <c r="F321" s="561">
        <f t="shared" si="30"/>
        <v>7.5094637592667665E-5</v>
      </c>
      <c r="G321" s="444">
        <f t="shared" si="31"/>
        <v>30.746621603209199</v>
      </c>
      <c r="H321" s="462">
        <f t="shared" si="32"/>
        <v>3.07466216032092E-5</v>
      </c>
    </row>
    <row r="322" spans="1:8">
      <c r="A322" s="113" t="s">
        <v>630</v>
      </c>
      <c r="B322" s="461">
        <f>D220</f>
        <v>143.05778252443201</v>
      </c>
      <c r="C322" s="119">
        <f t="shared" si="27"/>
        <v>11488.015414492829</v>
      </c>
      <c r="D322" s="441">
        <f t="shared" si="28"/>
        <v>28057.98846271537</v>
      </c>
      <c r="E322" s="444">
        <f t="shared" si="29"/>
        <v>12452.784694557071</v>
      </c>
      <c r="F322" s="561">
        <f t="shared" si="30"/>
        <v>1.2452784694557071E-2</v>
      </c>
      <c r="G322" s="444">
        <f t="shared" si="31"/>
        <v>5098.6471362525926</v>
      </c>
      <c r="H322" s="462">
        <f t="shared" si="32"/>
        <v>5.098647136252593E-3</v>
      </c>
    </row>
    <row r="323" spans="1:8">
      <c r="A323" s="113" t="s">
        <v>96</v>
      </c>
      <c r="B323" s="461">
        <f>D221</f>
        <v>52.193877551020421</v>
      </c>
      <c r="C323" s="119">
        <f t="shared" si="27"/>
        <v>11488.015414492829</v>
      </c>
      <c r="D323" s="441">
        <f t="shared" si="28"/>
        <v>28057.98846271537</v>
      </c>
      <c r="E323" s="444">
        <f t="shared" si="29"/>
        <v>4543.332827110823</v>
      </c>
      <c r="F323" s="561">
        <f t="shared" si="30"/>
        <v>4.5433328271108232E-3</v>
      </c>
      <c r="G323" s="444">
        <f t="shared" si="31"/>
        <v>1860.2145203808118</v>
      </c>
      <c r="H323" s="462">
        <f t="shared" si="32"/>
        <v>1.8602145203808118E-3</v>
      </c>
    </row>
    <row r="324" spans="1:8">
      <c r="A324" s="113" t="s">
        <v>97</v>
      </c>
      <c r="B324" s="461">
        <f>D222</f>
        <v>195.25166007545243</v>
      </c>
      <c r="C324" s="119">
        <f t="shared" si="27"/>
        <v>11488.015414492829</v>
      </c>
      <c r="D324" s="441">
        <f t="shared" si="28"/>
        <v>28057.98846271537</v>
      </c>
      <c r="E324" s="444">
        <f t="shared" si="29"/>
        <v>16996.117521667893</v>
      </c>
      <c r="F324" s="561">
        <f t="shared" si="30"/>
        <v>1.6996117521667894E-2</v>
      </c>
      <c r="G324" s="444">
        <f t="shared" si="31"/>
        <v>6958.8616566334049</v>
      </c>
      <c r="H324" s="462">
        <f t="shared" si="32"/>
        <v>6.958861656633405E-3</v>
      </c>
    </row>
    <row r="325" spans="1:8">
      <c r="A325" s="113" t="s">
        <v>84</v>
      </c>
      <c r="B325" s="461">
        <f>D223</f>
        <v>1.1535996546772569</v>
      </c>
      <c r="C325" s="119">
        <f t="shared" si="27"/>
        <v>11488.015414492829</v>
      </c>
      <c r="D325" s="441">
        <f t="shared" si="28"/>
        <v>28057.98846271537</v>
      </c>
      <c r="E325" s="444">
        <f t="shared" si="29"/>
        <v>100.41766249912243</v>
      </c>
      <c r="F325" s="561">
        <f t="shared" si="30"/>
        <v>1.0041766249912243E-4</v>
      </c>
      <c r="G325" s="444">
        <f t="shared" si="31"/>
        <v>41.114838157774869</v>
      </c>
      <c r="H325" s="462">
        <f t="shared" si="32"/>
        <v>4.1114838157774867E-5</v>
      </c>
    </row>
    <row r="326" spans="1:8">
      <c r="A326" s="113" t="s">
        <v>631</v>
      </c>
      <c r="B326" s="461">
        <f>D224</f>
        <v>226.8</v>
      </c>
      <c r="C326" s="119">
        <f t="shared" si="27"/>
        <v>11488.015414492829</v>
      </c>
      <c r="D326" s="441">
        <f t="shared" si="28"/>
        <v>28057.98846271537</v>
      </c>
      <c r="E326" s="444">
        <f t="shared" si="29"/>
        <v>19742.313342814461</v>
      </c>
      <c r="F326" s="561">
        <f t="shared" si="30"/>
        <v>1.9742313342814462E-2</v>
      </c>
      <c r="G326" s="444">
        <f t="shared" si="31"/>
        <v>8083.2594361274823</v>
      </c>
      <c r="H326" s="462">
        <f t="shared" si="32"/>
        <v>8.083259436127482E-3</v>
      </c>
    </row>
    <row r="327" spans="1:8">
      <c r="A327" s="113" t="s">
        <v>250</v>
      </c>
      <c r="B327" s="461">
        <f>D225</f>
        <v>1175.5102040816328</v>
      </c>
      <c r="C327" s="119">
        <f t="shared" si="27"/>
        <v>11488.015414492829</v>
      </c>
      <c r="D327" s="441">
        <f t="shared" si="28"/>
        <v>28057.98846271537</v>
      </c>
      <c r="E327" s="444">
        <f t="shared" si="29"/>
        <v>102324.9152850766</v>
      </c>
      <c r="F327" s="561">
        <f t="shared" si="30"/>
        <v>0.1023249152850766</v>
      </c>
      <c r="G327" s="444">
        <f t="shared" si="31"/>
        <v>41895.740517667538</v>
      </c>
      <c r="H327" s="462">
        <f t="shared" si="32"/>
        <v>4.1895740517667542E-2</v>
      </c>
    </row>
    <row r="328" spans="1:8">
      <c r="A328" s="113" t="s">
        <v>251</v>
      </c>
      <c r="B328" s="461">
        <f>D226</f>
        <v>1402.3102040816327</v>
      </c>
      <c r="C328" s="119">
        <f t="shared" si="27"/>
        <v>11488.015414492829</v>
      </c>
      <c r="D328" s="441">
        <f t="shared" si="28"/>
        <v>28057.98846271537</v>
      </c>
      <c r="E328" s="444">
        <f t="shared" si="29"/>
        <v>122067.22862789105</v>
      </c>
      <c r="F328" s="561">
        <f t="shared" si="30"/>
        <v>0.12206722862789104</v>
      </c>
      <c r="G328" s="444">
        <f t="shared" si="31"/>
        <v>49978.999953795028</v>
      </c>
      <c r="H328" s="462">
        <f t="shared" si="32"/>
        <v>4.9978999953795025E-2</v>
      </c>
    </row>
    <row r="329" spans="1:8">
      <c r="A329" s="394" t="s">
        <v>238</v>
      </c>
      <c r="B329" s="461">
        <f>D227</f>
        <v>4206.9306122448979</v>
      </c>
      <c r="C329" s="119">
        <f t="shared" si="27"/>
        <v>11488.015414492829</v>
      </c>
      <c r="D329" s="441">
        <f t="shared" si="28"/>
        <v>28057.98846271537</v>
      </c>
      <c r="E329" s="444">
        <f t="shared" si="29"/>
        <v>366201.68588367314</v>
      </c>
      <c r="F329" s="561">
        <f t="shared" si="30"/>
        <v>0.36620168588367313</v>
      </c>
      <c r="G329" s="444">
        <f t="shared" si="31"/>
        <v>149936.99986138506</v>
      </c>
      <c r="H329" s="462">
        <f t="shared" si="32"/>
        <v>0.14993699986138506</v>
      </c>
    </row>
    <row r="330" spans="1:8">
      <c r="A330" s="394" t="s">
        <v>239</v>
      </c>
      <c r="B330" s="461">
        <f>D228</f>
        <v>5959.8183673469393</v>
      </c>
      <c r="C330" s="119">
        <f t="shared" si="27"/>
        <v>11488.015414492829</v>
      </c>
      <c r="D330" s="441">
        <f t="shared" si="28"/>
        <v>28057.98846271537</v>
      </c>
      <c r="E330" s="444">
        <f t="shared" si="29"/>
        <v>518785.72166853701</v>
      </c>
      <c r="F330" s="561">
        <f t="shared" si="30"/>
        <v>0.51878572166853698</v>
      </c>
      <c r="G330" s="444">
        <f t="shared" si="31"/>
        <v>212410.74980362883</v>
      </c>
      <c r="H330" s="462">
        <f t="shared" si="32"/>
        <v>0.21241074980362884</v>
      </c>
    </row>
    <row r="331" spans="1:8">
      <c r="A331" s="394" t="s">
        <v>248</v>
      </c>
      <c r="B331" s="461">
        <f>D229</f>
        <v>18.105027344127205</v>
      </c>
      <c r="C331" s="119">
        <f t="shared" si="27"/>
        <v>11488.015414492829</v>
      </c>
      <c r="D331" s="441">
        <f t="shared" si="28"/>
        <v>28057.98846271537</v>
      </c>
      <c r="E331" s="444">
        <f>B331/C331*1000000</f>
        <v>1575.9926054143882</v>
      </c>
      <c r="F331" s="561">
        <f>E331/1000000</f>
        <v>1.5759926054143881E-3</v>
      </c>
      <c r="G331" s="444">
        <f>B331/D331*1000000</f>
        <v>645.27175097337874</v>
      </c>
      <c r="H331" s="462">
        <f>G331/1000000</f>
        <v>6.4527175097337875E-4</v>
      </c>
    </row>
    <row r="332" spans="1:8" ht="14.65" thickBot="1">
      <c r="A332" s="114" t="s">
        <v>86</v>
      </c>
      <c r="B332" s="463">
        <f>D230</f>
        <v>27.617780518964238</v>
      </c>
      <c r="C332" s="135">
        <f t="shared" si="27"/>
        <v>11488.015414492829</v>
      </c>
      <c r="D332" s="442">
        <f t="shared" si="28"/>
        <v>28057.98846271537</v>
      </c>
      <c r="E332" s="445">
        <f t="shared" si="29"/>
        <v>2404.0514851784346</v>
      </c>
      <c r="F332" s="562">
        <f t="shared" si="30"/>
        <v>2.4040514851784347E-3</v>
      </c>
      <c r="G332" s="445">
        <f t="shared" si="31"/>
        <v>984.31078035632902</v>
      </c>
      <c r="H332" s="464">
        <f t="shared" si="32"/>
        <v>9.8431078035632899E-4</v>
      </c>
    </row>
    <row r="333" spans="1:8">
      <c r="D333" s="96"/>
    </row>
    <row r="334" spans="1:8">
      <c r="A334" s="1" t="s">
        <v>138</v>
      </c>
      <c r="B334" s="1"/>
      <c r="C334" s="1"/>
      <c r="D334" s="1"/>
    </row>
    <row r="335" spans="1:8" ht="14.65" thickBot="1">
      <c r="A335" s="79" t="s">
        <v>358</v>
      </c>
      <c r="B335" s="79"/>
      <c r="C335" s="79"/>
    </row>
    <row r="336" spans="1:8">
      <c r="A336" s="2"/>
      <c r="B336" s="323" t="s">
        <v>614</v>
      </c>
      <c r="C336" s="324" t="s">
        <v>615</v>
      </c>
      <c r="D336" s="369" t="s">
        <v>616</v>
      </c>
    </row>
    <row r="337" spans="1:6" ht="14.65" thickBot="1">
      <c r="A337" s="5"/>
      <c r="B337" s="215" t="s">
        <v>35</v>
      </c>
      <c r="C337" s="483" t="s">
        <v>35</v>
      </c>
      <c r="D337" s="319" t="s">
        <v>35</v>
      </c>
    </row>
    <row r="338" spans="1:6" ht="14.65" thickBot="1">
      <c r="A338" s="9" t="s">
        <v>347</v>
      </c>
      <c r="B338" s="250">
        <f>B9</f>
        <v>17500</v>
      </c>
      <c r="C338" s="729">
        <f>C9</f>
        <v>7000</v>
      </c>
      <c r="D338" s="627">
        <f>B338+C338</f>
        <v>24500</v>
      </c>
    </row>
    <row r="340" spans="1:6" ht="14.65" thickBot="1">
      <c r="A340" s="183" t="s">
        <v>641</v>
      </c>
      <c r="B340" s="79"/>
      <c r="C340" s="79"/>
    </row>
    <row r="341" spans="1:6" ht="14.65" thickBot="1">
      <c r="A341" s="519"/>
      <c r="B341" s="1055" t="s">
        <v>263</v>
      </c>
      <c r="C341" s="1056"/>
      <c r="D341" s="1021" t="s">
        <v>262</v>
      </c>
      <c r="E341" s="1021"/>
      <c r="F341" s="1020"/>
    </row>
    <row r="342" spans="1:6">
      <c r="A342" s="115"/>
      <c r="B342" s="488" t="s">
        <v>614</v>
      </c>
      <c r="C342" s="489" t="s">
        <v>615</v>
      </c>
      <c r="D342" s="377" t="s">
        <v>614</v>
      </c>
      <c r="E342" s="490" t="s">
        <v>617</v>
      </c>
      <c r="F342" s="338" t="s">
        <v>616</v>
      </c>
    </row>
    <row r="343" spans="1:6" ht="14.65" thickBot="1">
      <c r="A343" s="133" t="s">
        <v>18</v>
      </c>
      <c r="B343" s="6" t="s">
        <v>70</v>
      </c>
      <c r="C343" s="24" t="s">
        <v>71</v>
      </c>
      <c r="D343" s="6" t="s">
        <v>35</v>
      </c>
      <c r="E343" s="422" t="s">
        <v>35</v>
      </c>
      <c r="F343" s="73" t="s">
        <v>35</v>
      </c>
    </row>
    <row r="344" spans="1:6">
      <c r="A344" s="231" t="s">
        <v>72</v>
      </c>
      <c r="B344" s="262">
        <v>47700</v>
      </c>
      <c r="C344" s="407">
        <v>101832</v>
      </c>
      <c r="D344" s="227">
        <f>$B$338*B344/1000000</f>
        <v>834.75</v>
      </c>
      <c r="E344" s="726">
        <f>$C$338*C344/1000000</f>
        <v>712.82399999999996</v>
      </c>
      <c r="F344" s="472">
        <f>D344+E344</f>
        <v>1547.5740000000001</v>
      </c>
    </row>
    <row r="345" spans="1:6">
      <c r="A345" s="232" t="s">
        <v>73</v>
      </c>
      <c r="B345" s="356">
        <v>31</v>
      </c>
      <c r="C345" s="408">
        <v>10</v>
      </c>
      <c r="D345" s="228">
        <f t="shared" ref="D345:D358" si="33">$B$338*B345/1000000</f>
        <v>0.54249999999999998</v>
      </c>
      <c r="E345" s="136">
        <f t="shared" ref="E345:E358" si="34">$C$338*C345/1000000</f>
        <v>7.0000000000000007E-2</v>
      </c>
      <c r="F345" s="473">
        <f t="shared" ref="F345:F358" si="35">D345+E345</f>
        <v>0.61250000000000004</v>
      </c>
    </row>
    <row r="346" spans="1:6">
      <c r="A346" s="232" t="s">
        <v>74</v>
      </c>
      <c r="B346" s="356">
        <v>85425</v>
      </c>
      <c r="C346" s="408">
        <v>111453.2</v>
      </c>
      <c r="D346" s="228">
        <f t="shared" si="33"/>
        <v>1494.9375</v>
      </c>
      <c r="E346" s="136">
        <f t="shared" si="34"/>
        <v>780.17240000000004</v>
      </c>
      <c r="F346" s="473">
        <f t="shared" si="35"/>
        <v>2275.1098999999999</v>
      </c>
    </row>
    <row r="347" spans="1:6">
      <c r="A347" s="232" t="s">
        <v>75</v>
      </c>
      <c r="B347" s="356">
        <v>2.2000000000000002</v>
      </c>
      <c r="C347" s="408">
        <v>2</v>
      </c>
      <c r="D347" s="228">
        <f t="shared" si="33"/>
        <v>3.85E-2</v>
      </c>
      <c r="E347" s="136">
        <f t="shared" si="34"/>
        <v>1.4E-2</v>
      </c>
      <c r="F347" s="473">
        <f t="shared" si="35"/>
        <v>5.2499999999999998E-2</v>
      </c>
    </row>
    <row r="348" spans="1:6">
      <c r="A348" s="232" t="s">
        <v>76</v>
      </c>
      <c r="B348" s="356">
        <v>91</v>
      </c>
      <c r="C348" s="408">
        <v>53.9</v>
      </c>
      <c r="D348" s="228">
        <f t="shared" si="33"/>
        <v>1.5925</v>
      </c>
      <c r="E348" s="136">
        <f t="shared" si="34"/>
        <v>0.37730000000000002</v>
      </c>
      <c r="F348" s="473">
        <f t="shared" si="35"/>
        <v>1.9698</v>
      </c>
    </row>
    <row r="349" spans="1:6">
      <c r="A349" s="232" t="s">
        <v>77</v>
      </c>
      <c r="B349" s="356">
        <v>663</v>
      </c>
      <c r="C349" s="408">
        <v>1099</v>
      </c>
      <c r="D349" s="228">
        <f t="shared" si="33"/>
        <v>11.602499999999999</v>
      </c>
      <c r="E349" s="136">
        <f t="shared" si="34"/>
        <v>7.6929999999999996</v>
      </c>
      <c r="F349" s="473">
        <f t="shared" si="35"/>
        <v>19.295499999999997</v>
      </c>
    </row>
    <row r="350" spans="1:6">
      <c r="A350" s="232" t="s">
        <v>78</v>
      </c>
      <c r="B350" s="356">
        <v>109000</v>
      </c>
      <c r="C350" s="408">
        <v>24315</v>
      </c>
      <c r="D350" s="228">
        <f t="shared" si="33"/>
        <v>1907.5</v>
      </c>
      <c r="E350" s="136">
        <f t="shared" si="34"/>
        <v>170.20500000000001</v>
      </c>
      <c r="F350" s="473">
        <f t="shared" si="35"/>
        <v>2077.7049999999999</v>
      </c>
    </row>
    <row r="351" spans="1:6">
      <c r="A351" s="232" t="s">
        <v>79</v>
      </c>
      <c r="B351" s="356">
        <v>9375</v>
      </c>
      <c r="C351" s="408">
        <v>9848.1</v>
      </c>
      <c r="D351" s="228">
        <f t="shared" si="33"/>
        <v>164.0625</v>
      </c>
      <c r="E351" s="136">
        <f t="shared" si="34"/>
        <v>68.936700000000002</v>
      </c>
      <c r="F351" s="473">
        <f t="shared" si="35"/>
        <v>232.9992</v>
      </c>
    </row>
    <row r="352" spans="1:6">
      <c r="A352" s="232" t="s">
        <v>80</v>
      </c>
      <c r="B352" s="356">
        <v>12191.833333333334</v>
      </c>
      <c r="C352" s="408">
        <v>12706.1</v>
      </c>
      <c r="D352" s="228">
        <f t="shared" si="33"/>
        <v>213.35708333333335</v>
      </c>
      <c r="E352" s="136">
        <f t="shared" si="34"/>
        <v>88.942700000000002</v>
      </c>
      <c r="F352" s="473">
        <f t="shared" si="35"/>
        <v>302.29978333333338</v>
      </c>
    </row>
    <row r="353" spans="1:7">
      <c r="A353" s="232" t="s">
        <v>81</v>
      </c>
      <c r="B353" s="356">
        <v>2530</v>
      </c>
      <c r="C353" s="408">
        <v>3346.1</v>
      </c>
      <c r="D353" s="228">
        <f t="shared" si="33"/>
        <v>44.274999999999999</v>
      </c>
      <c r="E353" s="136">
        <f t="shared" si="34"/>
        <v>23.422699999999999</v>
      </c>
      <c r="F353" s="473">
        <f t="shared" si="35"/>
        <v>67.697699999999998</v>
      </c>
    </row>
    <row r="354" spans="1:7">
      <c r="A354" s="232" t="s">
        <v>82</v>
      </c>
      <c r="B354" s="356">
        <v>64.5</v>
      </c>
      <c r="C354" s="408">
        <v>47.6</v>
      </c>
      <c r="D354" s="228">
        <f t="shared" si="33"/>
        <v>1.1287499999999999</v>
      </c>
      <c r="E354" s="136">
        <f t="shared" si="34"/>
        <v>0.3332</v>
      </c>
      <c r="F354" s="473">
        <f t="shared" si="35"/>
        <v>1.4619499999999999</v>
      </c>
    </row>
    <row r="355" spans="1:7">
      <c r="A355" s="232" t="s">
        <v>83</v>
      </c>
      <c r="B355" s="356">
        <v>70700</v>
      </c>
      <c r="C355" s="408">
        <v>84567</v>
      </c>
      <c r="D355" s="228">
        <f t="shared" si="33"/>
        <v>1237.25</v>
      </c>
      <c r="E355" s="136">
        <f t="shared" si="34"/>
        <v>591.96900000000005</v>
      </c>
      <c r="F355" s="473">
        <f t="shared" si="35"/>
        <v>1829.2190000000001</v>
      </c>
    </row>
    <row r="356" spans="1:7">
      <c r="A356" s="232" t="s">
        <v>84</v>
      </c>
      <c r="B356" s="356">
        <v>117</v>
      </c>
      <c r="C356" s="408">
        <v>80.2</v>
      </c>
      <c r="D356" s="228">
        <f t="shared" si="33"/>
        <v>2.0474999999999999</v>
      </c>
      <c r="E356" s="136">
        <f t="shared" si="34"/>
        <v>0.56140000000000001</v>
      </c>
      <c r="F356" s="473">
        <f t="shared" si="35"/>
        <v>2.6088999999999998</v>
      </c>
    </row>
    <row r="357" spans="1:7">
      <c r="A357" s="232" t="s">
        <v>85</v>
      </c>
      <c r="B357" s="356">
        <v>5857.8888888888887</v>
      </c>
      <c r="C357" s="408">
        <v>3113.7</v>
      </c>
      <c r="D357" s="228">
        <f t="shared" si="33"/>
        <v>102.51305555555555</v>
      </c>
      <c r="E357" s="136">
        <f t="shared" si="34"/>
        <v>21.7959</v>
      </c>
      <c r="F357" s="473">
        <f t="shared" si="35"/>
        <v>124.30895555555556</v>
      </c>
    </row>
    <row r="358" spans="1:7" ht="14.65" thickBot="1">
      <c r="A358" s="233" t="s">
        <v>86</v>
      </c>
      <c r="B358" s="358">
        <v>2260</v>
      </c>
      <c r="C358" s="409">
        <v>1989</v>
      </c>
      <c r="D358" s="727">
        <f t="shared" si="33"/>
        <v>39.549999999999997</v>
      </c>
      <c r="E358" s="728">
        <f t="shared" si="34"/>
        <v>13.923</v>
      </c>
      <c r="F358" s="474">
        <f t="shared" si="35"/>
        <v>53.472999999999999</v>
      </c>
    </row>
    <row r="360" spans="1:7" ht="14.65" thickBot="1">
      <c r="A360" s="79" t="s">
        <v>645</v>
      </c>
    </row>
    <row r="361" spans="1:7" ht="14.65" thickBot="1">
      <c r="A361" s="419"/>
      <c r="B361" s="1019" t="s">
        <v>262</v>
      </c>
      <c r="C361" s="1021"/>
      <c r="D361" s="1021"/>
      <c r="E361" s="1021"/>
      <c r="F361" s="1019" t="s">
        <v>263</v>
      </c>
      <c r="G361" s="1020"/>
    </row>
    <row r="362" spans="1:7">
      <c r="A362" s="92" t="s">
        <v>93</v>
      </c>
      <c r="B362" s="266" t="s">
        <v>136</v>
      </c>
      <c r="C362" s="274" t="s">
        <v>618</v>
      </c>
      <c r="D362" s="274" t="s">
        <v>142</v>
      </c>
      <c r="E362" s="324" t="s">
        <v>619</v>
      </c>
      <c r="F362" s="1022" t="s">
        <v>459</v>
      </c>
      <c r="G362" s="1023"/>
    </row>
    <row r="363" spans="1:7" ht="14.65" thickBot="1">
      <c r="A363" s="93" t="s">
        <v>297</v>
      </c>
      <c r="B363" s="153" t="s">
        <v>35</v>
      </c>
      <c r="C363" s="154" t="s">
        <v>35</v>
      </c>
      <c r="D363" s="154" t="s">
        <v>35</v>
      </c>
      <c r="E363" s="423" t="s">
        <v>35</v>
      </c>
      <c r="F363" s="403" t="s">
        <v>257</v>
      </c>
      <c r="G363" s="155" t="s">
        <v>237</v>
      </c>
    </row>
    <row r="364" spans="1:7">
      <c r="A364" s="148" t="s">
        <v>72</v>
      </c>
      <c r="B364" s="540">
        <f>B284</f>
        <v>297.23661411933938</v>
      </c>
      <c r="C364" s="428">
        <f>F344</f>
        <v>1547.5740000000001</v>
      </c>
      <c r="D364" s="428">
        <f>B364+C364</f>
        <v>1844.8106141193393</v>
      </c>
      <c r="E364" s="382">
        <f>$C$267+$D$338</f>
        <v>35256.115589658482</v>
      </c>
      <c r="F364" s="557">
        <f>D364/E364*1000000</f>
        <v>52325.974749767076</v>
      </c>
      <c r="G364" s="460">
        <f>F364/1000000</f>
        <v>5.2325974749767079E-2</v>
      </c>
    </row>
    <row r="365" spans="1:7">
      <c r="A365" s="149" t="s">
        <v>73</v>
      </c>
      <c r="B365" s="541">
        <f>B285</f>
        <v>2.7508594065107583E-2</v>
      </c>
      <c r="C365" s="235">
        <f>F345</f>
        <v>0.61250000000000004</v>
      </c>
      <c r="D365" s="235">
        <f t="shared" ref="D365:D380" si="36">B365+C365</f>
        <v>0.64000859406510768</v>
      </c>
      <c r="E365" s="82">
        <f>$C$267+$D$338</f>
        <v>35256.115589658482</v>
      </c>
      <c r="F365" s="558">
        <f t="shared" ref="F365:F380" si="37">D365/E365*1000000</f>
        <v>18.153122752208088</v>
      </c>
      <c r="G365" s="462">
        <f t="shared" ref="G365:G380" si="38">F365/1000000</f>
        <v>1.8153122752208087E-5</v>
      </c>
    </row>
    <row r="366" spans="1:7">
      <c r="A366" s="232" t="s">
        <v>74</v>
      </c>
      <c r="B366" s="541">
        <f t="shared" ref="B366:B379" si="39">B286</f>
        <v>301.91686339228249</v>
      </c>
      <c r="C366" s="235">
        <f t="shared" ref="C366:C374" si="40">F346</f>
        <v>2275.1098999999999</v>
      </c>
      <c r="D366" s="235">
        <f t="shared" si="36"/>
        <v>2577.0267633922822</v>
      </c>
      <c r="E366" s="82">
        <f t="shared" ref="E366:E379" si="41">$C$267+$D$338</f>
        <v>35256.115589658482</v>
      </c>
      <c r="F366" s="558">
        <f t="shared" si="37"/>
        <v>73094.46092660843</v>
      </c>
      <c r="G366" s="462">
        <f t="shared" si="38"/>
        <v>7.3094460926608429E-2</v>
      </c>
    </row>
    <row r="367" spans="1:7">
      <c r="A367" s="232" t="s">
        <v>75</v>
      </c>
      <c r="B367" s="541">
        <f t="shared" si="39"/>
        <v>1.0380305269228264E-2</v>
      </c>
      <c r="C367" s="235">
        <f t="shared" si="40"/>
        <v>5.2499999999999998E-2</v>
      </c>
      <c r="D367" s="235">
        <f t="shared" si="36"/>
        <v>6.2880305269228262E-2</v>
      </c>
      <c r="E367" s="82">
        <f t="shared" si="41"/>
        <v>35256.115589658482</v>
      </c>
      <c r="F367" s="558">
        <f t="shared" si="37"/>
        <v>1.7835290195064104</v>
      </c>
      <c r="G367" s="462">
        <f t="shared" si="38"/>
        <v>1.7835290195064104E-6</v>
      </c>
    </row>
    <row r="368" spans="1:7">
      <c r="A368" s="232" t="s">
        <v>76</v>
      </c>
      <c r="B368" s="541">
        <f t="shared" si="39"/>
        <v>0.65861882563119145</v>
      </c>
      <c r="C368" s="235">
        <f t="shared" si="40"/>
        <v>1.9698</v>
      </c>
      <c r="D368" s="235">
        <f t="shared" si="36"/>
        <v>2.6284188256311913</v>
      </c>
      <c r="E368" s="82">
        <f t="shared" si="41"/>
        <v>35256.115589658482</v>
      </c>
      <c r="F368" s="558">
        <f t="shared" si="37"/>
        <v>74.552138874940994</v>
      </c>
      <c r="G368" s="462">
        <f t="shared" si="38"/>
        <v>7.4552138874940993E-5</v>
      </c>
    </row>
    <row r="369" spans="1:7">
      <c r="A369" s="150" t="s">
        <v>77</v>
      </c>
      <c r="B369" s="541">
        <f t="shared" si="39"/>
        <v>1.8390803487070784E-2</v>
      </c>
      <c r="C369" s="235">
        <f t="shared" si="40"/>
        <v>19.295499999999997</v>
      </c>
      <c r="D369" s="235">
        <f t="shared" si="36"/>
        <v>19.31389080348707</v>
      </c>
      <c r="E369" s="82">
        <f t="shared" si="41"/>
        <v>35256.115589658482</v>
      </c>
      <c r="F369" s="558">
        <f t="shared" si="37"/>
        <v>547.8167540712376</v>
      </c>
      <c r="G369" s="462">
        <f t="shared" si="38"/>
        <v>5.4781675407123765E-4</v>
      </c>
    </row>
    <row r="370" spans="1:7">
      <c r="A370" s="150" t="s">
        <v>78</v>
      </c>
      <c r="B370" s="541">
        <f t="shared" si="39"/>
        <v>520.36897797378174</v>
      </c>
      <c r="C370" s="235">
        <f t="shared" si="40"/>
        <v>2077.7049999999999</v>
      </c>
      <c r="D370" s="235">
        <f t="shared" si="36"/>
        <v>2598.0739779737814</v>
      </c>
      <c r="E370" s="82">
        <f t="shared" si="41"/>
        <v>35256.115589658482</v>
      </c>
      <c r="F370" s="558">
        <f t="shared" si="37"/>
        <v>73691.441456921661</v>
      </c>
      <c r="G370" s="462">
        <f t="shared" si="38"/>
        <v>7.3691441456921664E-2</v>
      </c>
    </row>
    <row r="371" spans="1:7">
      <c r="A371" s="150" t="s">
        <v>79</v>
      </c>
      <c r="B371" s="541">
        <f t="shared" si="39"/>
        <v>73.263467845989027</v>
      </c>
      <c r="C371" s="235">
        <f t="shared" si="40"/>
        <v>232.9992</v>
      </c>
      <c r="D371" s="235">
        <f t="shared" si="36"/>
        <v>306.26266784598903</v>
      </c>
      <c r="E371" s="82">
        <f t="shared" si="41"/>
        <v>35256.115589658482</v>
      </c>
      <c r="F371" s="558">
        <f t="shared" si="37"/>
        <v>8686.7955452194983</v>
      </c>
      <c r="G371" s="462">
        <f t="shared" si="38"/>
        <v>8.6867955452194986E-3</v>
      </c>
    </row>
    <row r="372" spans="1:7">
      <c r="A372" s="150" t="s">
        <v>80</v>
      </c>
      <c r="B372" s="541">
        <f t="shared" si="39"/>
        <v>116.75952633918425</v>
      </c>
      <c r="C372" s="235">
        <f t="shared" si="40"/>
        <v>302.29978333333338</v>
      </c>
      <c r="D372" s="235">
        <f t="shared" si="36"/>
        <v>419.05930967251766</v>
      </c>
      <c r="E372" s="82">
        <f t="shared" si="41"/>
        <v>35256.115589658482</v>
      </c>
      <c r="F372" s="558">
        <f t="shared" si="37"/>
        <v>11886.145216617069</v>
      </c>
      <c r="G372" s="462">
        <f t="shared" si="38"/>
        <v>1.1886145216617069E-2</v>
      </c>
    </row>
    <row r="373" spans="1:7">
      <c r="A373" s="150" t="s">
        <v>81</v>
      </c>
      <c r="B373" s="541">
        <f t="shared" si="39"/>
        <v>105.78373790246087</v>
      </c>
      <c r="C373" s="235">
        <f t="shared" si="40"/>
        <v>67.697699999999998</v>
      </c>
      <c r="D373" s="235">
        <f t="shared" si="36"/>
        <v>173.48143790246087</v>
      </c>
      <c r="E373" s="82">
        <f t="shared" si="41"/>
        <v>35256.115589658482</v>
      </c>
      <c r="F373" s="558">
        <f t="shared" si="37"/>
        <v>4920.6055460445396</v>
      </c>
      <c r="G373" s="462">
        <f t="shared" si="38"/>
        <v>4.9206055460445392E-3</v>
      </c>
    </row>
    <row r="374" spans="1:7">
      <c r="A374" s="150" t="s">
        <v>82</v>
      </c>
      <c r="B374" s="541">
        <f t="shared" si="39"/>
        <v>0.63731164578968114</v>
      </c>
      <c r="C374" s="235">
        <f t="shared" si="40"/>
        <v>1.4619499999999999</v>
      </c>
      <c r="D374" s="235">
        <f t="shared" si="36"/>
        <v>2.0992616457896811</v>
      </c>
      <c r="E374" s="82">
        <f t="shared" si="41"/>
        <v>35256.115589658482</v>
      </c>
      <c r="F374" s="558">
        <f t="shared" si="37"/>
        <v>59.543191604620453</v>
      </c>
      <c r="G374" s="462">
        <f t="shared" si="38"/>
        <v>5.9543191604620451E-5</v>
      </c>
    </row>
    <row r="375" spans="1:7">
      <c r="A375" s="150" t="s">
        <v>630</v>
      </c>
      <c r="B375" s="541">
        <f t="shared" si="39"/>
        <v>836.35821747556804</v>
      </c>
      <c r="C375" s="235">
        <f>$F$355</f>
        <v>1829.2190000000001</v>
      </c>
      <c r="D375" s="235">
        <f t="shared" si="36"/>
        <v>2665.577217475568</v>
      </c>
      <c r="E375" s="82">
        <f t="shared" si="41"/>
        <v>35256.115589658482</v>
      </c>
      <c r="F375" s="558">
        <f t="shared" si="37"/>
        <v>75606.094797846919</v>
      </c>
      <c r="G375" s="462">
        <f t="shared" si="38"/>
        <v>7.5606094797846926E-2</v>
      </c>
    </row>
    <row r="376" spans="1:7">
      <c r="A376" s="150" t="s">
        <v>96</v>
      </c>
      <c r="B376" s="541">
        <f t="shared" si="39"/>
        <v>2035.5612244897964</v>
      </c>
      <c r="C376" s="235">
        <v>0</v>
      </c>
      <c r="D376" s="235">
        <f t="shared" si="36"/>
        <v>2035.5612244897964</v>
      </c>
      <c r="E376" s="82">
        <f t="shared" si="41"/>
        <v>35256.115589658482</v>
      </c>
      <c r="F376" s="558">
        <f t="shared" si="37"/>
        <v>57736.400917827668</v>
      </c>
      <c r="G376" s="462">
        <f t="shared" si="38"/>
        <v>5.7736400917827668E-2</v>
      </c>
    </row>
    <row r="377" spans="1:7">
      <c r="A377" s="582" t="s">
        <v>97</v>
      </c>
      <c r="B377" s="541">
        <f t="shared" si="39"/>
        <v>2871.9194419653645</v>
      </c>
      <c r="C377" s="235">
        <f>C375+C376</f>
        <v>1829.2190000000001</v>
      </c>
      <c r="D377" s="235">
        <f t="shared" si="36"/>
        <v>4701.1384419653641</v>
      </c>
      <c r="E377" s="82">
        <f t="shared" si="41"/>
        <v>35256.115589658482</v>
      </c>
      <c r="F377" s="597">
        <f t="shared" si="37"/>
        <v>133342.49571567459</v>
      </c>
      <c r="G377" s="583">
        <f t="shared" si="38"/>
        <v>0.13334249571567461</v>
      </c>
    </row>
    <row r="378" spans="1:7">
      <c r="A378" s="186" t="s">
        <v>84</v>
      </c>
      <c r="B378" s="541">
        <f t="shared" si="39"/>
        <v>0.3344003453227431</v>
      </c>
      <c r="C378" s="235">
        <f>F356</f>
        <v>2.6088999999999998</v>
      </c>
      <c r="D378" s="235">
        <f t="shared" si="36"/>
        <v>2.9433003453227427</v>
      </c>
      <c r="E378" s="82">
        <f t="shared" si="41"/>
        <v>35256.115589658482</v>
      </c>
      <c r="F378" s="558">
        <f t="shared" si="37"/>
        <v>83.483398442966532</v>
      </c>
      <c r="G378" s="462">
        <f t="shared" si="38"/>
        <v>8.3483398442966528E-5</v>
      </c>
    </row>
    <row r="379" spans="1:7">
      <c r="A379" s="150" t="s">
        <v>85</v>
      </c>
      <c r="B379" s="541">
        <f t="shared" si="39"/>
        <v>0</v>
      </c>
      <c r="C379" s="235">
        <f>F357</f>
        <v>124.30895555555556</v>
      </c>
      <c r="D379" s="235">
        <f t="shared" si="36"/>
        <v>124.30895555555556</v>
      </c>
      <c r="E379" s="82">
        <f t="shared" si="41"/>
        <v>35256.115589658482</v>
      </c>
      <c r="F379" s="558">
        <f t="shared" si="37"/>
        <v>3525.8834808227866</v>
      </c>
      <c r="G379" s="462">
        <f t="shared" si="38"/>
        <v>3.5258834808227866E-3</v>
      </c>
    </row>
    <row r="380" spans="1:7" ht="14.65" thickBot="1">
      <c r="A380" s="152" t="s">
        <v>86</v>
      </c>
      <c r="B380" s="542">
        <f>B305</f>
        <v>0.61821948103576219</v>
      </c>
      <c r="C380" s="236">
        <f>F358</f>
        <v>53.472999999999999</v>
      </c>
      <c r="D380" s="236">
        <f t="shared" si="36"/>
        <v>54.091219481035765</v>
      </c>
      <c r="E380" s="237">
        <f>$C$267+$D$338</f>
        <v>35256.115589658482</v>
      </c>
      <c r="F380" s="559">
        <f t="shared" si="37"/>
        <v>1534.2365026991827</v>
      </c>
      <c r="G380" s="464">
        <f t="shared" si="38"/>
        <v>1.5342365026991826E-3</v>
      </c>
    </row>
    <row r="382" spans="1:7">
      <c r="A382" s="329" t="s">
        <v>328</v>
      </c>
      <c r="B382" s="329"/>
      <c r="C382" s="329"/>
      <c r="D382" s="329"/>
      <c r="E382" s="329"/>
    </row>
    <row r="383" spans="1:7">
      <c r="A383" s="329" t="s">
        <v>315</v>
      </c>
      <c r="B383" s="329"/>
      <c r="C383" s="329"/>
      <c r="D383" s="329"/>
      <c r="E383" s="329"/>
    </row>
    <row r="385" spans="1:5" ht="14.65" thickBot="1">
      <c r="A385" s="329" t="s">
        <v>432</v>
      </c>
    </row>
    <row r="386" spans="1:5">
      <c r="A386" s="388" t="s">
        <v>268</v>
      </c>
      <c r="B386" s="323" t="s">
        <v>146</v>
      </c>
      <c r="C386" s="324" t="s">
        <v>147</v>
      </c>
      <c r="D386" s="1024" t="s">
        <v>459</v>
      </c>
      <c r="E386" s="1025"/>
    </row>
    <row r="387" spans="1:5" ht="14.65" thickBot="1">
      <c r="A387" s="220"/>
      <c r="B387" s="403" t="s">
        <v>35</v>
      </c>
      <c r="C387" s="423" t="s">
        <v>35</v>
      </c>
      <c r="D387" s="403" t="s">
        <v>257</v>
      </c>
      <c r="E387" s="155" t="s">
        <v>237</v>
      </c>
    </row>
    <row r="388" spans="1:5">
      <c r="A388" s="477" t="s">
        <v>148</v>
      </c>
      <c r="B388" s="159">
        <f>B377</f>
        <v>2871.9194419653645</v>
      </c>
      <c r="C388" s="501">
        <f>$C$267</f>
        <v>10756.115589658481</v>
      </c>
      <c r="D388" s="227">
        <f>B388/C388*1000000</f>
        <v>267003.40081196086</v>
      </c>
      <c r="E388" s="475">
        <f>D388/1000000</f>
        <v>0.26700340081196089</v>
      </c>
    </row>
    <row r="389" spans="1:5">
      <c r="A389" s="150" t="s">
        <v>620</v>
      </c>
      <c r="B389" s="161">
        <f>C377</f>
        <v>1829.2190000000001</v>
      </c>
      <c r="C389" s="502">
        <f>$D$338</f>
        <v>24500</v>
      </c>
      <c r="D389" s="229">
        <f>B389/C389*1000000</f>
        <v>74662</v>
      </c>
      <c r="E389" s="476">
        <f t="shared" ref="E389:E391" si="42">D389/1000000</f>
        <v>7.4662000000000006E-2</v>
      </c>
    </row>
    <row r="390" spans="1:5">
      <c r="A390" s="478" t="s">
        <v>621</v>
      </c>
      <c r="B390" s="480">
        <f>C390*31/98</f>
        <v>2422.7992888713356</v>
      </c>
      <c r="C390" s="587">
        <v>7659.1719454642216</v>
      </c>
      <c r="D390" s="229">
        <f>B390/C390*1000000</f>
        <v>316326.53061224491</v>
      </c>
      <c r="E390" s="476">
        <f t="shared" si="42"/>
        <v>0.31632653061224492</v>
      </c>
    </row>
    <row r="391" spans="1:5" ht="14.65" thickBot="1">
      <c r="A391" s="479" t="s">
        <v>306</v>
      </c>
      <c r="B391" s="162">
        <f>SUM($B$388:$B$390)</f>
        <v>7123.9377308367002</v>
      </c>
      <c r="C391" s="503">
        <f>SUM($C$388:$C$390)</f>
        <v>42915.287535122705</v>
      </c>
      <c r="D391" s="588">
        <f>B391/C391*1000000</f>
        <v>166000.00000014753</v>
      </c>
      <c r="E391" s="584">
        <f t="shared" si="42"/>
        <v>0.16600000000014753</v>
      </c>
    </row>
    <row r="393" spans="1:5" ht="14.65" thickBot="1">
      <c r="A393" s="79" t="s">
        <v>434</v>
      </c>
    </row>
    <row r="394" spans="1:5" ht="14.65" thickBot="1">
      <c r="A394" s="691"/>
      <c r="B394" s="192" t="s">
        <v>18</v>
      </c>
      <c r="C394" s="193" t="s">
        <v>106</v>
      </c>
    </row>
    <row r="395" spans="1:5">
      <c r="A395" s="203" t="s">
        <v>435</v>
      </c>
      <c r="B395" s="692" t="s">
        <v>35</v>
      </c>
      <c r="C395" s="730">
        <f>$C$390</f>
        <v>7659.1719454642216</v>
      </c>
    </row>
    <row r="396" spans="1:5">
      <c r="A396" s="257" t="s">
        <v>436</v>
      </c>
      <c r="B396" s="178" t="s">
        <v>35</v>
      </c>
      <c r="C396" s="84">
        <f>C395/75%*25%</f>
        <v>2553.0573151547405</v>
      </c>
      <c r="D396" s="99"/>
    </row>
    <row r="397" spans="1:5" ht="14.65" thickBot="1">
      <c r="A397" s="693" t="s">
        <v>437</v>
      </c>
      <c r="B397" s="694" t="s">
        <v>35</v>
      </c>
      <c r="C397" s="335">
        <f>C395+C396</f>
        <v>10212.229260618962</v>
      </c>
      <c r="D397" s="99"/>
    </row>
    <row r="399" spans="1:5">
      <c r="A399" s="329" t="s">
        <v>316</v>
      </c>
    </row>
    <row r="400" spans="1:5">
      <c r="A400" s="329" t="s">
        <v>467</v>
      </c>
    </row>
    <row r="401" spans="1:3">
      <c r="A401" s="329"/>
    </row>
    <row r="402" spans="1:3" ht="14.65" thickBot="1">
      <c r="A402" s="329" t="s">
        <v>307</v>
      </c>
    </row>
    <row r="403" spans="1:3">
      <c r="A403" s="664" t="s">
        <v>64</v>
      </c>
      <c r="B403" s="665" t="s">
        <v>24</v>
      </c>
      <c r="C403" s="666">
        <v>0.45</v>
      </c>
    </row>
    <row r="404" spans="1:3" ht="14.65" thickBot="1">
      <c r="A404" s="667" t="s">
        <v>66</v>
      </c>
      <c r="B404" s="284" t="s">
        <v>24</v>
      </c>
      <c r="C404" s="663">
        <v>0.55000000000000004</v>
      </c>
    </row>
    <row r="405" spans="1:3">
      <c r="A405" s="329"/>
    </row>
    <row r="406" spans="1:3" ht="14.65" thickBot="1">
      <c r="A406" s="329" t="s">
        <v>363</v>
      </c>
    </row>
    <row r="407" spans="1:3" ht="14.65" thickBot="1">
      <c r="A407" s="103"/>
      <c r="B407" s="102" t="s">
        <v>18</v>
      </c>
      <c r="C407" s="17" t="s">
        <v>106</v>
      </c>
    </row>
    <row r="408" spans="1:3">
      <c r="A408" s="272" t="s">
        <v>341</v>
      </c>
      <c r="B408" s="298" t="s">
        <v>35</v>
      </c>
      <c r="C408" s="669">
        <f>$C$267</f>
        <v>10756.115589658481</v>
      </c>
    </row>
    <row r="409" spans="1:3">
      <c r="A409" s="257" t="s">
        <v>607</v>
      </c>
      <c r="B409" s="346" t="s">
        <v>35</v>
      </c>
      <c r="C409" s="347">
        <f>$B$338</f>
        <v>17500</v>
      </c>
    </row>
    <row r="410" spans="1:3">
      <c r="A410" s="257" t="s">
        <v>605</v>
      </c>
      <c r="B410" s="346" t="s">
        <v>35</v>
      </c>
      <c r="C410" s="347">
        <f>$C$338</f>
        <v>7000</v>
      </c>
    </row>
    <row r="411" spans="1:3">
      <c r="A411" s="348" t="s">
        <v>435</v>
      </c>
      <c r="B411" s="278" t="s">
        <v>35</v>
      </c>
      <c r="C411" s="347">
        <f>$C$395</f>
        <v>7659.1719454642216</v>
      </c>
    </row>
    <row r="412" spans="1:3" ht="14.65" thickBot="1">
      <c r="A412" s="360" t="s">
        <v>309</v>
      </c>
      <c r="B412" s="320" t="s">
        <v>35</v>
      </c>
      <c r="C412" s="668">
        <f>C408+C409+C410+C411</f>
        <v>42915.287535122705</v>
      </c>
    </row>
    <row r="413" spans="1:3">
      <c r="A413" s="276" t="s">
        <v>345</v>
      </c>
      <c r="B413" s="296" t="s">
        <v>35</v>
      </c>
      <c r="C413" s="342">
        <f>C412/C403*C404</f>
        <v>52452.018098483313</v>
      </c>
    </row>
    <row r="414" spans="1:3">
      <c r="A414" s="257" t="s">
        <v>342</v>
      </c>
      <c r="B414" s="278" t="s">
        <v>35</v>
      </c>
      <c r="C414" s="347">
        <f>$C$276</f>
        <v>36276.516030652347</v>
      </c>
    </row>
    <row r="415" spans="1:3">
      <c r="A415" s="257" t="s">
        <v>436</v>
      </c>
      <c r="B415" s="278" t="s">
        <v>35</v>
      </c>
      <c r="C415" s="347">
        <f>$C$396</f>
        <v>2553.0573151547405</v>
      </c>
    </row>
    <row r="416" spans="1:3" ht="14.65" thickBot="1">
      <c r="A416" s="670" t="s">
        <v>363</v>
      </c>
      <c r="B416" s="713" t="s">
        <v>35</v>
      </c>
      <c r="C416" s="671">
        <f>C413-C414-C415</f>
        <v>13622.444752676227</v>
      </c>
    </row>
    <row r="417" spans="1:3" ht="14.65" hidden="1" thickBot="1">
      <c r="A417" s="695" t="s">
        <v>311</v>
      </c>
      <c r="B417" s="696" t="s">
        <v>35</v>
      </c>
      <c r="C417" s="697">
        <f>C415+C416</f>
        <v>16175.502067830967</v>
      </c>
    </row>
    <row r="419" spans="1:3" ht="14.65" thickBot="1">
      <c r="A419" s="79" t="s">
        <v>289</v>
      </c>
    </row>
    <row r="420" spans="1:3" ht="14.65" thickBot="1">
      <c r="A420" s="103" t="s">
        <v>53</v>
      </c>
      <c r="B420" s="102" t="s">
        <v>18</v>
      </c>
      <c r="C420" s="17" t="s">
        <v>106</v>
      </c>
    </row>
    <row r="421" spans="1:3">
      <c r="A421" s="336" t="s">
        <v>9</v>
      </c>
      <c r="B421" s="269" t="s">
        <v>35</v>
      </c>
      <c r="C421" s="328">
        <f>$C$250</f>
        <v>47032.631620310844</v>
      </c>
    </row>
    <row r="422" spans="1:3">
      <c r="A422" s="336" t="s">
        <v>607</v>
      </c>
      <c r="B422" s="269" t="s">
        <v>35</v>
      </c>
      <c r="C422" s="337">
        <f>$B$338</f>
        <v>17500</v>
      </c>
    </row>
    <row r="423" spans="1:3">
      <c r="A423" s="336" t="s">
        <v>605</v>
      </c>
      <c r="B423" s="269" t="s">
        <v>35</v>
      </c>
      <c r="C423" s="337">
        <f>$C$338</f>
        <v>7000</v>
      </c>
    </row>
    <row r="424" spans="1:3">
      <c r="A424" s="338" t="s">
        <v>437</v>
      </c>
      <c r="B424" s="269" t="s">
        <v>35</v>
      </c>
      <c r="C424" s="328">
        <f>$C$397</f>
        <v>10212.229260618962</v>
      </c>
    </row>
    <row r="425" spans="1:3" ht="14.65" thickBot="1">
      <c r="A425" s="339" t="s">
        <v>363</v>
      </c>
      <c r="B425" s="271" t="s">
        <v>35</v>
      </c>
      <c r="C425" s="340">
        <f>$C$416</f>
        <v>13622.444752676227</v>
      </c>
    </row>
    <row r="427" spans="1:3" ht="14.65" thickBot="1">
      <c r="A427" s="79" t="s">
        <v>290</v>
      </c>
    </row>
    <row r="428" spans="1:3" ht="14.65" thickBot="1">
      <c r="A428" s="191" t="s">
        <v>90</v>
      </c>
      <c r="B428" s="192" t="s">
        <v>18</v>
      </c>
      <c r="C428" s="193" t="s">
        <v>91</v>
      </c>
    </row>
    <row r="429" spans="1:3">
      <c r="A429" s="678" t="s">
        <v>9</v>
      </c>
      <c r="B429" s="293" t="s">
        <v>35</v>
      </c>
      <c r="C429" s="313">
        <f>$C$250</f>
        <v>47032.631620310844</v>
      </c>
    </row>
    <row r="430" spans="1:3">
      <c r="A430" s="679" t="s">
        <v>607</v>
      </c>
      <c r="B430" s="282" t="s">
        <v>35</v>
      </c>
      <c r="C430" s="347">
        <f>$B$338</f>
        <v>17500</v>
      </c>
    </row>
    <row r="431" spans="1:3">
      <c r="A431" s="679" t="s">
        <v>605</v>
      </c>
      <c r="B431" s="282" t="s">
        <v>35</v>
      </c>
      <c r="C431" s="347">
        <f>$C$338</f>
        <v>7000</v>
      </c>
    </row>
    <row r="432" spans="1:3">
      <c r="A432" s="375" t="s">
        <v>437</v>
      </c>
      <c r="B432" s="287" t="s">
        <v>35</v>
      </c>
      <c r="C432" s="279">
        <f>$C$397</f>
        <v>10212.229260618962</v>
      </c>
    </row>
    <row r="433" spans="1:3">
      <c r="A433" s="375" t="s">
        <v>363</v>
      </c>
      <c r="B433" s="287" t="s">
        <v>35</v>
      </c>
      <c r="C433" s="279">
        <f>$C$416</f>
        <v>13622.444752676227</v>
      </c>
    </row>
    <row r="434" spans="1:3" ht="14.65" thickBot="1">
      <c r="A434" s="689" t="s">
        <v>305</v>
      </c>
      <c r="B434" s="677" t="s">
        <v>35</v>
      </c>
      <c r="C434" s="256">
        <f>SUM(C429:C433)</f>
        <v>95367.305633606025</v>
      </c>
    </row>
    <row r="436" spans="1:3" ht="14.65" thickBot="1">
      <c r="A436" s="79" t="s">
        <v>307</v>
      </c>
      <c r="B436" s="79"/>
      <c r="C436" s="79"/>
    </row>
    <row r="437" spans="1:3" ht="14.65" thickBot="1">
      <c r="A437" s="191" t="s">
        <v>90</v>
      </c>
      <c r="B437" s="192" t="s">
        <v>18</v>
      </c>
      <c r="C437" s="193" t="s">
        <v>106</v>
      </c>
    </row>
    <row r="438" spans="1:3">
      <c r="A438" s="272" t="s">
        <v>341</v>
      </c>
      <c r="B438" s="293" t="s">
        <v>35</v>
      </c>
      <c r="C438" s="294">
        <f>$C$267</f>
        <v>10756.115589658481</v>
      </c>
    </row>
    <row r="439" spans="1:3">
      <c r="A439" s="257" t="s">
        <v>607</v>
      </c>
      <c r="B439" s="282" t="s">
        <v>35</v>
      </c>
      <c r="C439" s="347">
        <f>$B$338</f>
        <v>17500</v>
      </c>
    </row>
    <row r="440" spans="1:3">
      <c r="A440" s="257" t="s">
        <v>605</v>
      </c>
      <c r="B440" s="282" t="s">
        <v>35</v>
      </c>
      <c r="C440" s="347">
        <f>$C$338</f>
        <v>7000</v>
      </c>
    </row>
    <row r="441" spans="1:3">
      <c r="A441" s="348" t="s">
        <v>435</v>
      </c>
      <c r="B441" s="287" t="s">
        <v>35</v>
      </c>
      <c r="C441" s="279">
        <f>$C$395</f>
        <v>7659.1719454642216</v>
      </c>
    </row>
    <row r="442" spans="1:3">
      <c r="A442" s="257" t="s">
        <v>309</v>
      </c>
      <c r="B442" s="287" t="s">
        <v>35</v>
      </c>
      <c r="C442" s="279">
        <f>C438+C439+C440+C441</f>
        <v>42915.287535122705</v>
      </c>
    </row>
    <row r="443" spans="1:3">
      <c r="A443" s="257" t="s">
        <v>305</v>
      </c>
      <c r="B443" s="287" t="s">
        <v>35</v>
      </c>
      <c r="C443" s="279">
        <f>$C$434</f>
        <v>95367.305633606025</v>
      </c>
    </row>
    <row r="444" spans="1:3">
      <c r="A444" s="299" t="s">
        <v>64</v>
      </c>
      <c r="B444" s="258" t="s">
        <v>24</v>
      </c>
      <c r="C444" s="300">
        <f>C442/C443</f>
        <v>0.44999999999999996</v>
      </c>
    </row>
    <row r="445" spans="1:3">
      <c r="A445" s="68" t="s">
        <v>436</v>
      </c>
      <c r="B445" s="287" t="s">
        <v>35</v>
      </c>
      <c r="C445" s="279">
        <f>C415</f>
        <v>2553.0573151547405</v>
      </c>
    </row>
    <row r="446" spans="1:3">
      <c r="A446" s="375" t="s">
        <v>363</v>
      </c>
      <c r="B446" s="287" t="s">
        <v>35</v>
      </c>
      <c r="C446" s="279">
        <f>$C$416</f>
        <v>13622.444752676227</v>
      </c>
    </row>
    <row r="447" spans="1:3">
      <c r="A447" s="257" t="s">
        <v>342</v>
      </c>
      <c r="B447" s="287" t="s">
        <v>35</v>
      </c>
      <c r="C447" s="279">
        <f>$C$276</f>
        <v>36276.516030652347</v>
      </c>
    </row>
    <row r="448" spans="1:3">
      <c r="A448" s="257" t="s">
        <v>345</v>
      </c>
      <c r="B448" s="287" t="s">
        <v>35</v>
      </c>
      <c r="C448" s="279">
        <f>C445+C446+C447</f>
        <v>52452.018098483313</v>
      </c>
    </row>
    <row r="449" spans="1:8">
      <c r="A449" s="257" t="s">
        <v>305</v>
      </c>
      <c r="B449" s="287" t="s">
        <v>35</v>
      </c>
      <c r="C449" s="279">
        <f>$C$434</f>
        <v>95367.305633606025</v>
      </c>
    </row>
    <row r="450" spans="1:8" ht="14.65" thickBot="1">
      <c r="A450" s="301" t="s">
        <v>66</v>
      </c>
      <c r="B450" s="259" t="s">
        <v>24</v>
      </c>
      <c r="C450" s="303">
        <f>C448/C449</f>
        <v>0.55000000000000004</v>
      </c>
    </row>
    <row r="452" spans="1:8" ht="14.65" thickBot="1">
      <c r="A452" s="79" t="s">
        <v>308</v>
      </c>
    </row>
    <row r="453" spans="1:8" ht="14.65" thickBot="1">
      <c r="A453" s="482"/>
      <c r="B453" s="1028" t="s">
        <v>262</v>
      </c>
      <c r="C453" s="1029"/>
      <c r="D453" s="1029"/>
      <c r="E453" s="1029"/>
      <c r="F453" s="1030"/>
      <c r="G453" s="1028" t="s">
        <v>263</v>
      </c>
      <c r="H453" s="1031"/>
    </row>
    <row r="454" spans="1:8">
      <c r="A454" s="219" t="s">
        <v>93</v>
      </c>
      <c r="B454" s="377" t="s">
        <v>136</v>
      </c>
      <c r="C454" s="421" t="s">
        <v>618</v>
      </c>
      <c r="D454" s="421" t="s">
        <v>153</v>
      </c>
      <c r="E454" s="421" t="s">
        <v>142</v>
      </c>
      <c r="F454" s="418" t="s">
        <v>309</v>
      </c>
      <c r="G454" s="1026" t="s">
        <v>459</v>
      </c>
      <c r="H454" s="1027"/>
    </row>
    <row r="455" spans="1:8" ht="14.65" thickBot="1">
      <c r="A455" s="220"/>
      <c r="B455" s="215" t="s">
        <v>35</v>
      </c>
      <c r="C455" s="325" t="s">
        <v>35</v>
      </c>
      <c r="D455" s="325" t="s">
        <v>35</v>
      </c>
      <c r="E455" s="325" t="s">
        <v>35</v>
      </c>
      <c r="F455" s="483" t="s">
        <v>35</v>
      </c>
      <c r="G455" s="6" t="s">
        <v>257</v>
      </c>
      <c r="H455" s="24" t="s">
        <v>237</v>
      </c>
    </row>
    <row r="456" spans="1:8">
      <c r="A456" s="148" t="s">
        <v>72</v>
      </c>
      <c r="B456" s="656">
        <f>B364</f>
        <v>297.23661411933938</v>
      </c>
      <c r="C456" s="378">
        <f>F344</f>
        <v>1547.5740000000001</v>
      </c>
      <c r="D456" s="378">
        <v>0</v>
      </c>
      <c r="E456" s="378">
        <f>B456+C456+D456</f>
        <v>1844.8106141193393</v>
      </c>
      <c r="F456" s="657">
        <f t="shared" ref="F456:F470" si="43">$C$442</f>
        <v>42915.287535122705</v>
      </c>
      <c r="G456" s="634">
        <f>E456/F456*1000000</f>
        <v>42987.259787307972</v>
      </c>
      <c r="H456" s="481">
        <f>G456/1000000</f>
        <v>4.2987259787307969E-2</v>
      </c>
    </row>
    <row r="457" spans="1:8">
      <c r="A457" s="149" t="s">
        <v>73</v>
      </c>
      <c r="B457" s="592">
        <f>B365</f>
        <v>2.7508594065107583E-2</v>
      </c>
      <c r="C457" s="364">
        <f>F345</f>
        <v>0.61250000000000004</v>
      </c>
      <c r="D457" s="364">
        <v>0</v>
      </c>
      <c r="E457" s="364">
        <f t="shared" ref="E457:E470" si="44">B457+C457+D457</f>
        <v>0.64000859406510768</v>
      </c>
      <c r="F457" s="658">
        <f t="shared" si="43"/>
        <v>42915.287535122705</v>
      </c>
      <c r="G457" s="558">
        <f t="shared" ref="G457:G469" si="45">E457/F457*1000000</f>
        <v>14.913300849756912</v>
      </c>
      <c r="H457" s="462">
        <f t="shared" ref="H457:H470" si="46">G457/1000000</f>
        <v>1.4913300849756912E-5</v>
      </c>
    </row>
    <row r="458" spans="1:8">
      <c r="A458" s="149" t="s">
        <v>74</v>
      </c>
      <c r="B458" s="592">
        <f t="shared" ref="B458:B460" si="47">B366</f>
        <v>301.91686339228249</v>
      </c>
      <c r="C458" s="364">
        <f t="shared" ref="C458:C469" si="48">F346</f>
        <v>2275.1098999999999</v>
      </c>
      <c r="D458" s="364">
        <v>0</v>
      </c>
      <c r="E458" s="364">
        <f t="shared" si="44"/>
        <v>2577.0267633922822</v>
      </c>
      <c r="F458" s="658">
        <f t="shared" si="43"/>
        <v>42915.287535122705</v>
      </c>
      <c r="G458" s="558">
        <f t="shared" si="45"/>
        <v>60049.155240616608</v>
      </c>
      <c r="H458" s="462">
        <f t="shared" si="46"/>
        <v>6.004915524061661E-2</v>
      </c>
    </row>
    <row r="459" spans="1:8">
      <c r="A459" s="149" t="s">
        <v>75</v>
      </c>
      <c r="B459" s="592">
        <f t="shared" si="47"/>
        <v>1.0380305269228264E-2</v>
      </c>
      <c r="C459" s="364">
        <f t="shared" si="48"/>
        <v>5.2499999999999998E-2</v>
      </c>
      <c r="D459" s="364">
        <v>0</v>
      </c>
      <c r="E459" s="364">
        <f t="shared" si="44"/>
        <v>6.2880305269228262E-2</v>
      </c>
      <c r="F459" s="658">
        <f t="shared" si="43"/>
        <v>42915.287535122705</v>
      </c>
      <c r="G459" s="558">
        <f t="shared" si="45"/>
        <v>1.4652192465858653</v>
      </c>
      <c r="H459" s="462">
        <f t="shared" si="46"/>
        <v>1.4652192465858653E-6</v>
      </c>
    </row>
    <row r="460" spans="1:8">
      <c r="A460" s="149" t="s">
        <v>76</v>
      </c>
      <c r="B460" s="592">
        <f t="shared" si="47"/>
        <v>0.65861882563119145</v>
      </c>
      <c r="C460" s="364">
        <f t="shared" si="48"/>
        <v>1.9698</v>
      </c>
      <c r="D460" s="364">
        <v>0</v>
      </c>
      <c r="E460" s="364">
        <f t="shared" si="44"/>
        <v>2.6284188256311913</v>
      </c>
      <c r="F460" s="658">
        <f t="shared" si="43"/>
        <v>42915.287535122705</v>
      </c>
      <c r="G460" s="558">
        <f t="shared" si="45"/>
        <v>61.246678668529064</v>
      </c>
      <c r="H460" s="462">
        <f t="shared" si="46"/>
        <v>6.1246678668529065E-5</v>
      </c>
    </row>
    <row r="461" spans="1:8">
      <c r="A461" s="150" t="s">
        <v>77</v>
      </c>
      <c r="B461" s="592">
        <f>B369</f>
        <v>1.8390803487070784E-2</v>
      </c>
      <c r="C461" s="364">
        <f t="shared" si="48"/>
        <v>19.295499999999997</v>
      </c>
      <c r="D461" s="364">
        <v>0</v>
      </c>
      <c r="E461" s="364">
        <f t="shared" si="44"/>
        <v>19.31389080348707</v>
      </c>
      <c r="F461" s="658">
        <f t="shared" si="43"/>
        <v>42915.287535122705</v>
      </c>
      <c r="G461" s="558">
        <f t="shared" si="45"/>
        <v>450.04686937446724</v>
      </c>
      <c r="H461" s="462">
        <f t="shared" si="46"/>
        <v>4.5004686937446723E-4</v>
      </c>
    </row>
    <row r="462" spans="1:8">
      <c r="A462" s="150" t="s">
        <v>78</v>
      </c>
      <c r="B462" s="592">
        <f>B370</f>
        <v>520.36897797378174</v>
      </c>
      <c r="C462" s="364">
        <f t="shared" si="48"/>
        <v>2077.7049999999999</v>
      </c>
      <c r="D462" s="364">
        <v>0</v>
      </c>
      <c r="E462" s="364">
        <f t="shared" si="44"/>
        <v>2598.0739779737814</v>
      </c>
      <c r="F462" s="658">
        <f t="shared" si="43"/>
        <v>42915.287535122705</v>
      </c>
      <c r="G462" s="558">
        <f t="shared" si="45"/>
        <v>60539.59153477574</v>
      </c>
      <c r="H462" s="462">
        <f t="shared" si="46"/>
        <v>6.0539591534775741E-2</v>
      </c>
    </row>
    <row r="463" spans="1:8">
      <c r="A463" s="150" t="s">
        <v>79</v>
      </c>
      <c r="B463" s="592">
        <f>B371</f>
        <v>73.263467845989027</v>
      </c>
      <c r="C463" s="364">
        <f t="shared" si="48"/>
        <v>232.9992</v>
      </c>
      <c r="D463" s="364">
        <v>0</v>
      </c>
      <c r="E463" s="364">
        <f t="shared" si="44"/>
        <v>306.26266784598903</v>
      </c>
      <c r="F463" s="658">
        <f t="shared" si="43"/>
        <v>42915.287535122705</v>
      </c>
      <c r="G463" s="558">
        <f t="shared" si="45"/>
        <v>7136.4468336682521</v>
      </c>
      <c r="H463" s="462">
        <f t="shared" si="46"/>
        <v>7.1364468336682519E-3</v>
      </c>
    </row>
    <row r="464" spans="1:8">
      <c r="A464" s="150" t="s">
        <v>80</v>
      </c>
      <c r="B464" s="592">
        <f>B372</f>
        <v>116.75952633918425</v>
      </c>
      <c r="C464" s="364">
        <f t="shared" si="48"/>
        <v>302.29978333333338</v>
      </c>
      <c r="D464" s="364">
        <v>0</v>
      </c>
      <c r="E464" s="364">
        <f t="shared" si="44"/>
        <v>419.05930967251766</v>
      </c>
      <c r="F464" s="658">
        <f t="shared" si="43"/>
        <v>42915.287535122705</v>
      </c>
      <c r="G464" s="558">
        <f t="shared" si="45"/>
        <v>9764.8025620136268</v>
      </c>
      <c r="H464" s="462">
        <f t="shared" si="46"/>
        <v>9.7648025620136261E-3</v>
      </c>
    </row>
    <row r="465" spans="1:8">
      <c r="A465" s="150" t="s">
        <v>81</v>
      </c>
      <c r="B465" s="592">
        <f>B373</f>
        <v>105.78373790246087</v>
      </c>
      <c r="C465" s="364">
        <f t="shared" si="48"/>
        <v>67.697699999999998</v>
      </c>
      <c r="D465" s="364">
        <v>0</v>
      </c>
      <c r="E465" s="364">
        <f t="shared" si="44"/>
        <v>173.48143790246087</v>
      </c>
      <c r="F465" s="658">
        <f t="shared" si="43"/>
        <v>42915.287535122705</v>
      </c>
      <c r="G465" s="558">
        <f t="shared" si="45"/>
        <v>4042.4158351608457</v>
      </c>
      <c r="H465" s="462">
        <f t="shared" si="46"/>
        <v>4.0424158351608456E-3</v>
      </c>
    </row>
    <row r="466" spans="1:8">
      <c r="A466" s="150" t="s">
        <v>82</v>
      </c>
      <c r="B466" s="592">
        <f t="shared" ref="B466" si="49">B374</f>
        <v>0.63731164578968114</v>
      </c>
      <c r="C466" s="364">
        <f t="shared" si="48"/>
        <v>1.4619499999999999</v>
      </c>
      <c r="D466" s="364">
        <v>0</v>
      </c>
      <c r="E466" s="364">
        <f t="shared" si="44"/>
        <v>2.0992616457896811</v>
      </c>
      <c r="F466" s="658">
        <f t="shared" si="43"/>
        <v>42915.287535122705</v>
      </c>
      <c r="G466" s="558">
        <f t="shared" si="45"/>
        <v>48.916406398806124</v>
      </c>
      <c r="H466" s="462">
        <f t="shared" si="46"/>
        <v>4.8916406398806125E-5</v>
      </c>
    </row>
    <row r="467" spans="1:8">
      <c r="A467" s="350" t="s">
        <v>154</v>
      </c>
      <c r="B467" s="592">
        <f>B377</f>
        <v>2871.9194419653645</v>
      </c>
      <c r="C467" s="364">
        <f t="shared" si="48"/>
        <v>1829.2190000000001</v>
      </c>
      <c r="D467" s="364">
        <f>$B$390</f>
        <v>2422.7992888713356</v>
      </c>
      <c r="E467" s="364">
        <f t="shared" si="44"/>
        <v>7123.9377308367002</v>
      </c>
      <c r="F467" s="658">
        <f t="shared" si="43"/>
        <v>42915.287535122705</v>
      </c>
      <c r="G467" s="597">
        <f t="shared" si="45"/>
        <v>166000.00000014753</v>
      </c>
      <c r="H467" s="583">
        <f t="shared" si="46"/>
        <v>0.16600000000014753</v>
      </c>
    </row>
    <row r="468" spans="1:8">
      <c r="A468" s="398" t="s">
        <v>84</v>
      </c>
      <c r="B468" s="592">
        <f>B378</f>
        <v>0.3344003453227431</v>
      </c>
      <c r="C468" s="364">
        <f t="shared" si="48"/>
        <v>2.6088999999999998</v>
      </c>
      <c r="D468" s="364">
        <v>0</v>
      </c>
      <c r="E468" s="364">
        <f t="shared" si="44"/>
        <v>2.9433003453227427</v>
      </c>
      <c r="F468" s="658">
        <f t="shared" si="43"/>
        <v>42915.287535122705</v>
      </c>
      <c r="G468" s="558">
        <f t="shared" si="45"/>
        <v>68.583959571839955</v>
      </c>
      <c r="H468" s="462">
        <f t="shared" si="46"/>
        <v>6.858395957183996E-5</v>
      </c>
    </row>
    <row r="469" spans="1:8">
      <c r="A469" s="398" t="s">
        <v>85</v>
      </c>
      <c r="B469" s="592">
        <f t="shared" ref="B469:B470" si="50">B379</f>
        <v>0</v>
      </c>
      <c r="C469" s="364">
        <f t="shared" si="48"/>
        <v>124.30895555555556</v>
      </c>
      <c r="D469" s="364">
        <v>0</v>
      </c>
      <c r="E469" s="364">
        <f t="shared" si="44"/>
        <v>124.30895555555556</v>
      </c>
      <c r="F469" s="658">
        <f t="shared" si="43"/>
        <v>42915.287535122705</v>
      </c>
      <c r="G469" s="558">
        <f t="shared" si="45"/>
        <v>2896.6124356924952</v>
      </c>
      <c r="H469" s="462">
        <f t="shared" si="46"/>
        <v>2.8966124356924953E-3</v>
      </c>
    </row>
    <row r="470" spans="1:8" ht="14.65" thickBot="1">
      <c r="A470" s="152" t="s">
        <v>86</v>
      </c>
      <c r="B470" s="659">
        <f t="shared" si="50"/>
        <v>0.61821948103576219</v>
      </c>
      <c r="C470" s="379">
        <f>F358</f>
        <v>53.472999999999999</v>
      </c>
      <c r="D470" s="379">
        <v>0</v>
      </c>
      <c r="E470" s="379">
        <f t="shared" si="44"/>
        <v>54.091219481035765</v>
      </c>
      <c r="F470" s="660">
        <f t="shared" si="43"/>
        <v>42915.287535122705</v>
      </c>
      <c r="G470" s="559">
        <f>E470/F470*1000000</f>
        <v>1260.4184333325616</v>
      </c>
      <c r="H470" s="464">
        <f t="shared" si="46"/>
        <v>1.2604184333325616E-3</v>
      </c>
    </row>
    <row r="472" spans="1:8">
      <c r="A472" s="1" t="s">
        <v>155</v>
      </c>
      <c r="B472" s="1"/>
      <c r="C472" s="1"/>
    </row>
    <row r="473" spans="1:8" ht="14.65" thickBot="1">
      <c r="A473" s="79" t="s">
        <v>291</v>
      </c>
    </row>
    <row r="474" spans="1:8" ht="14.65" thickBot="1">
      <c r="A474" s="16" t="s">
        <v>53</v>
      </c>
      <c r="B474" s="17" t="s">
        <v>18</v>
      </c>
      <c r="C474" s="249" t="s">
        <v>106</v>
      </c>
    </row>
    <row r="475" spans="1:8" ht="14.65" thickBot="1">
      <c r="A475" s="611" t="s">
        <v>305</v>
      </c>
      <c r="B475" s="612" t="s">
        <v>35</v>
      </c>
      <c r="C475" s="613">
        <f>$C$434</f>
        <v>95367.305633606025</v>
      </c>
    </row>
    <row r="476" spans="1:8">
      <c r="A476" s="78"/>
      <c r="B476" s="685"/>
      <c r="C476" s="686"/>
    </row>
    <row r="477" spans="1:8">
      <c r="A477" s="329" t="s">
        <v>319</v>
      </c>
      <c r="B477" s="685"/>
      <c r="C477" s="686"/>
    </row>
    <row r="479" spans="1:8" ht="14.65" thickBot="1">
      <c r="A479" s="79" t="s">
        <v>292</v>
      </c>
    </row>
    <row r="480" spans="1:8" ht="14.65" thickBot="1">
      <c r="A480" s="191" t="s">
        <v>90</v>
      </c>
      <c r="B480" s="192" t="s">
        <v>18</v>
      </c>
      <c r="C480" s="193" t="s">
        <v>91</v>
      </c>
    </row>
    <row r="481" spans="1:3">
      <c r="A481" s="703" t="s">
        <v>314</v>
      </c>
      <c r="B481" s="692" t="s">
        <v>35</v>
      </c>
      <c r="C481" s="730">
        <f>C442</f>
        <v>42915.287535122705</v>
      </c>
    </row>
    <row r="482" spans="1:3">
      <c r="A482" s="232" t="s">
        <v>320</v>
      </c>
      <c r="B482" s="178" t="s">
        <v>237</v>
      </c>
      <c r="C482" s="722">
        <v>0.95</v>
      </c>
    </row>
    <row r="483" spans="1:3">
      <c r="A483" s="688" t="s">
        <v>17</v>
      </c>
      <c r="B483" s="90" t="s">
        <v>35</v>
      </c>
      <c r="C483" s="254">
        <f>C481/C482</f>
        <v>45173.986879076532</v>
      </c>
    </row>
    <row r="484" spans="1:3">
      <c r="A484" s="232" t="s">
        <v>321</v>
      </c>
      <c r="B484" s="178" t="s">
        <v>237</v>
      </c>
      <c r="C484" s="722">
        <f>100%-C482</f>
        <v>5.0000000000000044E-2</v>
      </c>
    </row>
    <row r="485" spans="1:3">
      <c r="A485" s="232" t="s">
        <v>348</v>
      </c>
      <c r="B485" s="178" t="s">
        <v>35</v>
      </c>
      <c r="C485" s="84">
        <f>C483*C484</f>
        <v>2258.6993439538287</v>
      </c>
    </row>
    <row r="486" spans="1:3" ht="14.65" thickBot="1">
      <c r="A486" s="689" t="s">
        <v>16</v>
      </c>
      <c r="B486" s="163" t="s">
        <v>35</v>
      </c>
      <c r="C486" s="690">
        <f>$C$448-C485</f>
        <v>50193.318754529486</v>
      </c>
    </row>
    <row r="488" spans="1:3" ht="14.65" thickBot="1">
      <c r="A488" s="1" t="s">
        <v>401</v>
      </c>
      <c r="B488" s="1"/>
      <c r="C488" s="1"/>
    </row>
    <row r="489" spans="1:3" ht="14.65" thickBot="1">
      <c r="A489" s="9" t="s">
        <v>402</v>
      </c>
      <c r="B489" s="790" t="s">
        <v>297</v>
      </c>
      <c r="C489" s="789" t="s">
        <v>403</v>
      </c>
    </row>
    <row r="490" spans="1:3">
      <c r="A490" s="134" t="s">
        <v>329</v>
      </c>
      <c r="B490" s="793" t="s">
        <v>35</v>
      </c>
      <c r="C490" s="795">
        <f>C25</f>
        <v>3600</v>
      </c>
    </row>
    <row r="491" spans="1:3">
      <c r="A491" s="68" t="s">
        <v>331</v>
      </c>
      <c r="B491" s="105" t="s">
        <v>35</v>
      </c>
      <c r="C491" s="84">
        <f>C29</f>
        <v>27708</v>
      </c>
    </row>
    <row r="492" spans="1:3">
      <c r="A492" s="68" t="s">
        <v>409</v>
      </c>
      <c r="B492" s="105" t="s">
        <v>35</v>
      </c>
      <c r="C492" s="84">
        <f>C30</f>
        <v>6600.0000000000009</v>
      </c>
    </row>
    <row r="493" spans="1:3">
      <c r="A493" s="68" t="s">
        <v>410</v>
      </c>
      <c r="B493" s="105" t="s">
        <v>35</v>
      </c>
      <c r="C493" s="82">
        <f>C34</f>
        <v>16500</v>
      </c>
    </row>
    <row r="494" spans="1:3">
      <c r="A494" s="68" t="s">
        <v>404</v>
      </c>
      <c r="B494" s="105" t="s">
        <v>35</v>
      </c>
      <c r="C494" s="80">
        <f>ISH</f>
        <v>12000</v>
      </c>
    </row>
    <row r="495" spans="1:3">
      <c r="A495" s="68" t="s">
        <v>406</v>
      </c>
      <c r="B495" s="105" t="s">
        <v>35</v>
      </c>
      <c r="C495" s="80">
        <f>TVM</f>
        <v>17500</v>
      </c>
    </row>
    <row r="496" spans="1:3">
      <c r="A496" s="68" t="s">
        <v>405</v>
      </c>
      <c r="B496" s="105" t="s">
        <v>35</v>
      </c>
      <c r="C496" s="80">
        <f>SEF</f>
        <v>7000</v>
      </c>
    </row>
    <row r="497" spans="1:5">
      <c r="A497" s="68" t="s">
        <v>334</v>
      </c>
      <c r="B497" s="105" t="s">
        <v>35</v>
      </c>
      <c r="C497" s="86">
        <f>C120</f>
        <v>882.62008302620131</v>
      </c>
    </row>
    <row r="498" spans="1:5">
      <c r="A498" s="68" t="s">
        <v>338</v>
      </c>
      <c r="B498" s="105" t="s">
        <v>35</v>
      </c>
      <c r="C498" s="84">
        <f>C242</f>
        <v>18000</v>
      </c>
    </row>
    <row r="499" spans="1:5">
      <c r="A499" s="68" t="s">
        <v>408</v>
      </c>
      <c r="B499" s="105" t="s">
        <v>35</v>
      </c>
      <c r="C499" s="84">
        <f>C395</f>
        <v>7659.1719454642216</v>
      </c>
    </row>
    <row r="500" spans="1:5">
      <c r="A500" s="68" t="s">
        <v>411</v>
      </c>
      <c r="B500" s="105" t="s">
        <v>35</v>
      </c>
      <c r="C500" s="84">
        <f>C397</f>
        <v>10212.229260618962</v>
      </c>
    </row>
    <row r="501" spans="1:5">
      <c r="A501" s="794" t="s">
        <v>412</v>
      </c>
      <c r="B501" s="105" t="s">
        <v>35</v>
      </c>
      <c r="C501" s="84">
        <f>C492+C499</f>
        <v>14259.171945464223</v>
      </c>
    </row>
    <row r="502" spans="1:5" ht="14.65" thickBot="1">
      <c r="A502" s="73" t="s">
        <v>407</v>
      </c>
      <c r="B502" s="23" t="s">
        <v>35</v>
      </c>
      <c r="C502" s="237">
        <f>C416</f>
        <v>13622.444752676227</v>
      </c>
    </row>
    <row r="504" spans="1:5" ht="14.65" thickBot="1">
      <c r="A504" s="1" t="s">
        <v>468</v>
      </c>
      <c r="B504" s="1"/>
      <c r="C504" s="1"/>
      <c r="D504" s="79"/>
      <c r="E504" s="79"/>
    </row>
    <row r="505" spans="1:5" ht="14.65" thickBot="1">
      <c r="A505" s="512"/>
      <c r="B505" s="249" t="s">
        <v>18</v>
      </c>
      <c r="C505" s="249" t="s">
        <v>234</v>
      </c>
    </row>
    <row r="506" spans="1:5">
      <c r="A506" s="134" t="s">
        <v>232</v>
      </c>
      <c r="B506" s="509" t="s">
        <v>24</v>
      </c>
      <c r="C506" s="248">
        <v>0.38</v>
      </c>
    </row>
    <row r="507" spans="1:5">
      <c r="A507" s="68" t="s">
        <v>324</v>
      </c>
      <c r="B507" s="510" t="s">
        <v>35</v>
      </c>
      <c r="C507" s="244">
        <f>C481</f>
        <v>42915.287535122705</v>
      </c>
    </row>
    <row r="508" spans="1:5">
      <c r="A508" s="68" t="s">
        <v>349</v>
      </c>
      <c r="B508" s="510" t="s">
        <v>35</v>
      </c>
      <c r="C508" s="245">
        <f>C507*C506</f>
        <v>16307.809263346628</v>
      </c>
    </row>
    <row r="509" spans="1:5">
      <c r="A509" s="68" t="s">
        <v>350</v>
      </c>
      <c r="B509" s="510" t="s">
        <v>35</v>
      </c>
      <c r="C509" s="246">
        <f>E459</f>
        <v>6.2880305269228262E-2</v>
      </c>
    </row>
    <row r="510" spans="1:5" ht="14.65" thickBot="1">
      <c r="A510" s="73" t="s">
        <v>351</v>
      </c>
      <c r="B510" s="511" t="s">
        <v>236</v>
      </c>
      <c r="C510" s="931">
        <f>C509/C508*1000000</f>
        <v>3.8558401225943824</v>
      </c>
    </row>
    <row r="511" spans="1:5" ht="14.65" thickBot="1"/>
    <row r="512" spans="1:5" ht="14.65" thickBot="1">
      <c r="A512" s="212"/>
      <c r="B512" s="1010" t="s">
        <v>216</v>
      </c>
      <c r="C512" s="1005" t="s">
        <v>165</v>
      </c>
      <c r="D512" s="1012"/>
    </row>
    <row r="513" spans="1:4">
      <c r="A513" s="487" t="s">
        <v>67</v>
      </c>
      <c r="B513" s="1011"/>
      <c r="C513" s="3" t="s">
        <v>166</v>
      </c>
      <c r="D513" s="15" t="s">
        <v>167</v>
      </c>
    </row>
    <row r="514" spans="1:4" ht="14.65" thickBot="1">
      <c r="A514" s="133" t="s">
        <v>18</v>
      </c>
      <c r="B514" s="610" t="s">
        <v>352</v>
      </c>
      <c r="C514" s="6" t="s">
        <v>70</v>
      </c>
      <c r="D514" s="24" t="s">
        <v>70</v>
      </c>
    </row>
    <row r="515" spans="1:4">
      <c r="A515" s="134" t="s">
        <v>222</v>
      </c>
      <c r="B515" s="684">
        <f>G457</f>
        <v>14.913300849756912</v>
      </c>
      <c r="C515" s="484">
        <f>Rohdaten!$F$12</f>
        <v>40</v>
      </c>
      <c r="D515" s="110">
        <f>Rohdaten!$H$12</f>
        <v>40</v>
      </c>
    </row>
    <row r="516" spans="1:4">
      <c r="A516" s="68" t="s">
        <v>223</v>
      </c>
      <c r="B516" s="929">
        <f>C510</f>
        <v>3.8558401225943824</v>
      </c>
      <c r="C516" s="105" t="str">
        <f>Rohdaten!$F$14</f>
        <v>50mg/kgP2O5</v>
      </c>
      <c r="D516" s="80" t="str">
        <f>Rohdaten!$H$14</f>
        <v>60mg/kgP2O5</v>
      </c>
    </row>
    <row r="517" spans="1:4">
      <c r="A517" s="68" t="s">
        <v>224</v>
      </c>
      <c r="B517" s="606">
        <f>G461</f>
        <v>450.04686937446724</v>
      </c>
      <c r="C517" s="485">
        <f>Rohdaten!$F$16</f>
        <v>900</v>
      </c>
      <c r="D517" s="82">
        <f>Rohdaten!$H$16</f>
        <v>600</v>
      </c>
    </row>
    <row r="518" spans="1:4">
      <c r="A518" s="68" t="s">
        <v>225</v>
      </c>
      <c r="B518" s="606">
        <f>G466</f>
        <v>48.916406398806124</v>
      </c>
      <c r="C518" s="485">
        <f>Rohdaten!$F$21</f>
        <v>80</v>
      </c>
      <c r="D518" s="82">
        <f>Rohdaten!$H$21</f>
        <v>100</v>
      </c>
    </row>
    <row r="519" spans="1:4">
      <c r="A519" s="68" t="s">
        <v>226</v>
      </c>
      <c r="B519" s="607">
        <f>G468</f>
        <v>68.583959571839955</v>
      </c>
      <c r="C519" s="485">
        <f>Rohdaten!$F$23</f>
        <v>150</v>
      </c>
      <c r="D519" s="82">
        <f>Rohdaten!$H$23</f>
        <v>120</v>
      </c>
    </row>
    <row r="520" spans="1:4" ht="14.65" thickBot="1">
      <c r="A520" s="73" t="s">
        <v>227</v>
      </c>
      <c r="B520" s="608">
        <f>G470</f>
        <v>1260.4184333325616</v>
      </c>
      <c r="C520" s="486">
        <f>Rohdaten!$F$25</f>
        <v>5000</v>
      </c>
      <c r="D520" s="237">
        <f>Rohdaten!$H$25</f>
        <v>1500</v>
      </c>
    </row>
  </sheetData>
  <mergeCells count="44">
    <mergeCell ref="D37:F37"/>
    <mergeCell ref="B78:F78"/>
    <mergeCell ref="G78:L78"/>
    <mergeCell ref="B79:B80"/>
    <mergeCell ref="C79:C80"/>
    <mergeCell ref="D79:D80"/>
    <mergeCell ref="E79:E80"/>
    <mergeCell ref="F79:F80"/>
    <mergeCell ref="G79:H80"/>
    <mergeCell ref="I79:L79"/>
    <mergeCell ref="I80:J80"/>
    <mergeCell ref="K80:L80"/>
    <mergeCell ref="B142:C142"/>
    <mergeCell ref="B143:C143"/>
    <mergeCell ref="B205:F205"/>
    <mergeCell ref="G205:L205"/>
    <mergeCell ref="E282:F282"/>
    <mergeCell ref="G282:H282"/>
    <mergeCell ref="B206:B207"/>
    <mergeCell ref="C206:C207"/>
    <mergeCell ref="D206:D207"/>
    <mergeCell ref="E206:E207"/>
    <mergeCell ref="F206:F207"/>
    <mergeCell ref="G206:H207"/>
    <mergeCell ref="I206:L206"/>
    <mergeCell ref="I207:J207"/>
    <mergeCell ref="K207:L207"/>
    <mergeCell ref="B281:D281"/>
    <mergeCell ref="E281:H281"/>
    <mergeCell ref="B308:D308"/>
    <mergeCell ref="E308:H308"/>
    <mergeCell ref="E309:F309"/>
    <mergeCell ref="G309:H309"/>
    <mergeCell ref="B341:C341"/>
    <mergeCell ref="D341:F341"/>
    <mergeCell ref="G454:H454"/>
    <mergeCell ref="B512:B513"/>
    <mergeCell ref="C512:D512"/>
    <mergeCell ref="B361:E361"/>
    <mergeCell ref="F361:G361"/>
    <mergeCell ref="F362:G362"/>
    <mergeCell ref="D386:E386"/>
    <mergeCell ref="B453:F453"/>
    <mergeCell ref="G453:H453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6AD1B-704B-40F9-8FA3-DC18D2FE00BA}">
  <sheetPr codeName="Tabelle22"/>
  <dimension ref="A1:L593"/>
  <sheetViews>
    <sheetView topLeftCell="A537" zoomScale="65" zoomScaleNormal="70" workbookViewId="0">
      <selection activeCell="C598" sqref="C598"/>
    </sheetView>
  </sheetViews>
  <sheetFormatPr baseColWidth="10" defaultColWidth="8.86328125" defaultRowHeight="14.25"/>
  <cols>
    <col min="1" max="1" width="45.597656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599</v>
      </c>
    </row>
    <row r="3" spans="1:5">
      <c r="A3" s="91"/>
      <c r="B3" t="s">
        <v>247</v>
      </c>
    </row>
    <row r="4" spans="1:5">
      <c r="A4" s="853"/>
      <c r="B4" t="s">
        <v>613</v>
      </c>
    </row>
    <row r="6" spans="1:5">
      <c r="A6" s="1" t="s">
        <v>41</v>
      </c>
      <c r="B6" s="13"/>
      <c r="C6" s="13"/>
      <c r="D6" s="13"/>
    </row>
    <row r="7" spans="1:5" ht="14.65" thickBot="1">
      <c r="A7" s="79" t="s">
        <v>358</v>
      </c>
      <c r="B7" s="79"/>
      <c r="C7" s="79"/>
      <c r="D7" s="79"/>
    </row>
    <row r="8" spans="1:5">
      <c r="A8" s="218"/>
      <c r="B8" s="166" t="s">
        <v>614</v>
      </c>
      <c r="C8" s="189" t="s">
        <v>615</v>
      </c>
      <c r="D8" s="190" t="s">
        <v>622</v>
      </c>
    </row>
    <row r="9" spans="1:5" ht="14.65" thickBot="1">
      <c r="A9" s="252"/>
      <c r="B9" s="6" t="s">
        <v>35</v>
      </c>
      <c r="C9" s="7" t="s">
        <v>35</v>
      </c>
      <c r="D9" s="24" t="s">
        <v>35</v>
      </c>
    </row>
    <row r="10" spans="1:5" ht="14.65" thickBot="1">
      <c r="A10" s="251" t="s">
        <v>357</v>
      </c>
      <c r="B10" s="264">
        <v>17500</v>
      </c>
      <c r="C10" s="264">
        <v>7000</v>
      </c>
      <c r="D10" s="265">
        <v>12000</v>
      </c>
    </row>
    <row r="12" spans="1:5" ht="14.65" thickBot="1">
      <c r="A12" s="79" t="s">
        <v>359</v>
      </c>
    </row>
    <row r="13" spans="1:5" ht="14.65" thickBot="1">
      <c r="A13" s="500"/>
      <c r="B13" s="16" t="s">
        <v>18</v>
      </c>
      <c r="C13" s="17" t="s">
        <v>48</v>
      </c>
    </row>
    <row r="14" spans="1:5">
      <c r="A14" s="498" t="s">
        <v>329</v>
      </c>
      <c r="B14" s="25" t="s">
        <v>21</v>
      </c>
      <c r="C14" s="629">
        <v>0.3</v>
      </c>
      <c r="E14" s="714"/>
    </row>
    <row r="15" spans="1:5">
      <c r="A15" s="415" t="s">
        <v>330</v>
      </c>
      <c r="B15" s="37" t="s">
        <v>22</v>
      </c>
      <c r="C15" s="630">
        <v>0.55000000000000004</v>
      </c>
    </row>
    <row r="16" spans="1:5">
      <c r="A16" s="415" t="s">
        <v>366</v>
      </c>
      <c r="B16" s="37" t="s">
        <v>19</v>
      </c>
      <c r="C16" s="391">
        <v>2.8340000000000001</v>
      </c>
    </row>
    <row r="17" spans="1:5" ht="14.65" thickBot="1">
      <c r="A17" s="417" t="s">
        <v>23</v>
      </c>
      <c r="B17" s="6" t="s">
        <v>237</v>
      </c>
      <c r="C17" s="416">
        <v>1.7</v>
      </c>
    </row>
    <row r="18" spans="1:5">
      <c r="A18" s="715"/>
      <c r="B18" s="716"/>
      <c r="C18" s="716"/>
      <c r="D18" s="716"/>
    </row>
    <row r="19" spans="1:5">
      <c r="A19" s="717" t="s">
        <v>451</v>
      </c>
      <c r="B19" s="716"/>
      <c r="C19" s="716"/>
      <c r="D19" s="716"/>
    </row>
    <row r="20" spans="1:5">
      <c r="A20" s="79"/>
    </row>
    <row r="21" spans="1:5" ht="14.65" thickBot="1">
      <c r="A21" s="79" t="s">
        <v>264</v>
      </c>
    </row>
    <row r="22" spans="1:5" ht="14.65" thickBot="1">
      <c r="A22" s="191" t="s">
        <v>53</v>
      </c>
      <c r="B22" s="192" t="s">
        <v>18</v>
      </c>
      <c r="C22" s="193" t="s">
        <v>54</v>
      </c>
    </row>
    <row r="23" spans="1:5">
      <c r="A23" s="388" t="s">
        <v>623</v>
      </c>
      <c r="B23" s="323" t="s">
        <v>35</v>
      </c>
      <c r="C23" s="687">
        <f>D10</f>
        <v>12000</v>
      </c>
    </row>
    <row r="24" spans="1:5" hidden="1">
      <c r="A24" s="679" t="s">
        <v>49</v>
      </c>
      <c r="B24" s="721" t="s">
        <v>21</v>
      </c>
      <c r="C24" s="292">
        <f>$C$14</f>
        <v>0.3</v>
      </c>
    </row>
    <row r="25" spans="1:5">
      <c r="A25" s="719" t="s">
        <v>366</v>
      </c>
      <c r="B25" s="178" t="s">
        <v>35</v>
      </c>
      <c r="C25" s="84">
        <f>C23*WK</f>
        <v>34008</v>
      </c>
    </row>
    <row r="26" spans="1:5">
      <c r="A26" s="232" t="s">
        <v>329</v>
      </c>
      <c r="B26" s="178" t="s">
        <v>35</v>
      </c>
      <c r="C26" s="84">
        <f>C23*SSK</f>
        <v>3600</v>
      </c>
      <c r="D26" s="121"/>
      <c r="E26" s="121"/>
    </row>
    <row r="27" spans="1:5" hidden="1">
      <c r="A27" s="232" t="s">
        <v>50</v>
      </c>
      <c r="B27" s="37" t="s">
        <v>22</v>
      </c>
      <c r="C27" s="85">
        <f>$C$15</f>
        <v>0.55000000000000004</v>
      </c>
      <c r="D27" s="121"/>
      <c r="E27" s="121"/>
    </row>
    <row r="28" spans="1:5">
      <c r="A28" s="232" t="s">
        <v>327</v>
      </c>
      <c r="B28" s="37" t="s">
        <v>237</v>
      </c>
      <c r="C28" s="722">
        <f>C26/(C26+C29)</f>
        <v>0.12992637505413598</v>
      </c>
      <c r="D28" s="121"/>
      <c r="E28" s="121"/>
    </row>
    <row r="29" spans="1:5">
      <c r="A29" s="232" t="s">
        <v>367</v>
      </c>
      <c r="B29" s="178" t="s">
        <v>35</v>
      </c>
      <c r="C29" s="723">
        <f>C25-C34</f>
        <v>24108</v>
      </c>
      <c r="D29" s="121"/>
      <c r="E29" s="121"/>
    </row>
    <row r="30" spans="1:5">
      <c r="A30" s="720" t="s">
        <v>331</v>
      </c>
      <c r="B30" s="724" t="s">
        <v>35</v>
      </c>
      <c r="C30" s="718">
        <f>C26+C29</f>
        <v>27708</v>
      </c>
      <c r="D30" s="121"/>
      <c r="E30" s="121"/>
    </row>
    <row r="31" spans="1:5">
      <c r="A31" s="232" t="s">
        <v>428</v>
      </c>
      <c r="B31" s="178" t="s">
        <v>35</v>
      </c>
      <c r="C31" s="84">
        <f>C23*PSK</f>
        <v>6600.0000000000009</v>
      </c>
      <c r="D31" s="121"/>
      <c r="E31" s="121"/>
    </row>
    <row r="32" spans="1:5" hidden="1">
      <c r="A32" s="232" t="s">
        <v>51</v>
      </c>
      <c r="B32" s="37" t="s">
        <v>19</v>
      </c>
      <c r="C32" s="85">
        <f>$C$16</f>
        <v>2.8340000000000001</v>
      </c>
    </row>
    <row r="33" spans="1:8">
      <c r="A33" s="232" t="s">
        <v>326</v>
      </c>
      <c r="B33" s="37" t="s">
        <v>237</v>
      </c>
      <c r="C33" s="722">
        <v>0.4</v>
      </c>
    </row>
    <row r="34" spans="1:8">
      <c r="A34" s="232" t="s">
        <v>426</v>
      </c>
      <c r="B34" s="178" t="s">
        <v>35</v>
      </c>
      <c r="C34" s="723">
        <f>C31/C33*(1-C33)</f>
        <v>9900</v>
      </c>
    </row>
    <row r="35" spans="1:8" ht="14.65" thickBot="1">
      <c r="A35" s="680" t="s">
        <v>427</v>
      </c>
      <c r="B35" s="694" t="s">
        <v>35</v>
      </c>
      <c r="C35" s="725">
        <f>C31+C34</f>
        <v>16500</v>
      </c>
    </row>
    <row r="36" spans="1:8">
      <c r="A36" s="180"/>
      <c r="B36" s="181"/>
      <c r="C36" s="182"/>
    </row>
    <row r="37" spans="1:8" ht="14.65" thickBot="1">
      <c r="A37" s="183" t="s">
        <v>644</v>
      </c>
      <c r="B37" s="181"/>
      <c r="C37" s="182"/>
    </row>
    <row r="38" spans="1:8" ht="14.65" thickBot="1">
      <c r="A38" s="773"/>
      <c r="B38" s="177"/>
      <c r="C38" s="846"/>
      <c r="D38" s="217"/>
      <c r="E38" s="514" t="s">
        <v>263</v>
      </c>
      <c r="F38" s="1074" t="s">
        <v>262</v>
      </c>
      <c r="G38" s="1075"/>
      <c r="H38" s="1076"/>
    </row>
    <row r="39" spans="1:8">
      <c r="A39" s="219" t="s">
        <v>268</v>
      </c>
      <c r="B39" s="848" t="s">
        <v>453</v>
      </c>
      <c r="C39" s="854" t="s">
        <v>454</v>
      </c>
      <c r="D39" s="867" t="s">
        <v>455</v>
      </c>
      <c r="E39" s="862" t="s">
        <v>622</v>
      </c>
      <c r="F39" s="497" t="s">
        <v>624</v>
      </c>
      <c r="G39" s="421" t="s">
        <v>625</v>
      </c>
      <c r="H39" s="492" t="s">
        <v>626</v>
      </c>
    </row>
    <row r="40" spans="1:8" ht="14.65" thickBot="1">
      <c r="A40" s="220" t="s">
        <v>18</v>
      </c>
      <c r="B40" s="847" t="s">
        <v>24</v>
      </c>
      <c r="C40" s="852" t="s">
        <v>24</v>
      </c>
      <c r="D40" s="868" t="s">
        <v>24</v>
      </c>
      <c r="E40" s="863" t="s">
        <v>71</v>
      </c>
      <c r="F40" s="6" t="s">
        <v>35</v>
      </c>
      <c r="G40" s="7" t="s">
        <v>35</v>
      </c>
      <c r="H40" s="24" t="s">
        <v>35</v>
      </c>
    </row>
    <row r="41" spans="1:8">
      <c r="A41" s="184" t="s">
        <v>72</v>
      </c>
      <c r="B41" s="864">
        <f>65.1372719696907%</f>
        <v>0.65137271969690702</v>
      </c>
      <c r="C41" s="865">
        <v>0.9</v>
      </c>
      <c r="D41" s="866">
        <f>B41*C41</f>
        <v>0.58623544772721636</v>
      </c>
      <c r="E41" s="638">
        <v>39002</v>
      </c>
      <c r="F41" s="227">
        <f t="shared" ref="F41:F55" si="0">$D$10*E41/1000000</f>
        <v>468.024</v>
      </c>
      <c r="G41" s="429">
        <f t="shared" ref="G41:G53" si="1">D41*F41</f>
        <v>274.3722591870827</v>
      </c>
      <c r="H41" s="467">
        <f t="shared" ref="H41:H53" si="2">F41*(1-D41)</f>
        <v>193.6517408129173</v>
      </c>
    </row>
    <row r="42" spans="1:8">
      <c r="A42" s="185" t="s">
        <v>73</v>
      </c>
      <c r="B42" s="850">
        <f>80.1532461104534%</f>
        <v>0.80153246110453391</v>
      </c>
      <c r="C42" s="856">
        <v>0.9</v>
      </c>
      <c r="D42" s="147">
        <f t="shared" ref="D42:D55" si="3">B42*C42</f>
        <v>0.72137921499408053</v>
      </c>
      <c r="E42" s="638">
        <v>28.6</v>
      </c>
      <c r="F42" s="229">
        <f t="shared" si="0"/>
        <v>0.34320000000000001</v>
      </c>
      <c r="G42" s="424">
        <f t="shared" si="1"/>
        <v>0.24757734658596844</v>
      </c>
      <c r="H42" s="468">
        <f t="shared" si="2"/>
        <v>9.5622653414031561E-2</v>
      </c>
    </row>
    <row r="43" spans="1:8">
      <c r="A43" s="186" t="s">
        <v>74</v>
      </c>
      <c r="B43" s="850">
        <f>15.8237349786312%</f>
        <v>0.15823734978631199</v>
      </c>
      <c r="C43" s="856">
        <v>0.9</v>
      </c>
      <c r="D43" s="147">
        <f t="shared" si="3"/>
        <v>0.14241361480768081</v>
      </c>
      <c r="E43" s="638">
        <v>159000</v>
      </c>
      <c r="F43" s="229">
        <f t="shared" si="0"/>
        <v>1908</v>
      </c>
      <c r="G43" s="424">
        <f t="shared" si="1"/>
        <v>271.72517705305495</v>
      </c>
      <c r="H43" s="468">
        <f t="shared" si="2"/>
        <v>1636.2748229469451</v>
      </c>
    </row>
    <row r="44" spans="1:8">
      <c r="A44" s="186" t="s">
        <v>75</v>
      </c>
      <c r="B44" s="850">
        <f>25.3487308161862%</f>
        <v>0.25348730816186199</v>
      </c>
      <c r="C44" s="856">
        <v>0.9</v>
      </c>
      <c r="D44" s="147">
        <f t="shared" si="3"/>
        <v>0.2281385773456758</v>
      </c>
      <c r="E44" s="638">
        <v>3.5</v>
      </c>
      <c r="F44" s="229">
        <f t="shared" si="0"/>
        <v>4.2000000000000003E-2</v>
      </c>
      <c r="G44" s="424">
        <f t="shared" si="1"/>
        <v>9.5818202485183843E-3</v>
      </c>
      <c r="H44" s="468">
        <f t="shared" si="2"/>
        <v>3.2418179751481618E-2</v>
      </c>
    </row>
    <row r="45" spans="1:8">
      <c r="A45" s="186" t="s">
        <v>76</v>
      </c>
      <c r="B45" s="850">
        <f>40.3565456881858%</f>
        <v>0.40356545688185796</v>
      </c>
      <c r="C45" s="856">
        <v>0.9</v>
      </c>
      <c r="D45" s="147">
        <f t="shared" si="3"/>
        <v>0.36320891119367216</v>
      </c>
      <c r="E45" s="638">
        <v>136</v>
      </c>
      <c r="F45" s="229">
        <f t="shared" si="0"/>
        <v>1.6319999999999999</v>
      </c>
      <c r="G45" s="424">
        <f t="shared" si="1"/>
        <v>0.59275694306807292</v>
      </c>
      <c r="H45" s="468">
        <f t="shared" si="2"/>
        <v>1.0392430569319269</v>
      </c>
    </row>
    <row r="46" spans="1:8">
      <c r="A46" s="186" t="s">
        <v>77</v>
      </c>
      <c r="B46" s="850">
        <f>23.3623011776807%</f>
        <v>0.233623011776807</v>
      </c>
      <c r="C46" s="856">
        <v>0.9</v>
      </c>
      <c r="D46" s="147">
        <f t="shared" si="3"/>
        <v>0.21026071059912629</v>
      </c>
      <c r="E46" s="638">
        <v>656</v>
      </c>
      <c r="F46" s="229">
        <f t="shared" si="0"/>
        <v>7.8719999999999999</v>
      </c>
      <c r="G46" s="424">
        <f t="shared" si="1"/>
        <v>1.6551723138363221</v>
      </c>
      <c r="H46" s="468">
        <f t="shared" si="2"/>
        <v>6.2168276861636773</v>
      </c>
    </row>
    <row r="47" spans="1:8">
      <c r="A47" s="186" t="s">
        <v>78</v>
      </c>
      <c r="B47" s="850">
        <f>50.7850017965906%</f>
        <v>0.50785001796590601</v>
      </c>
      <c r="C47" s="856">
        <v>0.9</v>
      </c>
      <c r="D47" s="147">
        <f t="shared" si="3"/>
        <v>0.45706501616931544</v>
      </c>
      <c r="E47" s="638">
        <v>87577</v>
      </c>
      <c r="F47" s="229">
        <f t="shared" si="0"/>
        <v>1050.924</v>
      </c>
      <c r="G47" s="424">
        <f t="shared" si="1"/>
        <v>480.34059505272165</v>
      </c>
      <c r="H47" s="468">
        <f t="shared" si="2"/>
        <v>570.58340494727827</v>
      </c>
    </row>
    <row r="48" spans="1:8">
      <c r="A48" s="186" t="s">
        <v>79</v>
      </c>
      <c r="B48" s="850">
        <f>76.0854782336761%</f>
        <v>0.76085478233676096</v>
      </c>
      <c r="C48" s="856">
        <v>0.9</v>
      </c>
      <c r="D48" s="147">
        <f t="shared" si="3"/>
        <v>0.6847693041030849</v>
      </c>
      <c r="E48" s="638">
        <v>8230</v>
      </c>
      <c r="F48" s="229">
        <f t="shared" si="0"/>
        <v>98.76</v>
      </c>
      <c r="G48" s="424">
        <f t="shared" si="1"/>
        <v>67.627816473220662</v>
      </c>
      <c r="H48" s="468">
        <f t="shared" si="2"/>
        <v>31.132183526779336</v>
      </c>
    </row>
    <row r="49" spans="1:8">
      <c r="A49" s="186" t="s">
        <v>80</v>
      </c>
      <c r="B49" s="850">
        <f>77.3600519043161%</f>
        <v>0.77360051904316096</v>
      </c>
      <c r="C49" s="856">
        <v>0.9</v>
      </c>
      <c r="D49" s="147">
        <f t="shared" si="3"/>
        <v>0.69624046713884491</v>
      </c>
      <c r="E49" s="638">
        <v>12900</v>
      </c>
      <c r="F49" s="229">
        <f t="shared" si="0"/>
        <v>154.80000000000001</v>
      </c>
      <c r="G49" s="424">
        <f t="shared" si="1"/>
        <v>107.7780243130932</v>
      </c>
      <c r="H49" s="468">
        <f t="shared" si="2"/>
        <v>47.021975686906814</v>
      </c>
    </row>
    <row r="50" spans="1:8">
      <c r="A50" s="186" t="s">
        <v>81</v>
      </c>
      <c r="B50" s="850">
        <f>82.0553097688045%</f>
        <v>0.82055309768804507</v>
      </c>
      <c r="C50" s="856">
        <v>0.9</v>
      </c>
      <c r="D50" s="147">
        <f t="shared" si="3"/>
        <v>0.73849778791924059</v>
      </c>
      <c r="E50" s="638">
        <v>8100</v>
      </c>
      <c r="F50" s="229">
        <f t="shared" si="0"/>
        <v>97.2</v>
      </c>
      <c r="G50" s="424">
        <f t="shared" si="1"/>
        <v>71.781984985750185</v>
      </c>
      <c r="H50" s="468">
        <f t="shared" si="2"/>
        <v>25.418015014249814</v>
      </c>
    </row>
    <row r="51" spans="1:8">
      <c r="A51" s="186" t="s">
        <v>82</v>
      </c>
      <c r="B51" s="850">
        <f>43.5768646693799%</f>
        <v>0.435768646693799</v>
      </c>
      <c r="C51" s="856">
        <v>0.9</v>
      </c>
      <c r="D51" s="147">
        <f t="shared" si="3"/>
        <v>0.39219178202441912</v>
      </c>
      <c r="E51" s="638">
        <v>125</v>
      </c>
      <c r="F51" s="229">
        <f t="shared" si="0"/>
        <v>1.5</v>
      </c>
      <c r="G51" s="424">
        <f t="shared" si="1"/>
        <v>0.58828767303662866</v>
      </c>
      <c r="H51" s="468">
        <f t="shared" si="2"/>
        <v>0.91171232696337123</v>
      </c>
    </row>
    <row r="52" spans="1:8">
      <c r="A52" s="186" t="s">
        <v>83</v>
      </c>
      <c r="B52" s="850">
        <f>87.5831413796529%</f>
        <v>0.87583141379652896</v>
      </c>
      <c r="C52" s="856">
        <v>0.9</v>
      </c>
      <c r="D52" s="147">
        <f t="shared" si="3"/>
        <v>0.78824827241687612</v>
      </c>
      <c r="E52" s="638">
        <v>81618</v>
      </c>
      <c r="F52" s="229">
        <f t="shared" si="0"/>
        <v>979.41600000000005</v>
      </c>
      <c r="G52" s="424">
        <f t="shared" si="1"/>
        <v>772.02296997744713</v>
      </c>
      <c r="H52" s="468">
        <f t="shared" si="2"/>
        <v>207.39303002255286</v>
      </c>
    </row>
    <row r="53" spans="1:8">
      <c r="A53" s="186" t="s">
        <v>84</v>
      </c>
      <c r="B53" s="850">
        <f>23.0493758838395%</f>
        <v>0.23049375883839499</v>
      </c>
      <c r="C53" s="856">
        <v>0.9</v>
      </c>
      <c r="D53" s="147">
        <f t="shared" si="3"/>
        <v>0.2074443829545555</v>
      </c>
      <c r="E53" s="638">
        <v>124</v>
      </c>
      <c r="F53" s="229">
        <f t="shared" si="0"/>
        <v>1.488</v>
      </c>
      <c r="G53" s="424">
        <f t="shared" si="1"/>
        <v>0.30867724183637857</v>
      </c>
      <c r="H53" s="468">
        <f t="shared" si="2"/>
        <v>1.1793227581636214</v>
      </c>
    </row>
    <row r="54" spans="1:8">
      <c r="A54" s="186" t="s">
        <v>85</v>
      </c>
      <c r="B54" s="850" t="s">
        <v>89</v>
      </c>
      <c r="C54" s="856">
        <v>0.9</v>
      </c>
      <c r="D54" s="147" t="s">
        <v>89</v>
      </c>
      <c r="E54" s="638">
        <v>18900</v>
      </c>
      <c r="F54" s="229">
        <f t="shared" si="0"/>
        <v>226.8</v>
      </c>
      <c r="G54" s="424" t="s">
        <v>89</v>
      </c>
      <c r="H54" s="468" t="s">
        <v>89</v>
      </c>
    </row>
    <row r="55" spans="1:8" ht="14.65" thickBot="1">
      <c r="A55" s="187" t="s">
        <v>86</v>
      </c>
      <c r="B55" s="851">
        <f>43.7894518370706%</f>
        <v>0.43789451837070603</v>
      </c>
      <c r="C55" s="857">
        <v>0.9</v>
      </c>
      <c r="D55" s="861">
        <f t="shared" si="3"/>
        <v>0.39410506653363542</v>
      </c>
      <c r="E55" s="858">
        <v>2353</v>
      </c>
      <c r="F55" s="230">
        <f t="shared" si="0"/>
        <v>28.236000000000001</v>
      </c>
      <c r="G55" s="435">
        <f>D55*F55</f>
        <v>11.12795065864373</v>
      </c>
      <c r="H55" s="469">
        <f>F55*(1-D55)</f>
        <v>17.108049341356271</v>
      </c>
    </row>
    <row r="56" spans="1:8">
      <c r="A56" s="5"/>
      <c r="B56" s="820"/>
    </row>
    <row r="57" spans="1:8" ht="14.65" thickBot="1">
      <c r="A57" s="79" t="s">
        <v>265</v>
      </c>
    </row>
    <row r="58" spans="1:8" ht="14.65" thickBot="1">
      <c r="A58" s="103" t="s">
        <v>90</v>
      </c>
      <c r="B58" s="102" t="s">
        <v>18</v>
      </c>
      <c r="C58" s="17" t="s">
        <v>91</v>
      </c>
    </row>
    <row r="59" spans="1:8">
      <c r="A59" s="272" t="s">
        <v>623</v>
      </c>
      <c r="B59" s="298" t="s">
        <v>35</v>
      </c>
      <c r="C59" s="294">
        <f>$C$23</f>
        <v>12000</v>
      </c>
    </row>
    <row r="60" spans="1:8">
      <c r="A60" s="815" t="s">
        <v>366</v>
      </c>
      <c r="B60" s="278" t="s">
        <v>35</v>
      </c>
      <c r="C60" s="297">
        <f>C25</f>
        <v>34008</v>
      </c>
    </row>
    <row r="61" spans="1:8">
      <c r="A61" s="257" t="s">
        <v>329</v>
      </c>
      <c r="B61" s="278" t="s">
        <v>35</v>
      </c>
      <c r="C61" s="289">
        <f>C26</f>
        <v>3600</v>
      </c>
    </row>
    <row r="62" spans="1:8">
      <c r="A62" s="257" t="s">
        <v>428</v>
      </c>
      <c r="B62" s="278" t="s">
        <v>35</v>
      </c>
      <c r="C62" s="289">
        <f>C31</f>
        <v>6600.0000000000009</v>
      </c>
    </row>
    <row r="63" spans="1:8" ht="14.65" thickBot="1">
      <c r="A63" s="255" t="s">
        <v>266</v>
      </c>
      <c r="B63" s="271" t="s">
        <v>35</v>
      </c>
      <c r="C63" s="256">
        <f>C59+C60+C61+C62</f>
        <v>56208</v>
      </c>
    </row>
    <row r="64" spans="1:8">
      <c r="A64" s="83"/>
      <c r="B64" s="77"/>
      <c r="C64" s="96"/>
    </row>
    <row r="65" spans="1:12" ht="14.65" thickBot="1">
      <c r="A65" s="79" t="s">
        <v>278</v>
      </c>
      <c r="B65" s="79"/>
      <c r="C65" s="79"/>
    </row>
    <row r="66" spans="1:12" ht="14.65" thickBot="1">
      <c r="A66" s="103" t="s">
        <v>90</v>
      </c>
      <c r="B66" s="102" t="s">
        <v>18</v>
      </c>
      <c r="C66" s="17" t="s">
        <v>91</v>
      </c>
    </row>
    <row r="67" spans="1:12">
      <c r="A67" s="272" t="s">
        <v>623</v>
      </c>
      <c r="B67" s="298" t="s">
        <v>35</v>
      </c>
      <c r="C67" s="294">
        <f>$C$23</f>
        <v>12000</v>
      </c>
    </row>
    <row r="68" spans="1:12">
      <c r="A68" s="257" t="s">
        <v>329</v>
      </c>
      <c r="B68" s="278" t="s">
        <v>35</v>
      </c>
      <c r="C68" s="295">
        <f>$C$26</f>
        <v>3600</v>
      </c>
    </row>
    <row r="69" spans="1:12">
      <c r="A69" s="257" t="s">
        <v>428</v>
      </c>
      <c r="B69" s="278" t="s">
        <v>35</v>
      </c>
      <c r="C69" s="295">
        <f>$C$31</f>
        <v>6600.0000000000009</v>
      </c>
    </row>
    <row r="70" spans="1:12">
      <c r="A70" s="257" t="s">
        <v>336</v>
      </c>
      <c r="B70" s="278" t="s">
        <v>35</v>
      </c>
      <c r="C70" s="279">
        <f>C67+C68+C69</f>
        <v>22200</v>
      </c>
    </row>
    <row r="71" spans="1:12">
      <c r="A71" s="257" t="s">
        <v>4</v>
      </c>
      <c r="B71" s="278" t="s">
        <v>35</v>
      </c>
      <c r="C71" s="279">
        <f>$C$63</f>
        <v>56208</v>
      </c>
    </row>
    <row r="72" spans="1:12">
      <c r="A72" s="299" t="s">
        <v>64</v>
      </c>
      <c r="B72" s="260" t="s">
        <v>24</v>
      </c>
      <c r="C72" s="300">
        <f>C70/C71</f>
        <v>0.39496157130657555</v>
      </c>
    </row>
    <row r="73" spans="1:12">
      <c r="A73" s="257" t="s">
        <v>366</v>
      </c>
      <c r="B73" s="278" t="s">
        <v>35</v>
      </c>
      <c r="C73" s="279">
        <f>$C$25</f>
        <v>34008</v>
      </c>
    </row>
    <row r="74" spans="1:12">
      <c r="A74" s="257" t="s">
        <v>333</v>
      </c>
      <c r="B74" s="278" t="s">
        <v>35</v>
      </c>
      <c r="C74" s="279">
        <f>C73</f>
        <v>34008</v>
      </c>
    </row>
    <row r="75" spans="1:12">
      <c r="A75" s="257" t="s">
        <v>4</v>
      </c>
      <c r="B75" s="278" t="s">
        <v>35</v>
      </c>
      <c r="C75" s="279">
        <f>$C$63</f>
        <v>56208</v>
      </c>
    </row>
    <row r="76" spans="1:12" ht="14.65" thickBot="1">
      <c r="A76" s="301" t="s">
        <v>66</v>
      </c>
      <c r="B76" s="277" t="s">
        <v>24</v>
      </c>
      <c r="C76" s="303">
        <f>C74/C75</f>
        <v>0.60503842869342439</v>
      </c>
    </row>
    <row r="77" spans="1:12">
      <c r="A77" s="83"/>
      <c r="B77" s="77"/>
      <c r="C77" s="96"/>
    </row>
    <row r="78" spans="1:12" ht="14.65" thickBot="1">
      <c r="A78" s="79" t="s">
        <v>92</v>
      </c>
    </row>
    <row r="79" spans="1:12" ht="14.65" thickBot="1">
      <c r="A79" s="419"/>
      <c r="B79" s="1028" t="s">
        <v>262</v>
      </c>
      <c r="C79" s="1029"/>
      <c r="D79" s="1029"/>
      <c r="E79" s="1029"/>
      <c r="F79" s="1030"/>
      <c r="G79" s="1028" t="s">
        <v>263</v>
      </c>
      <c r="H79" s="1029"/>
      <c r="I79" s="1029"/>
      <c r="J79" s="1029"/>
      <c r="K79" s="1029"/>
      <c r="L79" s="1031"/>
    </row>
    <row r="80" spans="1:12">
      <c r="A80" s="420"/>
      <c r="B80" s="1047" t="s">
        <v>270</v>
      </c>
      <c r="C80" s="1051" t="s">
        <v>243</v>
      </c>
      <c r="D80" s="1051" t="s">
        <v>256</v>
      </c>
      <c r="E80" s="1049" t="s">
        <v>336</v>
      </c>
      <c r="F80" s="1052" t="s">
        <v>266</v>
      </c>
      <c r="G80" s="1026" t="s">
        <v>269</v>
      </c>
      <c r="H80" s="1040"/>
      <c r="I80" s="1022" t="s">
        <v>267</v>
      </c>
      <c r="J80" s="1032"/>
      <c r="K80" s="1032"/>
      <c r="L80" s="1023"/>
    </row>
    <row r="81" spans="1:12">
      <c r="A81" s="92" t="s">
        <v>93</v>
      </c>
      <c r="B81" s="1048"/>
      <c r="C81" s="1050"/>
      <c r="D81" s="1050"/>
      <c r="E81" s="1050"/>
      <c r="F81" s="1053"/>
      <c r="G81" s="1033"/>
      <c r="H81" s="1046"/>
      <c r="I81" s="1033" t="s">
        <v>243</v>
      </c>
      <c r="J81" s="1034"/>
      <c r="K81" s="1034" t="s">
        <v>256</v>
      </c>
      <c r="L81" s="1035"/>
    </row>
    <row r="82" spans="1:12" ht="14.65" thickBot="1">
      <c r="A82" s="93" t="s">
        <v>18</v>
      </c>
      <c r="B82" s="153" t="s">
        <v>35</v>
      </c>
      <c r="C82" s="154" t="s">
        <v>35</v>
      </c>
      <c r="D82" s="154" t="s">
        <v>35</v>
      </c>
      <c r="E82" s="154" t="s">
        <v>35</v>
      </c>
      <c r="F82" s="423" t="s">
        <v>35</v>
      </c>
      <c r="G82" s="403" t="s">
        <v>257</v>
      </c>
      <c r="H82" s="423" t="s">
        <v>237</v>
      </c>
      <c r="I82" s="403" t="s">
        <v>70</v>
      </c>
      <c r="J82" s="154" t="s">
        <v>237</v>
      </c>
      <c r="K82" s="154" t="s">
        <v>70</v>
      </c>
      <c r="L82" s="155" t="s">
        <v>237</v>
      </c>
    </row>
    <row r="83" spans="1:12">
      <c r="A83" s="148" t="s">
        <v>72</v>
      </c>
      <c r="B83" s="159">
        <f>F41</f>
        <v>468.024</v>
      </c>
      <c r="C83" s="428">
        <f>G41</f>
        <v>274.3722591870827</v>
      </c>
      <c r="D83" s="428">
        <f>H41</f>
        <v>193.6517408129173</v>
      </c>
      <c r="E83" s="160">
        <f>$C$70</f>
        <v>22200</v>
      </c>
      <c r="F83" s="440">
        <f>$C$63</f>
        <v>56208</v>
      </c>
      <c r="G83" s="443">
        <f t="shared" ref="G83:G103" si="4">B83/E83*1000000</f>
        <v>21082.162162162163</v>
      </c>
      <c r="H83" s="554">
        <f>G83/1000000</f>
        <v>2.1082162162162164E-2</v>
      </c>
      <c r="I83" s="557">
        <f t="shared" ref="I83:I103" si="5">C83/F83*1000000</f>
        <v>4881.3738113272611</v>
      </c>
      <c r="J83" s="432">
        <f>I83/1000000</f>
        <v>4.8813738113272611E-3</v>
      </c>
      <c r="K83" s="431">
        <f t="shared" ref="K83:K103" si="6">D83/F83*1000000</f>
        <v>3445.2700827803387</v>
      </c>
      <c r="L83" s="433">
        <f>K83/1000000</f>
        <v>3.4452700827803389E-3</v>
      </c>
    </row>
    <row r="84" spans="1:12">
      <c r="A84" s="149" t="s">
        <v>73</v>
      </c>
      <c r="B84" s="161">
        <f>F42</f>
        <v>0.34320000000000001</v>
      </c>
      <c r="C84" s="235">
        <f>G42</f>
        <v>0.24757734658596844</v>
      </c>
      <c r="D84" s="235">
        <f>H42</f>
        <v>9.5622653414031561E-2</v>
      </c>
      <c r="E84" s="119">
        <f t="shared" ref="E84:E103" si="7">$C$70</f>
        <v>22200</v>
      </c>
      <c r="F84" s="441">
        <f t="shared" ref="F84:F103" si="8">$C$63</f>
        <v>56208</v>
      </c>
      <c r="G84" s="444">
        <f t="shared" si="4"/>
        <v>15.459459459459461</v>
      </c>
      <c r="H84" s="555">
        <f t="shared" ref="H84:H103" si="9">G84/1000000</f>
        <v>1.5459459459459461E-5</v>
      </c>
      <c r="I84" s="558">
        <f t="shared" si="5"/>
        <v>4.4046638661039079</v>
      </c>
      <c r="J84" s="427">
        <f t="shared" ref="J84:J103" si="10">I84/1000000</f>
        <v>4.4046638661039076E-6</v>
      </c>
      <c r="K84" s="426">
        <f t="shared" si="6"/>
        <v>1.7012285335545039</v>
      </c>
      <c r="L84" s="434">
        <f t="shared" ref="L84:L103" si="11">K84/1000000</f>
        <v>1.7012285335545039E-6</v>
      </c>
    </row>
    <row r="85" spans="1:12">
      <c r="A85" s="149" t="s">
        <v>74</v>
      </c>
      <c r="B85" s="161">
        <f>F43</f>
        <v>1908</v>
      </c>
      <c r="C85" s="235">
        <f>G43</f>
        <v>271.72517705305495</v>
      </c>
      <c r="D85" s="235">
        <f>H43</f>
        <v>1636.2748229469451</v>
      </c>
      <c r="E85" s="119">
        <f t="shared" si="7"/>
        <v>22200</v>
      </c>
      <c r="F85" s="441">
        <f t="shared" si="8"/>
        <v>56208</v>
      </c>
      <c r="G85" s="444">
        <f t="shared" si="4"/>
        <v>85945.945945945947</v>
      </c>
      <c r="H85" s="555">
        <f t="shared" si="9"/>
        <v>8.5945945945945942E-2</v>
      </c>
      <c r="I85" s="558">
        <f t="shared" si="5"/>
        <v>4834.2794095690106</v>
      </c>
      <c r="J85" s="427">
        <f t="shared" si="10"/>
        <v>4.8342794095690101E-3</v>
      </c>
      <c r="K85" s="426">
        <f t="shared" si="6"/>
        <v>29111.066448671809</v>
      </c>
      <c r="L85" s="434">
        <f t="shared" si="11"/>
        <v>2.9111066448671809E-2</v>
      </c>
    </row>
    <row r="86" spans="1:12">
      <c r="A86" s="149" t="s">
        <v>75</v>
      </c>
      <c r="B86" s="161">
        <f>F44</f>
        <v>4.2000000000000003E-2</v>
      </c>
      <c r="C86" s="235">
        <f>G44</f>
        <v>9.5818202485183843E-3</v>
      </c>
      <c r="D86" s="235">
        <f>H44</f>
        <v>3.2418179751481618E-2</v>
      </c>
      <c r="E86" s="119">
        <f t="shared" si="7"/>
        <v>22200</v>
      </c>
      <c r="F86" s="441">
        <f t="shared" si="8"/>
        <v>56208</v>
      </c>
      <c r="G86" s="444">
        <f t="shared" si="4"/>
        <v>1.8918918918918919</v>
      </c>
      <c r="H86" s="555">
        <f t="shared" si="9"/>
        <v>1.891891891891892E-6</v>
      </c>
      <c r="I86" s="558">
        <f t="shared" si="5"/>
        <v>0.17047075591585512</v>
      </c>
      <c r="J86" s="427">
        <f t="shared" si="10"/>
        <v>1.7047075591585512E-7</v>
      </c>
      <c r="K86" s="426">
        <f t="shared" si="6"/>
        <v>0.57675383844793648</v>
      </c>
      <c r="L86" s="434">
        <f t="shared" si="11"/>
        <v>5.7675383844793651E-7</v>
      </c>
    </row>
    <row r="87" spans="1:12">
      <c r="A87" s="149" t="s">
        <v>76</v>
      </c>
      <c r="B87" s="161">
        <f>F45</f>
        <v>1.6319999999999999</v>
      </c>
      <c r="C87" s="235">
        <f>G45</f>
        <v>0.59275694306807292</v>
      </c>
      <c r="D87" s="235">
        <f>H45</f>
        <v>1.0392430569319269</v>
      </c>
      <c r="E87" s="119">
        <f t="shared" si="7"/>
        <v>22200</v>
      </c>
      <c r="F87" s="441">
        <f t="shared" si="8"/>
        <v>56208</v>
      </c>
      <c r="G87" s="444">
        <f t="shared" si="4"/>
        <v>73.513513513513502</v>
      </c>
      <c r="H87" s="555">
        <f t="shared" si="9"/>
        <v>7.3513513513513503E-5</v>
      </c>
      <c r="I87" s="558">
        <f t="shared" si="5"/>
        <v>10.545775389056235</v>
      </c>
      <c r="J87" s="427">
        <f t="shared" si="10"/>
        <v>1.0545775389056236E-5</v>
      </c>
      <c r="K87" s="426">
        <f t="shared" si="6"/>
        <v>18.489237420508235</v>
      </c>
      <c r="L87" s="434">
        <f t="shared" si="11"/>
        <v>1.8489237420508236E-5</v>
      </c>
    </row>
    <row r="88" spans="1:12">
      <c r="A88" s="150" t="s">
        <v>77</v>
      </c>
      <c r="B88" s="161">
        <f>F46</f>
        <v>7.8719999999999999</v>
      </c>
      <c r="C88" s="235">
        <f>G46</f>
        <v>1.6551723138363221</v>
      </c>
      <c r="D88" s="235">
        <f>H46</f>
        <v>6.2168276861636773</v>
      </c>
      <c r="E88" s="119">
        <f t="shared" si="7"/>
        <v>22200</v>
      </c>
      <c r="F88" s="441">
        <f t="shared" si="8"/>
        <v>56208</v>
      </c>
      <c r="G88" s="444">
        <f t="shared" si="4"/>
        <v>354.59459459459458</v>
      </c>
      <c r="H88" s="555">
        <f t="shared" si="9"/>
        <v>3.545945945945946E-4</v>
      </c>
      <c r="I88" s="558">
        <f t="shared" si="5"/>
        <v>29.447272876393434</v>
      </c>
      <c r="J88" s="427">
        <f t="shared" si="10"/>
        <v>2.9447272876393435E-5</v>
      </c>
      <c r="K88" s="426">
        <f t="shared" si="6"/>
        <v>110.60396538150579</v>
      </c>
      <c r="L88" s="434">
        <f t="shared" si="11"/>
        <v>1.1060396538150579E-4</v>
      </c>
    </row>
    <row r="89" spans="1:12">
      <c r="A89" s="150" t="s">
        <v>78</v>
      </c>
      <c r="B89" s="161">
        <f>F47</f>
        <v>1050.924</v>
      </c>
      <c r="C89" s="235">
        <f>G47</f>
        <v>480.34059505272165</v>
      </c>
      <c r="D89" s="235">
        <f>H47</f>
        <v>570.58340494727827</v>
      </c>
      <c r="E89" s="119">
        <f t="shared" si="7"/>
        <v>22200</v>
      </c>
      <c r="F89" s="441">
        <f t="shared" si="8"/>
        <v>56208</v>
      </c>
      <c r="G89" s="444">
        <f t="shared" si="4"/>
        <v>47338.91891891892</v>
      </c>
      <c r="H89" s="555">
        <f t="shared" si="9"/>
        <v>4.7338918918918921E-2</v>
      </c>
      <c r="I89" s="558">
        <f t="shared" si="5"/>
        <v>8545.7691974936242</v>
      </c>
      <c r="J89" s="427">
        <f t="shared" si="10"/>
        <v>8.5457691974936238E-3</v>
      </c>
      <c r="K89" s="426">
        <f t="shared" si="6"/>
        <v>10151.284602677169</v>
      </c>
      <c r="L89" s="434">
        <f t="shared" si="11"/>
        <v>1.015128460267717E-2</v>
      </c>
    </row>
    <row r="90" spans="1:12">
      <c r="A90" s="150" t="s">
        <v>79</v>
      </c>
      <c r="B90" s="161">
        <f>F48</f>
        <v>98.76</v>
      </c>
      <c r="C90" s="235">
        <f>G48</f>
        <v>67.627816473220662</v>
      </c>
      <c r="D90" s="235">
        <f>H48</f>
        <v>31.132183526779336</v>
      </c>
      <c r="E90" s="119">
        <f t="shared" si="7"/>
        <v>22200</v>
      </c>
      <c r="F90" s="441">
        <f t="shared" si="8"/>
        <v>56208</v>
      </c>
      <c r="G90" s="444">
        <f t="shared" si="4"/>
        <v>4448.6486486486492</v>
      </c>
      <c r="H90" s="555">
        <f t="shared" si="9"/>
        <v>4.448648648648649E-3</v>
      </c>
      <c r="I90" s="558">
        <f t="shared" si="5"/>
        <v>1203.1706602836014</v>
      </c>
      <c r="J90" s="427">
        <f t="shared" si="10"/>
        <v>1.2031706602836014E-3</v>
      </c>
      <c r="K90" s="426">
        <f t="shared" si="6"/>
        <v>553.87460017754302</v>
      </c>
      <c r="L90" s="434">
        <f t="shared" si="11"/>
        <v>5.5387460017754296E-4</v>
      </c>
    </row>
    <row r="91" spans="1:12">
      <c r="A91" s="150" t="s">
        <v>80</v>
      </c>
      <c r="B91" s="161">
        <f>F49</f>
        <v>154.80000000000001</v>
      </c>
      <c r="C91" s="235">
        <f>G49</f>
        <v>107.7780243130932</v>
      </c>
      <c r="D91" s="235">
        <f>H49</f>
        <v>47.021975686906814</v>
      </c>
      <c r="E91" s="119">
        <f t="shared" si="7"/>
        <v>22200</v>
      </c>
      <c r="F91" s="441">
        <f t="shared" si="8"/>
        <v>56208</v>
      </c>
      <c r="G91" s="444">
        <f t="shared" si="4"/>
        <v>6972.9729729729743</v>
      </c>
      <c r="H91" s="555">
        <f t="shared" si="9"/>
        <v>6.9729729729729739E-3</v>
      </c>
      <c r="I91" s="558">
        <f t="shared" si="5"/>
        <v>1917.4854880638557</v>
      </c>
      <c r="J91" s="427">
        <f t="shared" si="10"/>
        <v>1.9174854880638556E-3</v>
      </c>
      <c r="K91" s="426">
        <f t="shared" si="6"/>
        <v>836.5708740198337</v>
      </c>
      <c r="L91" s="434">
        <f t="shared" si="11"/>
        <v>8.3657087401983374E-4</v>
      </c>
    </row>
    <row r="92" spans="1:12">
      <c r="A92" s="150" t="s">
        <v>81</v>
      </c>
      <c r="B92" s="161">
        <f>F50</f>
        <v>97.2</v>
      </c>
      <c r="C92" s="235">
        <f>G50</f>
        <v>71.781984985750185</v>
      </c>
      <c r="D92" s="235">
        <f>H50</f>
        <v>25.418015014249814</v>
      </c>
      <c r="E92" s="119">
        <f t="shared" si="7"/>
        <v>22200</v>
      </c>
      <c r="F92" s="441">
        <f t="shared" si="8"/>
        <v>56208</v>
      </c>
      <c r="G92" s="444">
        <f t="shared" si="4"/>
        <v>4378.3783783783783</v>
      </c>
      <c r="H92" s="555">
        <f t="shared" si="9"/>
        <v>4.3783783783783786E-3</v>
      </c>
      <c r="I92" s="558">
        <f t="shared" si="5"/>
        <v>1277.0777288953564</v>
      </c>
      <c r="J92" s="427">
        <f t="shared" si="10"/>
        <v>1.2770777288953563E-3</v>
      </c>
      <c r="K92" s="426">
        <f t="shared" si="6"/>
        <v>452.21347520370438</v>
      </c>
      <c r="L92" s="434">
        <f t="shared" si="11"/>
        <v>4.5221347520370438E-4</v>
      </c>
    </row>
    <row r="93" spans="1:12">
      <c r="A93" s="150" t="s">
        <v>82</v>
      </c>
      <c r="B93" s="161">
        <f>F51</f>
        <v>1.5</v>
      </c>
      <c r="C93" s="235">
        <f>G51</f>
        <v>0.58828767303662866</v>
      </c>
      <c r="D93" s="235">
        <f>H51</f>
        <v>0.91171232696337123</v>
      </c>
      <c r="E93" s="119">
        <f t="shared" si="7"/>
        <v>22200</v>
      </c>
      <c r="F93" s="441">
        <f t="shared" si="8"/>
        <v>56208</v>
      </c>
      <c r="G93" s="444">
        <f t="shared" si="4"/>
        <v>67.567567567567565</v>
      </c>
      <c r="H93" s="555">
        <f t="shared" si="9"/>
        <v>6.7567567567567569E-5</v>
      </c>
      <c r="I93" s="558">
        <f t="shared" si="5"/>
        <v>10.46626232985747</v>
      </c>
      <c r="J93" s="427">
        <f t="shared" si="10"/>
        <v>1.046626232985747E-5</v>
      </c>
      <c r="K93" s="426">
        <f t="shared" si="6"/>
        <v>16.220330325992229</v>
      </c>
      <c r="L93" s="434">
        <f t="shared" si="11"/>
        <v>1.6220330325992231E-5</v>
      </c>
    </row>
    <row r="94" spans="1:12">
      <c r="A94" s="150" t="s">
        <v>630</v>
      </c>
      <c r="B94" s="161">
        <f>F52</f>
        <v>979.41600000000005</v>
      </c>
      <c r="C94" s="235">
        <f>G52</f>
        <v>772.02296997744713</v>
      </c>
      <c r="D94" s="235">
        <f>H52</f>
        <v>207.39303002255286</v>
      </c>
      <c r="E94" s="119">
        <f t="shared" si="7"/>
        <v>22200</v>
      </c>
      <c r="F94" s="441">
        <f t="shared" si="8"/>
        <v>56208</v>
      </c>
      <c r="G94" s="444">
        <f t="shared" si="4"/>
        <v>44117.83783783784</v>
      </c>
      <c r="H94" s="555">
        <f t="shared" si="9"/>
        <v>4.4117837837837841E-2</v>
      </c>
      <c r="I94" s="558">
        <f t="shared" si="5"/>
        <v>13735.108347164944</v>
      </c>
      <c r="J94" s="427">
        <f t="shared" si="10"/>
        <v>1.3735108347164944E-2</v>
      </c>
      <c r="K94" s="426">
        <f t="shared" si="6"/>
        <v>3689.7422079161838</v>
      </c>
      <c r="L94" s="434">
        <f t="shared" si="11"/>
        <v>3.689742207916184E-3</v>
      </c>
    </row>
    <row r="95" spans="1:12">
      <c r="A95" s="150" t="s">
        <v>96</v>
      </c>
      <c r="B95" s="161">
        <f>$C$31*31/98</f>
        <v>2087.7551020408168</v>
      </c>
      <c r="C95" s="235">
        <f>$C$31*31/98</f>
        <v>2087.7551020408168</v>
      </c>
      <c r="D95" s="235">
        <v>0</v>
      </c>
      <c r="E95" s="119">
        <f t="shared" si="7"/>
        <v>22200</v>
      </c>
      <c r="F95" s="441">
        <f t="shared" si="8"/>
        <v>56208</v>
      </c>
      <c r="G95" s="444">
        <f t="shared" si="4"/>
        <v>94043.022614451198</v>
      </c>
      <c r="H95" s="555">
        <f t="shared" si="9"/>
        <v>9.4043022614451202E-2</v>
      </c>
      <c r="I95" s="558">
        <f t="shared" si="5"/>
        <v>37143.379982223472</v>
      </c>
      <c r="J95" s="427">
        <f t="shared" si="10"/>
        <v>3.7143379982223473E-2</v>
      </c>
      <c r="K95" s="426">
        <f t="shared" si="6"/>
        <v>0</v>
      </c>
      <c r="L95" s="434">
        <f t="shared" si="11"/>
        <v>0</v>
      </c>
    </row>
    <row r="96" spans="1:12">
      <c r="A96" s="150" t="s">
        <v>97</v>
      </c>
      <c r="B96" s="161">
        <f>B94+B95</f>
        <v>3067.171102040817</v>
      </c>
      <c r="C96" s="235">
        <f>C94+C95</f>
        <v>2859.7780720182641</v>
      </c>
      <c r="D96" s="235">
        <f>D94+D95</f>
        <v>207.39303002255286</v>
      </c>
      <c r="E96" s="119">
        <f t="shared" si="7"/>
        <v>22200</v>
      </c>
      <c r="F96" s="441">
        <f t="shared" si="8"/>
        <v>56208</v>
      </c>
      <c r="G96" s="444">
        <f t="shared" si="4"/>
        <v>138160.86045228905</v>
      </c>
      <c r="H96" s="555">
        <f t="shared" si="9"/>
        <v>0.13816086045228906</v>
      </c>
      <c r="I96" s="558">
        <f t="shared" si="5"/>
        <v>50878.48832938842</v>
      </c>
      <c r="J96" s="427">
        <f t="shared" si="10"/>
        <v>5.0878488329388419E-2</v>
      </c>
      <c r="K96" s="426">
        <f t="shared" si="6"/>
        <v>3689.7422079161838</v>
      </c>
      <c r="L96" s="434">
        <f t="shared" si="11"/>
        <v>3.689742207916184E-3</v>
      </c>
    </row>
    <row r="97" spans="1:12">
      <c r="A97" s="150" t="s">
        <v>84</v>
      </c>
      <c r="B97" s="161">
        <f>F53</f>
        <v>1.488</v>
      </c>
      <c r="C97" s="235">
        <f>G53</f>
        <v>0.30867724183637857</v>
      </c>
      <c r="D97" s="235">
        <f>H53</f>
        <v>1.1793227581636214</v>
      </c>
      <c r="E97" s="119">
        <f t="shared" si="7"/>
        <v>22200</v>
      </c>
      <c r="F97" s="441">
        <f t="shared" si="8"/>
        <v>56208</v>
      </c>
      <c r="G97" s="444">
        <f t="shared" si="4"/>
        <v>67.027027027027032</v>
      </c>
      <c r="H97" s="555">
        <f t="shared" si="9"/>
        <v>6.7027027027027027E-5</v>
      </c>
      <c r="I97" s="558">
        <f t="shared" si="5"/>
        <v>5.4916958766790955</v>
      </c>
      <c r="J97" s="427">
        <f t="shared" si="10"/>
        <v>5.4916958766790953E-6</v>
      </c>
      <c r="K97" s="426">
        <f t="shared" si="6"/>
        <v>20.981404037923809</v>
      </c>
      <c r="L97" s="434">
        <f t="shared" si="11"/>
        <v>2.0981404037923809E-5</v>
      </c>
    </row>
    <row r="98" spans="1:12">
      <c r="A98" s="150" t="s">
        <v>631</v>
      </c>
      <c r="B98" s="161">
        <f>F54</f>
        <v>226.8</v>
      </c>
      <c r="C98" s="235">
        <v>0</v>
      </c>
      <c r="D98" s="235">
        <f>F54</f>
        <v>226.8</v>
      </c>
      <c r="E98" s="119">
        <f t="shared" si="7"/>
        <v>22200</v>
      </c>
      <c r="F98" s="441">
        <f t="shared" si="8"/>
        <v>56208</v>
      </c>
      <c r="G98" s="444">
        <f t="shared" si="4"/>
        <v>10216.216216216217</v>
      </c>
      <c r="H98" s="555">
        <f t="shared" si="9"/>
        <v>1.0216216216216217E-2</v>
      </c>
      <c r="I98" s="558">
        <f t="shared" si="5"/>
        <v>0</v>
      </c>
      <c r="J98" s="427">
        <f t="shared" si="10"/>
        <v>0</v>
      </c>
      <c r="K98" s="426">
        <f t="shared" si="6"/>
        <v>4035.0128095644745</v>
      </c>
      <c r="L98" s="434">
        <f t="shared" si="11"/>
        <v>4.0350128095644746E-3</v>
      </c>
    </row>
    <row r="99" spans="1:12">
      <c r="A99" s="150" t="s">
        <v>250</v>
      </c>
      <c r="B99" s="161">
        <f>$C$26*32/98</f>
        <v>1175.5102040816328</v>
      </c>
      <c r="C99" s="235">
        <v>0</v>
      </c>
      <c r="D99" s="235">
        <f>$C$26*32/98</f>
        <v>1175.5102040816328</v>
      </c>
      <c r="E99" s="119">
        <f t="shared" si="7"/>
        <v>22200</v>
      </c>
      <c r="F99" s="441">
        <f t="shared" si="8"/>
        <v>56208</v>
      </c>
      <c r="G99" s="444">
        <f t="shared" si="4"/>
        <v>52950.910093767241</v>
      </c>
      <c r="H99" s="555">
        <f t="shared" si="9"/>
        <v>5.2950910093767241E-2</v>
      </c>
      <c r="I99" s="558">
        <f t="shared" si="5"/>
        <v>0</v>
      </c>
      <c r="J99" s="427">
        <f t="shared" si="10"/>
        <v>0</v>
      </c>
      <c r="K99" s="426">
        <f t="shared" si="6"/>
        <v>20913.574652747524</v>
      </c>
      <c r="L99" s="434">
        <f t="shared" si="11"/>
        <v>2.0913574652747523E-2</v>
      </c>
    </row>
    <row r="100" spans="1:12">
      <c r="A100" s="150" t="s">
        <v>251</v>
      </c>
      <c r="B100" s="161">
        <f>B98+B99</f>
        <v>1402.3102040816327</v>
      </c>
      <c r="C100" s="235">
        <v>0</v>
      </c>
      <c r="D100" s="235">
        <f>D98+D99</f>
        <v>1402.3102040816327</v>
      </c>
      <c r="E100" s="119">
        <f t="shared" si="7"/>
        <v>22200</v>
      </c>
      <c r="F100" s="441">
        <f t="shared" si="8"/>
        <v>56208</v>
      </c>
      <c r="G100" s="444">
        <f t="shared" si="4"/>
        <v>63167.126309983461</v>
      </c>
      <c r="H100" s="555">
        <f t="shared" si="9"/>
        <v>6.316712630998346E-2</v>
      </c>
      <c r="I100" s="558">
        <f t="shared" si="5"/>
        <v>0</v>
      </c>
      <c r="J100" s="427">
        <f t="shared" si="10"/>
        <v>0</v>
      </c>
      <c r="K100" s="426">
        <f t="shared" si="6"/>
        <v>24948.587462311996</v>
      </c>
      <c r="L100" s="434">
        <f t="shared" si="11"/>
        <v>2.4948587462311995E-2</v>
      </c>
    </row>
    <row r="101" spans="1:12">
      <c r="A101" s="151" t="s">
        <v>238</v>
      </c>
      <c r="B101" s="161">
        <f>B100/32*96</f>
        <v>4206.9306122448979</v>
      </c>
      <c r="C101" s="235">
        <v>0</v>
      </c>
      <c r="D101" s="235">
        <f>D100/32*96</f>
        <v>4206.9306122448979</v>
      </c>
      <c r="E101" s="119">
        <f t="shared" si="7"/>
        <v>22200</v>
      </c>
      <c r="F101" s="441">
        <f t="shared" si="8"/>
        <v>56208</v>
      </c>
      <c r="G101" s="444">
        <f t="shared" si="4"/>
        <v>189501.37892995036</v>
      </c>
      <c r="H101" s="555">
        <f t="shared" si="9"/>
        <v>0.18950137892995036</v>
      </c>
      <c r="I101" s="558">
        <f t="shared" si="5"/>
        <v>0</v>
      </c>
      <c r="J101" s="427">
        <f t="shared" si="10"/>
        <v>0</v>
      </c>
      <c r="K101" s="426">
        <f t="shared" si="6"/>
        <v>74845.762386935996</v>
      </c>
      <c r="L101" s="434">
        <f t="shared" si="11"/>
        <v>7.4845762386935993E-2</v>
      </c>
    </row>
    <row r="102" spans="1:12">
      <c r="A102" s="151" t="s">
        <v>239</v>
      </c>
      <c r="B102" s="161">
        <f>B100/32*136</f>
        <v>5959.8183673469393</v>
      </c>
      <c r="C102" s="235">
        <v>0</v>
      </c>
      <c r="D102" s="235">
        <f>D100/32*136</f>
        <v>5959.8183673469393</v>
      </c>
      <c r="E102" s="119">
        <f t="shared" si="7"/>
        <v>22200</v>
      </c>
      <c r="F102" s="441">
        <f t="shared" si="8"/>
        <v>56208</v>
      </c>
      <c r="G102" s="444">
        <f t="shared" si="4"/>
        <v>268460.2868174297</v>
      </c>
      <c r="H102" s="555">
        <f t="shared" si="9"/>
        <v>0.26846028681742973</v>
      </c>
      <c r="I102" s="558">
        <f t="shared" si="5"/>
        <v>0</v>
      </c>
      <c r="J102" s="427">
        <f t="shared" si="10"/>
        <v>0</v>
      </c>
      <c r="K102" s="426">
        <f t="shared" si="6"/>
        <v>106031.49671482599</v>
      </c>
      <c r="L102" s="434">
        <f t="shared" si="11"/>
        <v>0.10603149671482599</v>
      </c>
    </row>
    <row r="103" spans="1:12" ht="14.65" thickBot="1">
      <c r="A103" s="152" t="s">
        <v>86</v>
      </c>
      <c r="B103" s="162">
        <f>F55</f>
        <v>28.236000000000001</v>
      </c>
      <c r="C103" s="236">
        <f>G55</f>
        <v>11.12795065864373</v>
      </c>
      <c r="D103" s="236">
        <f>H55</f>
        <v>17.108049341356271</v>
      </c>
      <c r="E103" s="135">
        <f t="shared" si="7"/>
        <v>22200</v>
      </c>
      <c r="F103" s="442">
        <f t="shared" si="8"/>
        <v>56208</v>
      </c>
      <c r="G103" s="445">
        <f t="shared" si="4"/>
        <v>1271.8918918918919</v>
      </c>
      <c r="H103" s="556">
        <f t="shared" si="9"/>
        <v>1.271891891891892E-3</v>
      </c>
      <c r="I103" s="559">
        <f t="shared" si="5"/>
        <v>197.9780575477464</v>
      </c>
      <c r="J103" s="438">
        <f t="shared" si="10"/>
        <v>1.979780575477464E-4</v>
      </c>
      <c r="K103" s="437">
        <f t="shared" si="6"/>
        <v>304.37036260596841</v>
      </c>
      <c r="L103" s="439">
        <f t="shared" si="11"/>
        <v>3.0437036260596841E-4</v>
      </c>
    </row>
    <row r="105" spans="1:12">
      <c r="A105" s="1" t="s">
        <v>98</v>
      </c>
      <c r="B105" s="1"/>
      <c r="C105" s="1"/>
    </row>
    <row r="106" spans="1:12" ht="14.65" thickBot="1">
      <c r="A106" s="79" t="s">
        <v>360</v>
      </c>
      <c r="B106" s="79"/>
      <c r="C106" s="79"/>
    </row>
    <row r="107" spans="1:12">
      <c r="A107" s="496" t="s">
        <v>100</v>
      </c>
      <c r="B107" s="493">
        <v>0.05</v>
      </c>
      <c r="C107" s="304" t="s">
        <v>101</v>
      </c>
    </row>
    <row r="108" spans="1:12">
      <c r="A108" s="392" t="s">
        <v>102</v>
      </c>
      <c r="B108" s="494">
        <v>1.86</v>
      </c>
      <c r="C108" s="72" t="s">
        <v>103</v>
      </c>
    </row>
    <row r="109" spans="1:12">
      <c r="A109" s="392" t="s">
        <v>104</v>
      </c>
      <c r="B109" s="494">
        <v>0.997</v>
      </c>
      <c r="C109" s="72" t="s">
        <v>103</v>
      </c>
    </row>
    <row r="110" spans="1:12">
      <c r="A110" s="392" t="s">
        <v>105</v>
      </c>
      <c r="B110" s="494">
        <v>1.0206786471090072</v>
      </c>
      <c r="C110" s="72" t="s">
        <v>103</v>
      </c>
    </row>
    <row r="111" spans="1:12">
      <c r="A111" s="921" t="s">
        <v>475</v>
      </c>
      <c r="B111" s="924">
        <v>0.02</v>
      </c>
      <c r="C111" s="72" t="s">
        <v>25</v>
      </c>
    </row>
    <row r="112" spans="1:12">
      <c r="A112" s="922" t="s">
        <v>646</v>
      </c>
      <c r="B112" s="925">
        <v>0.9</v>
      </c>
      <c r="C112" s="72" t="s">
        <v>237</v>
      </c>
    </row>
    <row r="113" spans="1:5" ht="14.65" thickBot="1">
      <c r="A113" s="233" t="s">
        <v>476</v>
      </c>
      <c r="B113" s="927">
        <f>B111*B112</f>
        <v>1.8000000000000002E-2</v>
      </c>
      <c r="C113" s="76" t="s">
        <v>25</v>
      </c>
    </row>
    <row r="115" spans="1:5" ht="14.65" thickBot="1">
      <c r="A115" s="79" t="s">
        <v>271</v>
      </c>
    </row>
    <row r="116" spans="1:5" ht="14.65" thickBot="1">
      <c r="A116" s="103" t="s">
        <v>53</v>
      </c>
      <c r="B116" s="102" t="s">
        <v>18</v>
      </c>
      <c r="C116" s="17" t="s">
        <v>106</v>
      </c>
    </row>
    <row r="117" spans="1:5">
      <c r="A117" s="243" t="s">
        <v>4</v>
      </c>
      <c r="B117" s="269" t="s">
        <v>35</v>
      </c>
      <c r="C117" s="386">
        <f>C63</f>
        <v>56208</v>
      </c>
    </row>
    <row r="118" spans="1:5">
      <c r="A118" s="392" t="s">
        <v>107</v>
      </c>
      <c r="B118" s="105" t="s">
        <v>108</v>
      </c>
      <c r="C118" s="450">
        <v>1.3</v>
      </c>
    </row>
    <row r="119" spans="1:5">
      <c r="A119" s="257" t="s">
        <v>109</v>
      </c>
      <c r="B119" s="105" t="s">
        <v>110</v>
      </c>
      <c r="C119" s="84">
        <f>C117/C118</f>
        <v>43236.923076923078</v>
      </c>
    </row>
    <row r="120" spans="1:5">
      <c r="A120" s="281" t="s">
        <v>334</v>
      </c>
      <c r="B120" s="305" t="s">
        <v>25</v>
      </c>
      <c r="C120" s="306">
        <f>$B$113</f>
        <v>1.8000000000000002E-2</v>
      </c>
    </row>
    <row r="121" spans="1:5">
      <c r="A121" s="281" t="s">
        <v>111</v>
      </c>
      <c r="B121" s="278" t="s">
        <v>110</v>
      </c>
      <c r="C121" s="289">
        <f>C119*C120</f>
        <v>778.26461538461547</v>
      </c>
    </row>
    <row r="122" spans="1:5">
      <c r="A122" s="281" t="s">
        <v>112</v>
      </c>
      <c r="B122" s="278" t="s">
        <v>108</v>
      </c>
      <c r="C122" s="307">
        <f>B110</f>
        <v>1.0206786471090072</v>
      </c>
    </row>
    <row r="123" spans="1:5" ht="14.65" thickBot="1">
      <c r="A123" s="255" t="s">
        <v>334</v>
      </c>
      <c r="B123" s="271" t="s">
        <v>35</v>
      </c>
      <c r="C123" s="822">
        <f>C121*C122</f>
        <v>794.35807472358113</v>
      </c>
      <c r="D123" s="820"/>
      <c r="E123" s="820"/>
    </row>
    <row r="124" spans="1:5">
      <c r="A124" s="83"/>
      <c r="B124" s="77"/>
      <c r="C124" s="96"/>
    </row>
    <row r="125" spans="1:5" ht="14.65" thickBot="1">
      <c r="A125" s="79" t="s">
        <v>119</v>
      </c>
    </row>
    <row r="126" spans="1:5" ht="14.65" thickBot="1">
      <c r="A126" s="905" t="s">
        <v>23</v>
      </c>
      <c r="B126" s="1070">
        <v>1.7</v>
      </c>
      <c r="C126" s="1071"/>
    </row>
    <row r="127" spans="1:5" ht="14.65" thickBot="1">
      <c r="A127" s="2"/>
      <c r="B127" s="1072" t="s">
        <v>120</v>
      </c>
      <c r="C127" s="1073"/>
    </row>
    <row r="128" spans="1:5">
      <c r="A128" s="703" t="s">
        <v>77</v>
      </c>
      <c r="B128" s="880" t="s">
        <v>157</v>
      </c>
      <c r="C128" s="906">
        <v>0.99</v>
      </c>
    </row>
    <row r="129" spans="1:4">
      <c r="A129" s="232" t="s">
        <v>73</v>
      </c>
      <c r="B129" s="881" t="s">
        <v>158</v>
      </c>
      <c r="C129" s="882">
        <v>0.9</v>
      </c>
    </row>
    <row r="130" spans="1:4">
      <c r="A130" s="232" t="s">
        <v>86</v>
      </c>
      <c r="B130" s="881" t="s">
        <v>159</v>
      </c>
      <c r="C130" s="882">
        <v>0.95</v>
      </c>
    </row>
    <row r="131" spans="1:4">
      <c r="A131" s="232" t="s">
        <v>82</v>
      </c>
      <c r="B131" s="881" t="s">
        <v>160</v>
      </c>
      <c r="C131" s="907">
        <v>2.5000000000000001E-2</v>
      </c>
    </row>
    <row r="132" spans="1:4">
      <c r="A132" s="232" t="s">
        <v>72</v>
      </c>
      <c r="B132" s="881" t="s">
        <v>160</v>
      </c>
      <c r="C132" s="907">
        <v>2.5000000000000001E-2</v>
      </c>
    </row>
    <row r="133" spans="1:4">
      <c r="A133" s="232" t="s">
        <v>78</v>
      </c>
      <c r="B133" s="881" t="s">
        <v>160</v>
      </c>
      <c r="C133" s="907">
        <v>2.5000000000000001E-2</v>
      </c>
    </row>
    <row r="134" spans="1:4">
      <c r="A134" s="232" t="s">
        <v>80</v>
      </c>
      <c r="B134" s="881" t="s">
        <v>160</v>
      </c>
      <c r="C134" s="907">
        <v>2.5000000000000001E-2</v>
      </c>
    </row>
    <row r="135" spans="1:4">
      <c r="A135" s="232" t="s">
        <v>83</v>
      </c>
      <c r="B135" s="881" t="s">
        <v>160</v>
      </c>
      <c r="C135" s="907">
        <v>2.5000000000000001E-2</v>
      </c>
    </row>
    <row r="136" spans="1:4">
      <c r="A136" s="232" t="s">
        <v>79</v>
      </c>
      <c r="B136" s="881" t="s">
        <v>160</v>
      </c>
      <c r="C136" s="907">
        <v>2.5000000000000001E-2</v>
      </c>
    </row>
    <row r="137" spans="1:4">
      <c r="A137" s="232" t="s">
        <v>75</v>
      </c>
      <c r="B137" s="881" t="s">
        <v>322</v>
      </c>
      <c r="C137" s="908">
        <v>2.5000000000000001E-2</v>
      </c>
    </row>
    <row r="138" spans="1:4" ht="14.65" thickBot="1">
      <c r="A138" s="233" t="s">
        <v>84</v>
      </c>
      <c r="B138" s="883" t="s">
        <v>323</v>
      </c>
      <c r="C138" s="909">
        <v>2.5000000000000001E-2</v>
      </c>
    </row>
    <row r="139" spans="1:4">
      <c r="A139" s="78"/>
      <c r="B139" s="97"/>
      <c r="C139" s="98"/>
    </row>
    <row r="140" spans="1:4" ht="14.65" thickBot="1">
      <c r="A140" s="79" t="s">
        <v>273</v>
      </c>
    </row>
    <row r="141" spans="1:4">
      <c r="A141" s="18"/>
      <c r="B141" s="266" t="s">
        <v>120</v>
      </c>
      <c r="C141" s="274" t="s">
        <v>243</v>
      </c>
      <c r="D141" s="275" t="s">
        <v>244</v>
      </c>
    </row>
    <row r="142" spans="1:4" ht="14.65" thickBot="1">
      <c r="A142" s="21"/>
      <c r="B142" s="451" t="s">
        <v>24</v>
      </c>
      <c r="C142" s="154" t="s">
        <v>35</v>
      </c>
      <c r="D142" s="155" t="s">
        <v>35</v>
      </c>
    </row>
    <row r="143" spans="1:4">
      <c r="A143" s="184" t="s">
        <v>72</v>
      </c>
      <c r="B143" s="399">
        <f>C132</f>
        <v>2.5000000000000001E-2</v>
      </c>
      <c r="C143" s="428">
        <f>G41</f>
        <v>274.3722591870827</v>
      </c>
      <c r="D143" s="122">
        <f>C143*B143</f>
        <v>6.859306479677068</v>
      </c>
    </row>
    <row r="144" spans="1:4">
      <c r="A144" s="185" t="s">
        <v>73</v>
      </c>
      <c r="B144" s="352">
        <f>C129</f>
        <v>0.9</v>
      </c>
      <c r="C144" s="235">
        <f>G42</f>
        <v>0.24757734658596844</v>
      </c>
      <c r="D144" s="87">
        <f>C144*B144</f>
        <v>0.2228196119273716</v>
      </c>
    </row>
    <row r="145" spans="1:4">
      <c r="A145" s="185" t="s">
        <v>75</v>
      </c>
      <c r="B145" s="400">
        <f>C137</f>
        <v>2.5000000000000001E-2</v>
      </c>
      <c r="C145" s="235">
        <f>G44</f>
        <v>9.5818202485183843E-3</v>
      </c>
      <c r="D145" s="739">
        <f t="shared" ref="D145:D161" si="12">C145*B145</f>
        <v>2.3954550621295962E-4</v>
      </c>
    </row>
    <row r="146" spans="1:4">
      <c r="A146" s="186" t="s">
        <v>77</v>
      </c>
      <c r="B146" s="352">
        <f>C128</f>
        <v>0.99</v>
      </c>
      <c r="C146" s="235">
        <f>G46</f>
        <v>1.6551723138363221</v>
      </c>
      <c r="D146" s="87">
        <f t="shared" si="12"/>
        <v>1.638620590697959</v>
      </c>
    </row>
    <row r="147" spans="1:4">
      <c r="A147" s="186" t="s">
        <v>78</v>
      </c>
      <c r="B147" s="400">
        <f>C133</f>
        <v>2.5000000000000001E-2</v>
      </c>
      <c r="C147" s="235">
        <f>G47</f>
        <v>480.34059505272165</v>
      </c>
      <c r="D147" s="87">
        <f t="shared" si="12"/>
        <v>12.008514876318042</v>
      </c>
    </row>
    <row r="148" spans="1:4">
      <c r="A148" s="186" t="s">
        <v>79</v>
      </c>
      <c r="B148" s="400">
        <f>C136</f>
        <v>2.5000000000000001E-2</v>
      </c>
      <c r="C148" s="235">
        <f>G48</f>
        <v>67.627816473220662</v>
      </c>
      <c r="D148" s="87">
        <f t="shared" si="12"/>
        <v>1.6906954118305166</v>
      </c>
    </row>
    <row r="149" spans="1:4">
      <c r="A149" s="186" t="s">
        <v>80</v>
      </c>
      <c r="B149" s="400">
        <f>C134</f>
        <v>2.5000000000000001E-2</v>
      </c>
      <c r="C149" s="235">
        <f>G49</f>
        <v>107.7780243130932</v>
      </c>
      <c r="D149" s="87">
        <f t="shared" si="12"/>
        <v>2.69445060782733</v>
      </c>
    </row>
    <row r="150" spans="1:4">
      <c r="A150" s="186" t="s">
        <v>82</v>
      </c>
      <c r="B150" s="400">
        <f>C131</f>
        <v>2.5000000000000001E-2</v>
      </c>
      <c r="C150" s="235">
        <f>G51</f>
        <v>0.58828767303662866</v>
      </c>
      <c r="D150" s="87">
        <f t="shared" si="12"/>
        <v>1.4707191825915717E-2</v>
      </c>
    </row>
    <row r="151" spans="1:4">
      <c r="A151" s="186" t="s">
        <v>630</v>
      </c>
      <c r="B151" s="400">
        <f>C135</f>
        <v>2.5000000000000001E-2</v>
      </c>
      <c r="C151" s="235">
        <f>G52</f>
        <v>772.02296997744713</v>
      </c>
      <c r="D151" s="87">
        <f t="shared" si="12"/>
        <v>19.300574249436181</v>
      </c>
    </row>
    <row r="152" spans="1:4">
      <c r="A152" s="406" t="s">
        <v>96</v>
      </c>
      <c r="B152" s="400">
        <f>C135</f>
        <v>2.5000000000000001E-2</v>
      </c>
      <c r="C152" s="235">
        <f>B95</f>
        <v>2087.7551020408168</v>
      </c>
      <c r="D152" s="87">
        <f t="shared" si="12"/>
        <v>52.193877551020421</v>
      </c>
    </row>
    <row r="153" spans="1:4">
      <c r="A153" s="406" t="s">
        <v>274</v>
      </c>
      <c r="B153" s="400">
        <f>C135</f>
        <v>2.5000000000000001E-2</v>
      </c>
      <c r="C153" s="235">
        <f>C151+C152</f>
        <v>2859.7780720182641</v>
      </c>
      <c r="D153" s="87">
        <f t="shared" si="12"/>
        <v>71.494451800456602</v>
      </c>
    </row>
    <row r="154" spans="1:4">
      <c r="A154" s="406" t="s">
        <v>84</v>
      </c>
      <c r="B154" s="400">
        <f>C138</f>
        <v>2.5000000000000001E-2</v>
      </c>
      <c r="C154" s="235">
        <f>G53</f>
        <v>0.30867724183637857</v>
      </c>
      <c r="D154" s="87">
        <f t="shared" si="12"/>
        <v>7.7169310459094644E-3</v>
      </c>
    </row>
    <row r="155" spans="1:4">
      <c r="A155" s="186" t="s">
        <v>631</v>
      </c>
      <c r="B155" s="402">
        <v>1</v>
      </c>
      <c r="C155" s="235">
        <f>B98</f>
        <v>226.8</v>
      </c>
      <c r="D155" s="87">
        <f t="shared" si="12"/>
        <v>226.8</v>
      </c>
    </row>
    <row r="156" spans="1:4">
      <c r="A156" s="186" t="s">
        <v>250</v>
      </c>
      <c r="B156" s="396">
        <v>1</v>
      </c>
      <c r="C156" s="235">
        <f>B99</f>
        <v>1175.5102040816328</v>
      </c>
      <c r="D156" s="87">
        <f t="shared" si="12"/>
        <v>1175.5102040816328</v>
      </c>
    </row>
    <row r="157" spans="1:4">
      <c r="A157" s="186" t="s">
        <v>251</v>
      </c>
      <c r="B157" s="397">
        <v>1</v>
      </c>
      <c r="C157" s="573">
        <f>C155+C156</f>
        <v>1402.3102040816327</v>
      </c>
      <c r="D157" s="87">
        <f>C157*B157</f>
        <v>1402.3102040816327</v>
      </c>
    </row>
    <row r="158" spans="1:4">
      <c r="A158" s="406" t="s">
        <v>238</v>
      </c>
      <c r="B158" s="397">
        <v>1</v>
      </c>
      <c r="C158" s="573">
        <f>C157/32*96</f>
        <v>4206.9306122448979</v>
      </c>
      <c r="D158" s="87">
        <f>C158*B158</f>
        <v>4206.9306122448979</v>
      </c>
    </row>
    <row r="159" spans="1:4">
      <c r="A159" s="406" t="s">
        <v>239</v>
      </c>
      <c r="B159" s="397">
        <v>1</v>
      </c>
      <c r="C159" s="573">
        <f>C157/32*136</f>
        <v>5959.8183673469393</v>
      </c>
      <c r="D159" s="87">
        <f>C159*B159</f>
        <v>5959.8183673469393</v>
      </c>
    </row>
    <row r="160" spans="1:4">
      <c r="A160" s="406" t="s">
        <v>248</v>
      </c>
      <c r="B160" s="396">
        <v>1</v>
      </c>
      <c r="C160" s="235">
        <f>C123*B107*32/78</f>
        <v>16.294524609714486</v>
      </c>
      <c r="D160" s="87">
        <f>C160*B160</f>
        <v>16.294524609714486</v>
      </c>
    </row>
    <row r="161" spans="1:4" ht="14.65" thickBot="1">
      <c r="A161" s="187" t="s">
        <v>86</v>
      </c>
      <c r="B161" s="353">
        <f>C130</f>
        <v>0.95</v>
      </c>
      <c r="C161" s="236">
        <f>G55</f>
        <v>11.12795065864373</v>
      </c>
      <c r="D161" s="88">
        <f t="shared" si="12"/>
        <v>10.571553125711542</v>
      </c>
    </row>
    <row r="163" spans="1:4" ht="14.65" thickBot="1">
      <c r="A163" s="79" t="s">
        <v>272</v>
      </c>
      <c r="D163" s="99"/>
    </row>
    <row r="164" spans="1:4" ht="14.65" thickBot="1">
      <c r="A164" s="103" t="s">
        <v>90</v>
      </c>
      <c r="B164" s="102" t="s">
        <v>18</v>
      </c>
      <c r="C164" s="17" t="s">
        <v>91</v>
      </c>
    </row>
    <row r="165" spans="1:4">
      <c r="A165" s="276" t="s">
        <v>4</v>
      </c>
      <c r="B165" s="296" t="s">
        <v>35</v>
      </c>
      <c r="C165" s="286">
        <f>C117</f>
        <v>56208</v>
      </c>
    </row>
    <row r="166" spans="1:4">
      <c r="A166" s="281" t="s">
        <v>334</v>
      </c>
      <c r="B166" s="278" t="s">
        <v>35</v>
      </c>
      <c r="C166" s="289">
        <f>C123</f>
        <v>794.35807472358113</v>
      </c>
    </row>
    <row r="167" spans="1:4" ht="14.65" thickBot="1">
      <c r="A167" s="255" t="s">
        <v>6</v>
      </c>
      <c r="B167" s="271" t="s">
        <v>35</v>
      </c>
      <c r="C167" s="280">
        <f>C165+C166</f>
        <v>57002.358074723583</v>
      </c>
    </row>
    <row r="168" spans="1:4">
      <c r="B168" s="77"/>
      <c r="C168" s="83"/>
    </row>
    <row r="169" spans="1:4" ht="14.65" thickBot="1">
      <c r="A169" s="79" t="s">
        <v>279</v>
      </c>
      <c r="B169" s="79"/>
      <c r="C169" s="79"/>
      <c r="D169" s="99"/>
    </row>
    <row r="170" spans="1:4" ht="14.65" thickBot="1">
      <c r="A170" s="3" t="s">
        <v>90</v>
      </c>
      <c r="B170" s="14" t="s">
        <v>18</v>
      </c>
      <c r="C170" s="15" t="s">
        <v>91</v>
      </c>
      <c r="D170" s="99"/>
    </row>
    <row r="171" spans="1:4">
      <c r="A171" s="308" t="s">
        <v>623</v>
      </c>
      <c r="B171" s="309" t="s">
        <v>35</v>
      </c>
      <c r="C171" s="294">
        <f>C23</f>
        <v>12000</v>
      </c>
      <c r="D171" s="99"/>
    </row>
    <row r="172" spans="1:4">
      <c r="A172" s="282" t="s">
        <v>329</v>
      </c>
      <c r="B172" s="288" t="s">
        <v>35</v>
      </c>
      <c r="C172" s="295">
        <f>C26</f>
        <v>3600</v>
      </c>
      <c r="D172" s="99"/>
    </row>
    <row r="173" spans="1:4">
      <c r="A173" s="282" t="s">
        <v>428</v>
      </c>
      <c r="B173" s="288" t="s">
        <v>35</v>
      </c>
      <c r="C173" s="295">
        <f>C31</f>
        <v>6600.0000000000009</v>
      </c>
      <c r="D173" s="99"/>
    </row>
    <row r="174" spans="1:4">
      <c r="A174" s="282" t="s">
        <v>115</v>
      </c>
      <c r="B174" s="288" t="s">
        <v>24</v>
      </c>
      <c r="C174" s="312">
        <f>$B$107</f>
        <v>0.05</v>
      </c>
      <c r="D174" s="99"/>
    </row>
    <row r="175" spans="1:4">
      <c r="A175" s="282" t="s">
        <v>334</v>
      </c>
      <c r="B175" s="288" t="s">
        <v>35</v>
      </c>
      <c r="C175" s="295">
        <f>C123</f>
        <v>794.35807472358113</v>
      </c>
      <c r="D175" s="99"/>
    </row>
    <row r="176" spans="1:4">
      <c r="A176" s="282" t="s">
        <v>429</v>
      </c>
      <c r="B176" s="288" t="s">
        <v>35</v>
      </c>
      <c r="C176" s="295">
        <f>C175*C174</f>
        <v>39.717903736179061</v>
      </c>
      <c r="D176" s="99"/>
    </row>
    <row r="177" spans="1:12">
      <c r="A177" s="282" t="s">
        <v>337</v>
      </c>
      <c r="B177" s="288" t="s">
        <v>35</v>
      </c>
      <c r="C177" s="279">
        <f>C171+C172+C173+C176</f>
        <v>22239.717903736178</v>
      </c>
      <c r="D177" s="99"/>
    </row>
    <row r="178" spans="1:12">
      <c r="A178" s="282" t="s">
        <v>6</v>
      </c>
      <c r="B178" s="288" t="s">
        <v>35</v>
      </c>
      <c r="C178" s="289">
        <f>C167</f>
        <v>57002.358074723583</v>
      </c>
    </row>
    <row r="179" spans="1:12">
      <c r="A179" s="310" t="s">
        <v>64</v>
      </c>
      <c r="B179" s="283" t="s">
        <v>24</v>
      </c>
      <c r="C179" s="300">
        <f>C177/C178</f>
        <v>0.39015434895837903</v>
      </c>
    </row>
    <row r="180" spans="1:12">
      <c r="A180" s="282" t="s">
        <v>366</v>
      </c>
      <c r="B180" s="288" t="s">
        <v>35</v>
      </c>
      <c r="C180" s="279">
        <f>C25</f>
        <v>34008</v>
      </c>
    </row>
    <row r="181" spans="1:12">
      <c r="A181" s="282" t="s">
        <v>117</v>
      </c>
      <c r="B181" s="288" t="s">
        <v>24</v>
      </c>
      <c r="C181" s="312">
        <f>1-$B$107</f>
        <v>0.95</v>
      </c>
    </row>
    <row r="182" spans="1:12">
      <c r="A182" s="282" t="s">
        <v>334</v>
      </c>
      <c r="B182" s="288" t="s">
        <v>35</v>
      </c>
      <c r="C182" s="295">
        <f>C123</f>
        <v>794.35807472358113</v>
      </c>
    </row>
    <row r="183" spans="1:12">
      <c r="A183" s="282" t="s">
        <v>356</v>
      </c>
      <c r="B183" s="288" t="s">
        <v>35</v>
      </c>
      <c r="C183" s="279">
        <f>C181*C182</f>
        <v>754.64017098740203</v>
      </c>
    </row>
    <row r="184" spans="1:12">
      <c r="A184" s="282" t="s">
        <v>335</v>
      </c>
      <c r="B184" s="288" t="s">
        <v>35</v>
      </c>
      <c r="C184" s="279">
        <f>C180+C183</f>
        <v>34762.640170987404</v>
      </c>
    </row>
    <row r="185" spans="1:12">
      <c r="A185" s="282" t="s">
        <v>6</v>
      </c>
      <c r="B185" s="288" t="s">
        <v>35</v>
      </c>
      <c r="C185" s="289">
        <f>C167</f>
        <v>57002.358074723583</v>
      </c>
    </row>
    <row r="186" spans="1:12" ht="14.65" thickBot="1">
      <c r="A186" s="311" t="s">
        <v>66</v>
      </c>
      <c r="B186" s="284" t="s">
        <v>24</v>
      </c>
      <c r="C186" s="303">
        <f>C184/C185</f>
        <v>0.60984565104162103</v>
      </c>
    </row>
    <row r="187" spans="1:12">
      <c r="A187" s="83"/>
      <c r="B187" s="77"/>
      <c r="C187" s="96"/>
    </row>
    <row r="188" spans="1:12" ht="14.65" thickBot="1">
      <c r="A188" s="79" t="s">
        <v>124</v>
      </c>
    </row>
    <row r="189" spans="1:12" ht="14.65" thickBot="1">
      <c r="A189" s="419"/>
      <c r="B189" s="1062" t="s">
        <v>262</v>
      </c>
      <c r="C189" s="1063"/>
      <c r="D189" s="1063"/>
      <c r="E189" s="1063"/>
      <c r="F189" s="1064"/>
      <c r="G189" s="1062" t="s">
        <v>263</v>
      </c>
      <c r="H189" s="1063"/>
      <c r="I189" s="1063"/>
      <c r="J189" s="1063"/>
      <c r="K189" s="1063"/>
      <c r="L189" s="1066"/>
    </row>
    <row r="190" spans="1:12">
      <c r="A190" s="452"/>
      <c r="B190" s="1024" t="s">
        <v>275</v>
      </c>
      <c r="C190" s="1041" t="s">
        <v>243</v>
      </c>
      <c r="D190" s="1041" t="s">
        <v>256</v>
      </c>
      <c r="E190" s="1041" t="s">
        <v>337</v>
      </c>
      <c r="F190" s="1041" t="s">
        <v>276</v>
      </c>
      <c r="G190" s="1032" t="s">
        <v>269</v>
      </c>
      <c r="H190" s="1054"/>
      <c r="I190" s="1022" t="s">
        <v>277</v>
      </c>
      <c r="J190" s="1032"/>
      <c r="K190" s="1032"/>
      <c r="L190" s="1023"/>
    </row>
    <row r="191" spans="1:12">
      <c r="A191" s="219" t="s">
        <v>93</v>
      </c>
      <c r="B191" s="1067"/>
      <c r="C191" s="1042"/>
      <c r="D191" s="1042"/>
      <c r="E191" s="1042"/>
      <c r="F191" s="1042"/>
      <c r="G191" s="1034"/>
      <c r="H191" s="1046"/>
      <c r="I191" s="1033" t="s">
        <v>243</v>
      </c>
      <c r="J191" s="1034"/>
      <c r="K191" s="1034" t="s">
        <v>256</v>
      </c>
      <c r="L191" s="1035"/>
    </row>
    <row r="192" spans="1:12" ht="14.65" thickBot="1">
      <c r="A192" s="220" t="s">
        <v>18</v>
      </c>
      <c r="B192" s="403" t="s">
        <v>35</v>
      </c>
      <c r="C192" s="154" t="s">
        <v>35</v>
      </c>
      <c r="D192" s="154" t="s">
        <v>35</v>
      </c>
      <c r="E192" s="154" t="s">
        <v>35</v>
      </c>
      <c r="F192" s="154" t="s">
        <v>35</v>
      </c>
      <c r="G192" s="154" t="s">
        <v>257</v>
      </c>
      <c r="H192" s="423" t="s">
        <v>237</v>
      </c>
      <c r="I192" s="403" t="s">
        <v>70</v>
      </c>
      <c r="J192" s="154" t="s">
        <v>237</v>
      </c>
      <c r="K192" s="154" t="s">
        <v>70</v>
      </c>
      <c r="L192" s="155" t="s">
        <v>237</v>
      </c>
    </row>
    <row r="193" spans="1:12">
      <c r="A193" s="222" t="s">
        <v>72</v>
      </c>
      <c r="B193" s="159">
        <f>B83</f>
        <v>468.024</v>
      </c>
      <c r="C193" s="429">
        <f>B193-D193</f>
        <v>267.51295270740565</v>
      </c>
      <c r="D193" s="428">
        <f>D83+D143</f>
        <v>200.51104729259436</v>
      </c>
      <c r="E193" s="160">
        <f>$C$177</f>
        <v>22239.717903736178</v>
      </c>
      <c r="F193" s="429">
        <f>$C$167</f>
        <v>57002.358074723583</v>
      </c>
      <c r="G193" s="404">
        <f t="shared" ref="G193:G212" si="13">B193/E193*1000000</f>
        <v>21044.511536784106</v>
      </c>
      <c r="H193" s="560">
        <f>G193/1000000</f>
        <v>2.1044511536784105E-2</v>
      </c>
      <c r="I193" s="557">
        <f>C193/F193*1000000</f>
        <v>4693.0155478257002</v>
      </c>
      <c r="J193" s="430">
        <f>I193/1000000</f>
        <v>4.6930155478256998E-3</v>
      </c>
      <c r="K193" s="431">
        <f>D193/F193*1000000</f>
        <v>3517.5921499553979</v>
      </c>
      <c r="L193" s="433">
        <f>K193/1000000</f>
        <v>3.5175921499553979E-3</v>
      </c>
    </row>
    <row r="194" spans="1:12">
      <c r="A194" s="149" t="s">
        <v>73</v>
      </c>
      <c r="B194" s="161">
        <f>B84</f>
        <v>0.34320000000000001</v>
      </c>
      <c r="C194" s="424">
        <f t="shared" ref="C194:C214" si="14">B194-D194</f>
        <v>2.4757734658596819E-2</v>
      </c>
      <c r="D194" s="235">
        <f>D84+D144</f>
        <v>0.31844226534140319</v>
      </c>
      <c r="E194" s="119">
        <f t="shared" ref="E194:E214" si="15">$C$177</f>
        <v>22239.717903736178</v>
      </c>
      <c r="F194" s="424">
        <f t="shared" ref="F194:F214" si="16">$C$167</f>
        <v>57002.358074723583</v>
      </c>
      <c r="G194" s="395">
        <f t="shared" si="13"/>
        <v>15.431850416697232</v>
      </c>
      <c r="H194" s="561">
        <f t="shared" ref="H194:H214" si="17">G194/1000000</f>
        <v>1.5431850416697232E-5</v>
      </c>
      <c r="I194" s="558">
        <f t="shared" ref="I194:I214" si="18">C194/F194*1000000</f>
        <v>0.43432825403717956</v>
      </c>
      <c r="J194" s="425">
        <f t="shared" ref="J194:J214" si="19">I194/1000000</f>
        <v>4.3432825403717958E-7</v>
      </c>
      <c r="K194" s="426">
        <f t="shared" ref="K194:K214" si="20">D194/F194*1000000</f>
        <v>5.5864752985124184</v>
      </c>
      <c r="L194" s="434">
        <f t="shared" ref="L194:L214" si="21">K194/1000000</f>
        <v>5.5864752985124183E-6</v>
      </c>
    </row>
    <row r="195" spans="1:12">
      <c r="A195" s="149" t="s">
        <v>74</v>
      </c>
      <c r="B195" s="161">
        <f>B85</f>
        <v>1908</v>
      </c>
      <c r="C195" s="424">
        <f t="shared" si="14"/>
        <v>271.72517705305495</v>
      </c>
      <c r="D195" s="235">
        <f>D85</f>
        <v>1636.2748229469451</v>
      </c>
      <c r="E195" s="119">
        <f t="shared" si="15"/>
        <v>22239.717903736178</v>
      </c>
      <c r="F195" s="424">
        <f t="shared" si="16"/>
        <v>57002.358074723583</v>
      </c>
      <c r="G195" s="395">
        <f t="shared" si="13"/>
        <v>85792.455113806282</v>
      </c>
      <c r="H195" s="561">
        <f t="shared" si="17"/>
        <v>8.5792455113806287E-2</v>
      </c>
      <c r="I195" s="558">
        <f t="shared" si="18"/>
        <v>4766.9111635145737</v>
      </c>
      <c r="J195" s="425">
        <f t="shared" si="19"/>
        <v>4.7669111635145738E-3</v>
      </c>
      <c r="K195" s="426">
        <f t="shared" si="20"/>
        <v>28705.388306953471</v>
      </c>
      <c r="L195" s="434">
        <f t="shared" si="21"/>
        <v>2.8705388306953471E-2</v>
      </c>
    </row>
    <row r="196" spans="1:12">
      <c r="A196" s="149" t="s">
        <v>75</v>
      </c>
      <c r="B196" s="161">
        <f>B86</f>
        <v>4.2000000000000003E-2</v>
      </c>
      <c r="C196" s="424">
        <f t="shared" si="14"/>
        <v>9.3422747423054231E-3</v>
      </c>
      <c r="D196" s="235">
        <f>D145+D86</f>
        <v>3.265772525769458E-2</v>
      </c>
      <c r="E196" s="119">
        <f t="shared" si="15"/>
        <v>22239.717903736178</v>
      </c>
      <c r="F196" s="424">
        <f t="shared" si="16"/>
        <v>57002.358074723583</v>
      </c>
      <c r="G196" s="395">
        <f t="shared" si="13"/>
        <v>1.8885131628825285</v>
      </c>
      <c r="H196" s="561">
        <f t="shared" si="17"/>
        <v>1.8885131628825284E-6</v>
      </c>
      <c r="I196" s="558">
        <f t="shared" si="18"/>
        <v>0.1638927766823044</v>
      </c>
      <c r="J196" s="425">
        <f t="shared" si="19"/>
        <v>1.6389277668230439E-7</v>
      </c>
      <c r="K196" s="426">
        <f t="shared" si="20"/>
        <v>0.57291884688145767</v>
      </c>
      <c r="L196" s="434">
        <f t="shared" si="21"/>
        <v>5.7291884688145766E-7</v>
      </c>
    </row>
    <row r="197" spans="1:12">
      <c r="A197" s="149" t="s">
        <v>76</v>
      </c>
      <c r="B197" s="161">
        <f>B87</f>
        <v>1.6319999999999999</v>
      </c>
      <c r="C197" s="424">
        <f t="shared" si="14"/>
        <v>0.59275694306807303</v>
      </c>
      <c r="D197" s="235">
        <f>D87</f>
        <v>1.0392430569319269</v>
      </c>
      <c r="E197" s="119">
        <f t="shared" si="15"/>
        <v>22239.717903736178</v>
      </c>
      <c r="F197" s="424">
        <f t="shared" si="16"/>
        <v>57002.358074723583</v>
      </c>
      <c r="G197" s="395">
        <f t="shared" si="13"/>
        <v>73.382225757721088</v>
      </c>
      <c r="H197" s="561">
        <f t="shared" si="17"/>
        <v>7.3382225757721094E-5</v>
      </c>
      <c r="I197" s="558">
        <f t="shared" si="18"/>
        <v>10.398814419063793</v>
      </c>
      <c r="J197" s="425">
        <f t="shared" si="19"/>
        <v>1.0398814419063794E-5</v>
      </c>
      <c r="K197" s="426">
        <f t="shared" si="20"/>
        <v>18.231580096556669</v>
      </c>
      <c r="L197" s="434">
        <f t="shared" si="21"/>
        <v>1.8231580096556669E-5</v>
      </c>
    </row>
    <row r="198" spans="1:12">
      <c r="A198" s="150" t="s">
        <v>77</v>
      </c>
      <c r="B198" s="161">
        <f>B88</f>
        <v>7.8719999999999999</v>
      </c>
      <c r="C198" s="424">
        <f t="shared" si="14"/>
        <v>1.6551723138363172E-2</v>
      </c>
      <c r="D198" s="235">
        <f>D88+D146</f>
        <v>7.8554482768616367</v>
      </c>
      <c r="E198" s="119">
        <f t="shared" si="15"/>
        <v>22239.717903736178</v>
      </c>
      <c r="F198" s="424">
        <f t="shared" si="16"/>
        <v>57002.358074723583</v>
      </c>
      <c r="G198" s="395">
        <f t="shared" si="13"/>
        <v>353.96132424312526</v>
      </c>
      <c r="H198" s="561">
        <f t="shared" si="17"/>
        <v>3.5396132424312526E-4</v>
      </c>
      <c r="I198" s="558">
        <f t="shared" si="18"/>
        <v>0.29036909519893467</v>
      </c>
      <c r="J198" s="425">
        <f t="shared" si="19"/>
        <v>2.9036909519893466E-7</v>
      </c>
      <c r="K198" s="426">
        <f t="shared" si="20"/>
        <v>137.8091809213233</v>
      </c>
      <c r="L198" s="434">
        <f t="shared" si="21"/>
        <v>1.378091809213233E-4</v>
      </c>
    </row>
    <row r="199" spans="1:12">
      <c r="A199" s="150" t="s">
        <v>78</v>
      </c>
      <c r="B199" s="161">
        <f>B89</f>
        <v>1050.924</v>
      </c>
      <c r="C199" s="424">
        <f t="shared" si="14"/>
        <v>468.33208017640368</v>
      </c>
      <c r="D199" s="235">
        <f>D89+D147</f>
        <v>582.5919198235963</v>
      </c>
      <c r="E199" s="119">
        <f t="shared" si="15"/>
        <v>22239.717903736178</v>
      </c>
      <c r="F199" s="424">
        <f t="shared" si="16"/>
        <v>57002.358074723583</v>
      </c>
      <c r="G199" s="395">
        <f t="shared" si="13"/>
        <v>47254.376361646617</v>
      </c>
      <c r="H199" s="561">
        <f t="shared" si="17"/>
        <v>4.7254376361646616E-2</v>
      </c>
      <c r="I199" s="558">
        <f t="shared" si="18"/>
        <v>8216.0123895659508</v>
      </c>
      <c r="J199" s="425">
        <f t="shared" si="19"/>
        <v>8.2160123895659506E-3</v>
      </c>
      <c r="K199" s="426">
        <f t="shared" si="20"/>
        <v>10220.4880552465</v>
      </c>
      <c r="L199" s="434">
        <f t="shared" si="21"/>
        <v>1.02204880552465E-2</v>
      </c>
    </row>
    <row r="200" spans="1:12">
      <c r="A200" s="150" t="s">
        <v>79</v>
      </c>
      <c r="B200" s="161">
        <f>B90</f>
        <v>98.76</v>
      </c>
      <c r="C200" s="424">
        <f t="shared" si="14"/>
        <v>65.937121061390144</v>
      </c>
      <c r="D200" s="235">
        <f>D90+D148</f>
        <v>32.822878938609854</v>
      </c>
      <c r="E200" s="119">
        <f t="shared" si="15"/>
        <v>22239.717903736178</v>
      </c>
      <c r="F200" s="424">
        <f t="shared" si="16"/>
        <v>57002.358074723583</v>
      </c>
      <c r="G200" s="395">
        <f t="shared" si="13"/>
        <v>4440.7038087209166</v>
      </c>
      <c r="H200" s="561">
        <f t="shared" si="17"/>
        <v>4.4407038087209165E-3</v>
      </c>
      <c r="I200" s="558">
        <f t="shared" si="18"/>
        <v>1156.7437433895998</v>
      </c>
      <c r="J200" s="425">
        <f t="shared" si="19"/>
        <v>1.1567437433895999E-3</v>
      </c>
      <c r="K200" s="426">
        <f t="shared" si="20"/>
        <v>575.81616001890325</v>
      </c>
      <c r="L200" s="434">
        <f t="shared" si="21"/>
        <v>5.7581616001890323E-4</v>
      </c>
    </row>
    <row r="201" spans="1:12">
      <c r="A201" s="150" t="s">
        <v>80</v>
      </c>
      <c r="B201" s="161">
        <f>B91</f>
        <v>154.80000000000001</v>
      </c>
      <c r="C201" s="424">
        <f t="shared" si="14"/>
        <v>105.08357370526588</v>
      </c>
      <c r="D201" s="235">
        <f>D91+D149</f>
        <v>49.716426294734141</v>
      </c>
      <c r="E201" s="119">
        <f t="shared" si="15"/>
        <v>22239.717903736178</v>
      </c>
      <c r="F201" s="424">
        <f t="shared" si="16"/>
        <v>57002.358074723583</v>
      </c>
      <c r="G201" s="395">
        <f t="shared" si="13"/>
        <v>6960.5199431956044</v>
      </c>
      <c r="H201" s="561">
        <f t="shared" si="17"/>
        <v>6.9605199431956042E-3</v>
      </c>
      <c r="I201" s="558">
        <f t="shared" si="18"/>
        <v>1843.4952036109335</v>
      </c>
      <c r="J201" s="425">
        <f t="shared" si="19"/>
        <v>1.8434952036109334E-3</v>
      </c>
      <c r="K201" s="426">
        <f t="shared" si="20"/>
        <v>872.18192323836115</v>
      </c>
      <c r="L201" s="434">
        <f t="shared" si="21"/>
        <v>8.7218192323836117E-4</v>
      </c>
    </row>
    <row r="202" spans="1:12">
      <c r="A202" s="150" t="s">
        <v>81</v>
      </c>
      <c r="B202" s="161">
        <f>B92+C123*B107*46/78</f>
        <v>120.62337912646458</v>
      </c>
      <c r="C202" s="424">
        <f t="shared" si="14"/>
        <v>95.205364112214767</v>
      </c>
      <c r="D202" s="235">
        <f>D92</f>
        <v>25.418015014249814</v>
      </c>
      <c r="E202" s="119">
        <f t="shared" si="15"/>
        <v>22239.717903736178</v>
      </c>
      <c r="F202" s="424">
        <f t="shared" si="16"/>
        <v>57002.358074723583</v>
      </c>
      <c r="G202" s="395">
        <f t="shared" si="13"/>
        <v>5423.7818864689989</v>
      </c>
      <c r="H202" s="561">
        <f t="shared" si="17"/>
        <v>5.4237818864689988E-3</v>
      </c>
      <c r="I202" s="558">
        <f t="shared" si="18"/>
        <v>1670.2004500833355</v>
      </c>
      <c r="J202" s="425">
        <f t="shared" si="19"/>
        <v>1.6702004500833356E-3</v>
      </c>
      <c r="K202" s="426">
        <f t="shared" si="20"/>
        <v>445.91164072422578</v>
      </c>
      <c r="L202" s="434">
        <f t="shared" si="21"/>
        <v>4.459116407242258E-4</v>
      </c>
    </row>
    <row r="203" spans="1:12">
      <c r="A203" s="150" t="s">
        <v>82</v>
      </c>
      <c r="B203" s="161">
        <f>B93</f>
        <v>1.5</v>
      </c>
      <c r="C203" s="424">
        <f t="shared" si="14"/>
        <v>0.57358048121071303</v>
      </c>
      <c r="D203" s="235">
        <f>D93+D150</f>
        <v>0.92641951878928697</v>
      </c>
      <c r="E203" s="119">
        <f t="shared" si="15"/>
        <v>22239.717903736178</v>
      </c>
      <c r="F203" s="424">
        <f t="shared" si="16"/>
        <v>57002.358074723583</v>
      </c>
      <c r="G203" s="395">
        <f t="shared" si="13"/>
        <v>67.446898674376015</v>
      </c>
      <c r="H203" s="561">
        <f t="shared" si="17"/>
        <v>6.7446898674376022E-5</v>
      </c>
      <c r="I203" s="558">
        <f t="shared" si="18"/>
        <v>10.062399181079746</v>
      </c>
      <c r="J203" s="425">
        <f t="shared" si="19"/>
        <v>1.0062399181079746E-5</v>
      </c>
      <c r="K203" s="426">
        <f t="shared" si="20"/>
        <v>16.25230166048318</v>
      </c>
      <c r="L203" s="434">
        <f t="shared" si="21"/>
        <v>1.625230166048318E-5</v>
      </c>
    </row>
    <row r="204" spans="1:12">
      <c r="A204" s="150" t="s">
        <v>630</v>
      </c>
      <c r="B204" s="161">
        <f>B94</f>
        <v>979.41600000000005</v>
      </c>
      <c r="C204" s="424">
        <f t="shared" si="14"/>
        <v>752.72239572801095</v>
      </c>
      <c r="D204" s="235">
        <f>D94+D151</f>
        <v>226.69360427198905</v>
      </c>
      <c r="E204" s="119">
        <f t="shared" si="15"/>
        <v>22239.717903736178</v>
      </c>
      <c r="F204" s="424">
        <f t="shared" si="16"/>
        <v>57002.358074723583</v>
      </c>
      <c r="G204" s="395">
        <f t="shared" si="13"/>
        <v>44039.047808041767</v>
      </c>
      <c r="H204" s="561">
        <f t="shared" si="17"/>
        <v>4.403904780804177E-2</v>
      </c>
      <c r="I204" s="558">
        <f t="shared" si="18"/>
        <v>13205.109773551434</v>
      </c>
      <c r="J204" s="425">
        <f t="shared" si="19"/>
        <v>1.3205109773551434E-2</v>
      </c>
      <c r="K204" s="426">
        <f t="shared" si="20"/>
        <v>3976.916252742029</v>
      </c>
      <c r="L204" s="434">
        <f t="shared" si="21"/>
        <v>3.9769162527420292E-3</v>
      </c>
    </row>
    <row r="205" spans="1:12">
      <c r="A205" s="150" t="s">
        <v>96</v>
      </c>
      <c r="B205" s="161">
        <f>B95</f>
        <v>2087.7551020408168</v>
      </c>
      <c r="C205" s="424">
        <f t="shared" si="14"/>
        <v>2035.5612244897964</v>
      </c>
      <c r="D205" s="235">
        <f>D95+D152</f>
        <v>52.193877551020421</v>
      </c>
      <c r="E205" s="119">
        <f t="shared" si="15"/>
        <v>22239.717903736178</v>
      </c>
      <c r="F205" s="424">
        <f t="shared" si="16"/>
        <v>57002.358074723583</v>
      </c>
      <c r="G205" s="395">
        <f t="shared" si="13"/>
        <v>93875.07121617235</v>
      </c>
      <c r="H205" s="561">
        <f t="shared" si="17"/>
        <v>9.3875071216172348E-2</v>
      </c>
      <c r="I205" s="558">
        <f t="shared" si="18"/>
        <v>35710.123111423003</v>
      </c>
      <c r="J205" s="425">
        <f t="shared" si="19"/>
        <v>3.5710123111423006E-2</v>
      </c>
      <c r="K205" s="426">
        <f t="shared" si="20"/>
        <v>915.64418234417963</v>
      </c>
      <c r="L205" s="434">
        <f t="shared" si="21"/>
        <v>9.1564418234417965E-4</v>
      </c>
    </row>
    <row r="206" spans="1:12">
      <c r="A206" s="150" t="s">
        <v>97</v>
      </c>
      <c r="B206" s="161">
        <f>B96</f>
        <v>3067.171102040817</v>
      </c>
      <c r="C206" s="424">
        <f t="shared" si="14"/>
        <v>2788.2836202178078</v>
      </c>
      <c r="D206" s="235">
        <f>D96+D153</f>
        <v>278.88748182300947</v>
      </c>
      <c r="E206" s="119">
        <f t="shared" si="15"/>
        <v>22239.717903736178</v>
      </c>
      <c r="F206" s="424">
        <f t="shared" si="16"/>
        <v>57002.358074723583</v>
      </c>
      <c r="G206" s="395">
        <f t="shared" si="13"/>
        <v>137914.1190242141</v>
      </c>
      <c r="H206" s="561">
        <f t="shared" si="17"/>
        <v>0.1379141190242141</v>
      </c>
      <c r="I206" s="558">
        <f t="shared" si="18"/>
        <v>48915.232884974452</v>
      </c>
      <c r="J206" s="425">
        <f t="shared" si="19"/>
        <v>4.8915232884974451E-2</v>
      </c>
      <c r="K206" s="426">
        <f t="shared" si="20"/>
        <v>4892.5604350862086</v>
      </c>
      <c r="L206" s="434">
        <f t="shared" si="21"/>
        <v>4.8925604350862082E-3</v>
      </c>
    </row>
    <row r="207" spans="1:12">
      <c r="A207" s="150" t="s">
        <v>84</v>
      </c>
      <c r="B207" s="161">
        <f>B97</f>
        <v>1.488</v>
      </c>
      <c r="C207" s="424">
        <f t="shared" si="14"/>
        <v>0.30096031079046903</v>
      </c>
      <c r="D207" s="235">
        <f>D154+D97</f>
        <v>1.187039689209531</v>
      </c>
      <c r="E207" s="119">
        <f t="shared" si="15"/>
        <v>22239.717903736178</v>
      </c>
      <c r="F207" s="424">
        <f t="shared" si="16"/>
        <v>57002.358074723583</v>
      </c>
      <c r="G207" s="395">
        <f t="shared" si="13"/>
        <v>66.907323484981006</v>
      </c>
      <c r="H207" s="561">
        <f t="shared" si="17"/>
        <v>6.6907323484981005E-5</v>
      </c>
      <c r="I207" s="558">
        <f t="shared" si="18"/>
        <v>5.2797870290899978</v>
      </c>
      <c r="J207" s="425">
        <f t="shared" si="19"/>
        <v>5.2797870290899974E-6</v>
      </c>
      <c r="K207" s="426">
        <f t="shared" si="20"/>
        <v>20.824396205740427</v>
      </c>
      <c r="L207" s="434">
        <f t="shared" si="21"/>
        <v>2.0824396205740426E-5</v>
      </c>
    </row>
    <row r="208" spans="1:12">
      <c r="A208" s="150" t="s">
        <v>631</v>
      </c>
      <c r="B208" s="161">
        <f>B98</f>
        <v>226.8</v>
      </c>
      <c r="C208" s="424">
        <f t="shared" si="14"/>
        <v>0</v>
      </c>
      <c r="D208" s="235">
        <f>D155</f>
        <v>226.8</v>
      </c>
      <c r="E208" s="119">
        <f t="shared" si="15"/>
        <v>22239.717903736178</v>
      </c>
      <c r="F208" s="424">
        <f t="shared" si="16"/>
        <v>57002.358074723583</v>
      </c>
      <c r="G208" s="395">
        <f t="shared" si="13"/>
        <v>10197.971079565652</v>
      </c>
      <c r="H208" s="561">
        <f t="shared" si="17"/>
        <v>1.0197971079565653E-2</v>
      </c>
      <c r="I208" s="558">
        <f t="shared" si="18"/>
        <v>0</v>
      </c>
      <c r="J208" s="425">
        <f t="shared" si="19"/>
        <v>0</v>
      </c>
      <c r="K208" s="426">
        <f t="shared" si="20"/>
        <v>3978.782767244315</v>
      </c>
      <c r="L208" s="434">
        <f t="shared" si="21"/>
        <v>3.9787827672443151E-3</v>
      </c>
    </row>
    <row r="209" spans="1:12">
      <c r="A209" s="150" t="s">
        <v>250</v>
      </c>
      <c r="B209" s="161">
        <f>B99</f>
        <v>1175.5102040816328</v>
      </c>
      <c r="C209" s="424">
        <f t="shared" si="14"/>
        <v>0</v>
      </c>
      <c r="D209" s="235">
        <f>D156</f>
        <v>1175.5102040816328</v>
      </c>
      <c r="E209" s="119">
        <f t="shared" si="15"/>
        <v>22239.717903736178</v>
      </c>
      <c r="F209" s="424">
        <f t="shared" si="16"/>
        <v>57002.358074723583</v>
      </c>
      <c r="G209" s="395">
        <f t="shared" si="13"/>
        <v>52856.345083592634</v>
      </c>
      <c r="H209" s="561">
        <f t="shared" si="17"/>
        <v>5.2856345083592632E-2</v>
      </c>
      <c r="I209" s="558">
        <f t="shared" si="18"/>
        <v>0</v>
      </c>
      <c r="J209" s="425">
        <f t="shared" si="19"/>
        <v>0</v>
      </c>
      <c r="K209" s="426">
        <f t="shared" si="20"/>
        <v>20622.1329044085</v>
      </c>
      <c r="L209" s="434">
        <f t="shared" si="21"/>
        <v>2.0622132904408501E-2</v>
      </c>
    </row>
    <row r="210" spans="1:12">
      <c r="A210" s="150" t="s">
        <v>251</v>
      </c>
      <c r="B210" s="161">
        <f>B208+B209</f>
        <v>1402.3102040816327</v>
      </c>
      <c r="C210" s="424">
        <f>B210-D210</f>
        <v>0</v>
      </c>
      <c r="D210" s="235">
        <f>D157</f>
        <v>1402.3102040816327</v>
      </c>
      <c r="E210" s="119">
        <f t="shared" si="15"/>
        <v>22239.717903736178</v>
      </c>
      <c r="F210" s="424">
        <f t="shared" si="16"/>
        <v>57002.358074723583</v>
      </c>
      <c r="G210" s="395">
        <f t="shared" si="13"/>
        <v>63054.316163158277</v>
      </c>
      <c r="H210" s="561">
        <f t="shared" si="17"/>
        <v>6.3054316163158278E-2</v>
      </c>
      <c r="I210" s="558">
        <f>C210/F210*1000000</f>
        <v>0</v>
      </c>
      <c r="J210" s="425">
        <f>I210/1000000</f>
        <v>0</v>
      </c>
      <c r="K210" s="426">
        <f>D210/F210*1000000</f>
        <v>24600.915671652816</v>
      </c>
      <c r="L210" s="434">
        <f>K210/1000000</f>
        <v>2.4600915671652818E-2</v>
      </c>
    </row>
    <row r="211" spans="1:12">
      <c r="A211" s="151" t="s">
        <v>238</v>
      </c>
      <c r="B211" s="161">
        <f>B210/32*96</f>
        <v>4206.9306122448979</v>
      </c>
      <c r="C211" s="424">
        <f>B211-D211</f>
        <v>0</v>
      </c>
      <c r="D211" s="235">
        <f>D158</f>
        <v>4206.9306122448979</v>
      </c>
      <c r="E211" s="119">
        <f t="shared" si="15"/>
        <v>22239.717903736178</v>
      </c>
      <c r="F211" s="424">
        <f t="shared" si="16"/>
        <v>57002.358074723583</v>
      </c>
      <c r="G211" s="395">
        <f t="shared" si="13"/>
        <v>189162.94848947483</v>
      </c>
      <c r="H211" s="561">
        <f t="shared" si="17"/>
        <v>0.18916294848947482</v>
      </c>
      <c r="I211" s="558">
        <f>C211/F211*1000000</f>
        <v>0</v>
      </c>
      <c r="J211" s="425">
        <f>I211/1000000</f>
        <v>0</v>
      </c>
      <c r="K211" s="426">
        <f>D211/F211*1000000</f>
        <v>73802.747014958441</v>
      </c>
      <c r="L211" s="434">
        <f>K211/1000000</f>
        <v>7.3802747014958439E-2</v>
      </c>
    </row>
    <row r="212" spans="1:12">
      <c r="A212" s="151" t="s">
        <v>239</v>
      </c>
      <c r="B212" s="161">
        <f>B210/32*136</f>
        <v>5959.8183673469393</v>
      </c>
      <c r="C212" s="424">
        <f>B212-D212</f>
        <v>0</v>
      </c>
      <c r="D212" s="235">
        <f>D159</f>
        <v>5959.8183673469393</v>
      </c>
      <c r="E212" s="119">
        <f t="shared" si="15"/>
        <v>22239.717903736178</v>
      </c>
      <c r="F212" s="424">
        <f t="shared" si="16"/>
        <v>57002.358074723583</v>
      </c>
      <c r="G212" s="395">
        <f t="shared" si="13"/>
        <v>267980.84369342274</v>
      </c>
      <c r="H212" s="561">
        <f t="shared" si="17"/>
        <v>0.26798084369342273</v>
      </c>
      <c r="I212" s="558">
        <f>C212/F212*1000000</f>
        <v>0</v>
      </c>
      <c r="J212" s="425">
        <f>I212/1000000</f>
        <v>0</v>
      </c>
      <c r="K212" s="426">
        <f>D212/F212*1000000</f>
        <v>104553.89160452447</v>
      </c>
      <c r="L212" s="434">
        <f>K212/1000000</f>
        <v>0.10455389160452447</v>
      </c>
    </row>
    <row r="213" spans="1:12">
      <c r="A213" s="151" t="s">
        <v>248</v>
      </c>
      <c r="B213" s="161">
        <f>C160</f>
        <v>16.294524609714486</v>
      </c>
      <c r="C213" s="424">
        <f>B213-D213</f>
        <v>0</v>
      </c>
      <c r="D213" s="235">
        <f>D160</f>
        <v>16.294524609714486</v>
      </c>
      <c r="E213" s="119">
        <f t="shared" si="15"/>
        <v>22239.717903736178</v>
      </c>
      <c r="F213" s="424">
        <f t="shared" si="16"/>
        <v>57002.358074723583</v>
      </c>
      <c r="G213" s="395">
        <f>B213/E213*1000000</f>
        <v>732.6767668656928</v>
      </c>
      <c r="H213" s="561">
        <f t="shared" si="17"/>
        <v>7.3267676686569283E-4</v>
      </c>
      <c r="I213" s="558">
        <f>C213/F213*1000000</f>
        <v>0</v>
      </c>
      <c r="J213" s="425">
        <f>I213/1000000</f>
        <v>0</v>
      </c>
      <c r="K213" s="426">
        <f>D213/F213*1000000</f>
        <v>285.85702697341441</v>
      </c>
      <c r="L213" s="434">
        <f>K213/1000000</f>
        <v>2.8585702697341443E-4</v>
      </c>
    </row>
    <row r="214" spans="1:12" ht="14.65" thickBot="1">
      <c r="A214" s="152" t="s">
        <v>86</v>
      </c>
      <c r="B214" s="162">
        <f>B103</f>
        <v>28.236000000000001</v>
      </c>
      <c r="C214" s="435">
        <f t="shared" si="14"/>
        <v>0.55639753293218774</v>
      </c>
      <c r="D214" s="236">
        <f>D103+D161</f>
        <v>27.679602467067813</v>
      </c>
      <c r="E214" s="135">
        <f t="shared" si="15"/>
        <v>22239.717903736178</v>
      </c>
      <c r="F214" s="435">
        <f t="shared" si="16"/>
        <v>57002.358074723583</v>
      </c>
      <c r="G214" s="405">
        <f>B214/E214*1000000</f>
        <v>1269.620420646454</v>
      </c>
      <c r="H214" s="562">
        <f t="shared" si="17"/>
        <v>1.269620420646454E-3</v>
      </c>
      <c r="I214" s="559">
        <f t="shared" si="18"/>
        <v>9.7609564187294513</v>
      </c>
      <c r="J214" s="436">
        <f t="shared" si="19"/>
        <v>9.7609564187294515E-6</v>
      </c>
      <c r="K214" s="437">
        <f t="shared" si="20"/>
        <v>485.5869722228511</v>
      </c>
      <c r="L214" s="439">
        <f t="shared" si="21"/>
        <v>4.8558697222285109E-4</v>
      </c>
    </row>
    <row r="216" spans="1:12">
      <c r="A216" s="1" t="s">
        <v>125</v>
      </c>
      <c r="B216" s="1"/>
      <c r="C216" s="1"/>
    </row>
    <row r="217" spans="1:12" hidden="1">
      <c r="A217" s="816" t="s">
        <v>439</v>
      </c>
      <c r="C217" s="715"/>
    </row>
    <row r="218" spans="1:12" ht="14.65" hidden="1" thickBot="1">
      <c r="A218" s="715">
        <v>644</v>
      </c>
    </row>
    <row r="219" spans="1:12" ht="14.65" hidden="1" thickBot="1">
      <c r="A219" s="191" t="s">
        <v>440</v>
      </c>
      <c r="B219" s="192" t="s">
        <v>18</v>
      </c>
      <c r="C219" s="193" t="s">
        <v>106</v>
      </c>
      <c r="G219" s="715"/>
    </row>
    <row r="220" spans="1:12" hidden="1">
      <c r="A220" s="703" t="s">
        <v>276</v>
      </c>
      <c r="B220" s="293" t="s">
        <v>441</v>
      </c>
      <c r="C220" s="817">
        <v>177.79</v>
      </c>
    </row>
    <row r="221" spans="1:12" ht="14.65" hidden="1" thickBot="1">
      <c r="A221" s="734" t="s">
        <v>338</v>
      </c>
      <c r="B221" s="403" t="s">
        <v>441</v>
      </c>
      <c r="C221" s="819">
        <v>20</v>
      </c>
    </row>
    <row r="222" spans="1:12" hidden="1">
      <c r="A222" s="703" t="s">
        <v>284</v>
      </c>
      <c r="B222" s="692" t="s">
        <v>441</v>
      </c>
      <c r="C222" s="817">
        <v>89.88</v>
      </c>
    </row>
    <row r="223" spans="1:12" hidden="1">
      <c r="A223" s="232" t="s">
        <v>281</v>
      </c>
      <c r="B223" s="178" t="s">
        <v>441</v>
      </c>
      <c r="C223" s="818">
        <v>52.38</v>
      </c>
    </row>
    <row r="224" spans="1:12" hidden="1">
      <c r="A224" s="232" t="s">
        <v>442</v>
      </c>
      <c r="B224" s="178" t="s">
        <v>441</v>
      </c>
      <c r="C224" s="818">
        <v>28.74</v>
      </c>
    </row>
    <row r="225" spans="1:3" hidden="1">
      <c r="A225" s="232" t="s">
        <v>473</v>
      </c>
      <c r="B225" s="178" t="s">
        <v>441</v>
      </c>
      <c r="C225" s="818">
        <v>22.05</v>
      </c>
    </row>
    <row r="226" spans="1:3" hidden="1">
      <c r="A226" s="232" t="s">
        <v>443</v>
      </c>
      <c r="B226" s="178" t="s">
        <v>441</v>
      </c>
      <c r="C226" s="818">
        <f>C220+C221-C223-C222-C224-C225</f>
        <v>4.740000000000002</v>
      </c>
    </row>
    <row r="227" spans="1:3" ht="14.65" hidden="1" thickBot="1">
      <c r="A227" s="869" t="s">
        <v>444</v>
      </c>
      <c r="B227" s="163" t="s">
        <v>237</v>
      </c>
      <c r="C227" s="870">
        <f>C226/(C220+C221)</f>
        <v>2.3964811163355085E-2</v>
      </c>
    </row>
    <row r="228" spans="1:3" hidden="1"/>
    <row r="229" spans="1:3" ht="14.65" hidden="1" thickBot="1">
      <c r="A229" s="715">
        <v>645</v>
      </c>
    </row>
    <row r="230" spans="1:3" ht="14.65" hidden="1" thickBot="1">
      <c r="A230" s="191" t="s">
        <v>440</v>
      </c>
      <c r="B230" s="192" t="s">
        <v>18</v>
      </c>
      <c r="C230" s="193" t="s">
        <v>106</v>
      </c>
    </row>
    <row r="231" spans="1:3" hidden="1">
      <c r="A231" s="703" t="s">
        <v>276</v>
      </c>
      <c r="B231" s="293" t="s">
        <v>441</v>
      </c>
      <c r="C231" s="817">
        <v>178</v>
      </c>
    </row>
    <row r="232" spans="1:3" ht="14.65" hidden="1" thickBot="1">
      <c r="A232" s="734" t="s">
        <v>338</v>
      </c>
      <c r="B232" s="403" t="s">
        <v>441</v>
      </c>
      <c r="C232" s="819">
        <v>40</v>
      </c>
    </row>
    <row r="233" spans="1:3" hidden="1">
      <c r="A233" s="703" t="s">
        <v>284</v>
      </c>
      <c r="B233" s="692" t="s">
        <v>441</v>
      </c>
      <c r="C233" s="817">
        <v>86.87</v>
      </c>
    </row>
    <row r="234" spans="1:3" hidden="1">
      <c r="A234" s="232" t="s">
        <v>281</v>
      </c>
      <c r="B234" s="178" t="s">
        <v>441</v>
      </c>
      <c r="C234" s="818">
        <v>61.46</v>
      </c>
    </row>
    <row r="235" spans="1:3" hidden="1">
      <c r="A235" s="232" t="s">
        <v>442</v>
      </c>
      <c r="B235" s="178" t="s">
        <v>441</v>
      </c>
      <c r="C235" s="818">
        <v>52.8</v>
      </c>
    </row>
    <row r="236" spans="1:3" hidden="1">
      <c r="A236" s="232" t="s">
        <v>473</v>
      </c>
      <c r="B236" s="178" t="s">
        <v>441</v>
      </c>
      <c r="C236" s="818">
        <v>15.84</v>
      </c>
    </row>
    <row r="237" spans="1:3" hidden="1">
      <c r="A237" s="232" t="s">
        <v>443</v>
      </c>
      <c r="B237" s="178" t="s">
        <v>441</v>
      </c>
      <c r="C237" s="818">
        <f>C231+C232-C234-C233-C235-C236</f>
        <v>1.0299999999999905</v>
      </c>
    </row>
    <row r="238" spans="1:3" ht="14.65" hidden="1" thickBot="1">
      <c r="A238" s="869" t="s">
        <v>444</v>
      </c>
      <c r="B238" s="163" t="s">
        <v>237</v>
      </c>
      <c r="C238" s="870">
        <f>C237/(C231+C232)</f>
        <v>4.7247706422017914E-3</v>
      </c>
    </row>
    <row r="239" spans="1:3" hidden="1"/>
    <row r="240" spans="1:3" ht="14.65" hidden="1" thickBot="1">
      <c r="A240" s="715">
        <v>646</v>
      </c>
    </row>
    <row r="241" spans="1:3" ht="14.65" hidden="1" thickBot="1">
      <c r="A241" s="191" t="s">
        <v>440</v>
      </c>
      <c r="B241" s="192" t="s">
        <v>18</v>
      </c>
      <c r="C241" s="193" t="s">
        <v>106</v>
      </c>
    </row>
    <row r="242" spans="1:3" hidden="1">
      <c r="A242" s="703" t="s">
        <v>276</v>
      </c>
      <c r="B242" s="293" t="s">
        <v>441</v>
      </c>
      <c r="C242" s="817">
        <v>169.94</v>
      </c>
    </row>
    <row r="243" spans="1:3" ht="14.65" hidden="1" thickBot="1">
      <c r="A243" s="734" t="s">
        <v>338</v>
      </c>
      <c r="B243" s="403" t="s">
        <v>441</v>
      </c>
      <c r="C243" s="819">
        <v>60</v>
      </c>
    </row>
    <row r="244" spans="1:3" hidden="1">
      <c r="A244" s="703" t="s">
        <v>284</v>
      </c>
      <c r="B244" s="692" t="s">
        <v>441</v>
      </c>
      <c r="C244" s="817">
        <v>80.22</v>
      </c>
    </row>
    <row r="245" spans="1:3" hidden="1">
      <c r="A245" s="232" t="s">
        <v>281</v>
      </c>
      <c r="B245" s="178" t="s">
        <v>441</v>
      </c>
      <c r="C245" s="818">
        <v>61.95</v>
      </c>
    </row>
    <row r="246" spans="1:3" hidden="1">
      <c r="A246" s="232" t="s">
        <v>442</v>
      </c>
      <c r="B246" s="178" t="s">
        <v>441</v>
      </c>
      <c r="C246" s="818">
        <v>72.52</v>
      </c>
    </row>
    <row r="247" spans="1:3" hidden="1">
      <c r="A247" s="232" t="s">
        <v>473</v>
      </c>
      <c r="B247" s="178" t="s">
        <v>441</v>
      </c>
      <c r="C247" s="818">
        <v>18.149999999999999</v>
      </c>
    </row>
    <row r="248" spans="1:3" hidden="1">
      <c r="A248" s="232" t="s">
        <v>443</v>
      </c>
      <c r="B248" s="178" t="s">
        <v>441</v>
      </c>
      <c r="C248" s="818">
        <f>C242+C243-C245-C244-C246-C247</f>
        <v>-2.8999999999999844</v>
      </c>
    </row>
    <row r="249" spans="1:3" ht="14.65" hidden="1" thickBot="1">
      <c r="A249" s="869" t="s">
        <v>444</v>
      </c>
      <c r="B249" s="163" t="s">
        <v>237</v>
      </c>
      <c r="C249" s="870">
        <f>C248/(C242+C243)</f>
        <v>-1.2611985735409168E-2</v>
      </c>
    </row>
    <row r="250" spans="1:3" hidden="1"/>
    <row r="251" spans="1:3" ht="14.65" hidden="1" thickBot="1">
      <c r="A251" s="715">
        <v>647</v>
      </c>
    </row>
    <row r="252" spans="1:3" ht="14.65" hidden="1" thickBot="1">
      <c r="A252" s="191" t="s">
        <v>440</v>
      </c>
      <c r="B252" s="192" t="s">
        <v>18</v>
      </c>
      <c r="C252" s="193" t="s">
        <v>106</v>
      </c>
    </row>
    <row r="253" spans="1:3" hidden="1">
      <c r="A253" s="703" t="s">
        <v>276</v>
      </c>
      <c r="B253" s="293" t="s">
        <v>441</v>
      </c>
      <c r="C253" s="817">
        <v>178.84</v>
      </c>
    </row>
    <row r="254" spans="1:3" ht="14.65" hidden="1" thickBot="1">
      <c r="A254" s="734" t="s">
        <v>338</v>
      </c>
      <c r="B254" s="403" t="s">
        <v>441</v>
      </c>
      <c r="C254" s="819">
        <v>70</v>
      </c>
    </row>
    <row r="255" spans="1:3" hidden="1">
      <c r="A255" s="703" t="s">
        <v>284</v>
      </c>
      <c r="B255" s="692" t="s">
        <v>441</v>
      </c>
      <c r="C255" s="817">
        <v>82.82</v>
      </c>
    </row>
    <row r="256" spans="1:3" hidden="1">
      <c r="A256" s="232" t="s">
        <v>281</v>
      </c>
      <c r="B256" s="178" t="s">
        <v>441</v>
      </c>
      <c r="C256" s="818">
        <v>58.68</v>
      </c>
    </row>
    <row r="257" spans="1:3" hidden="1">
      <c r="A257" s="232" t="s">
        <v>442</v>
      </c>
      <c r="B257" s="178" t="s">
        <v>441</v>
      </c>
      <c r="C257" s="818">
        <v>86.47</v>
      </c>
    </row>
    <row r="258" spans="1:3" hidden="1">
      <c r="A258" s="232" t="s">
        <v>473</v>
      </c>
      <c r="B258" s="178" t="s">
        <v>441</v>
      </c>
      <c r="C258" s="818">
        <v>14.85</v>
      </c>
    </row>
    <row r="259" spans="1:3" hidden="1">
      <c r="A259" s="232" t="s">
        <v>443</v>
      </c>
      <c r="B259" s="178" t="s">
        <v>441</v>
      </c>
      <c r="C259" s="818">
        <f>C253+C254-C256-C255-C257-C258</f>
        <v>6.0200000000000049</v>
      </c>
    </row>
    <row r="260" spans="1:3" ht="14.65" hidden="1" thickBot="1">
      <c r="A260" s="869" t="s">
        <v>444</v>
      </c>
      <c r="B260" s="163" t="s">
        <v>237</v>
      </c>
      <c r="C260" s="870">
        <f>C259/(C253+C254)</f>
        <v>2.4192252049509744E-2</v>
      </c>
    </row>
    <row r="261" spans="1:3" hidden="1"/>
    <row r="262" spans="1:3" ht="14.65" hidden="1" thickBot="1">
      <c r="A262" s="715">
        <v>648</v>
      </c>
    </row>
    <row r="263" spans="1:3" ht="14.65" hidden="1" thickBot="1">
      <c r="A263" s="191" t="s">
        <v>440</v>
      </c>
      <c r="B263" s="192" t="s">
        <v>18</v>
      </c>
      <c r="C263" s="193" t="s">
        <v>106</v>
      </c>
    </row>
    <row r="264" spans="1:3" hidden="1">
      <c r="A264" s="703" t="s">
        <v>276</v>
      </c>
      <c r="B264" s="293" t="s">
        <v>441</v>
      </c>
      <c r="C264" s="817">
        <v>178.41</v>
      </c>
    </row>
    <row r="265" spans="1:3" ht="14.65" hidden="1" thickBot="1">
      <c r="A265" s="734" t="s">
        <v>338</v>
      </c>
      <c r="B265" s="403" t="s">
        <v>441</v>
      </c>
      <c r="C265" s="819">
        <v>80</v>
      </c>
    </row>
    <row r="266" spans="1:3" hidden="1">
      <c r="A266" s="703" t="s">
        <v>284</v>
      </c>
      <c r="B266" s="692" t="s">
        <v>441</v>
      </c>
      <c r="C266" s="817">
        <v>83.79</v>
      </c>
    </row>
    <row r="267" spans="1:3" hidden="1">
      <c r="A267" s="232" t="s">
        <v>281</v>
      </c>
      <c r="B267" s="178" t="s">
        <v>441</v>
      </c>
      <c r="C267" s="818">
        <v>58.55</v>
      </c>
    </row>
    <row r="268" spans="1:3" hidden="1">
      <c r="A268" s="232" t="s">
        <v>442</v>
      </c>
      <c r="B268" s="178" t="s">
        <v>441</v>
      </c>
      <c r="C268" s="818">
        <v>106.95</v>
      </c>
    </row>
    <row r="269" spans="1:3" hidden="1">
      <c r="A269" s="232" t="s">
        <v>473</v>
      </c>
      <c r="B269" s="178" t="s">
        <v>441</v>
      </c>
      <c r="C269" s="818">
        <v>3</v>
      </c>
    </row>
    <row r="270" spans="1:3" hidden="1">
      <c r="A270" s="232" t="s">
        <v>443</v>
      </c>
      <c r="B270" s="178" t="s">
        <v>441</v>
      </c>
      <c r="C270" s="818">
        <f>C264+C265-C267-C266-C268-C269</f>
        <v>6.1199999999999477</v>
      </c>
    </row>
    <row r="271" spans="1:3" ht="14.65" hidden="1" thickBot="1">
      <c r="A271" s="869" t="s">
        <v>444</v>
      </c>
      <c r="B271" s="163" t="s">
        <v>237</v>
      </c>
      <c r="C271" s="870">
        <f>C270/(C264+C265)</f>
        <v>2.3683293990170461E-2</v>
      </c>
    </row>
    <row r="272" spans="1:3" hidden="1"/>
    <row r="273" spans="1:5" ht="14.65" thickBot="1">
      <c r="A273" s="717" t="s">
        <v>444</v>
      </c>
    </row>
    <row r="274" spans="1:5" ht="14.65" thickBot="1">
      <c r="A274" s="918" t="s">
        <v>444</v>
      </c>
      <c r="B274" s="101" t="s">
        <v>237</v>
      </c>
      <c r="C274" s="914">
        <f>(C227+C238+C249+C260+C271)/5</f>
        <v>1.2790628421965582E-2</v>
      </c>
    </row>
    <row r="276" spans="1:5" ht="14.65" thickBot="1">
      <c r="A276" s="823" t="s">
        <v>439</v>
      </c>
    </row>
    <row r="277" spans="1:5" ht="14.65" thickBot="1">
      <c r="A277" s="888" t="s">
        <v>461</v>
      </c>
      <c r="B277" s="889" t="s">
        <v>462</v>
      </c>
      <c r="C277" s="890" t="s">
        <v>463</v>
      </c>
    </row>
    <row r="278" spans="1:5" ht="14.65" thickBot="1">
      <c r="A278" s="456">
        <v>0.62634496250407568</v>
      </c>
      <c r="B278" s="457">
        <v>0.37365503749592438</v>
      </c>
      <c r="C278" s="458">
        <v>0.4094383112944317</v>
      </c>
    </row>
    <row r="280" spans="1:5" ht="14.65" thickBot="1">
      <c r="A280" s="329" t="s">
        <v>647</v>
      </c>
    </row>
    <row r="281" spans="1:5" ht="14.65" thickBot="1">
      <c r="A281" s="913" t="s">
        <v>647</v>
      </c>
      <c r="B281" s="516" t="s">
        <v>237</v>
      </c>
      <c r="C281" s="914">
        <v>1.0435000000000001</v>
      </c>
    </row>
    <row r="283" spans="1:5" ht="14.65" thickBot="1">
      <c r="A283" s="823" t="s">
        <v>577</v>
      </c>
      <c r="B283" s="824"/>
      <c r="C283" s="824"/>
      <c r="E283" s="917"/>
    </row>
    <row r="284" spans="1:5" ht="14.65" thickBot="1">
      <c r="A284" s="891" t="s">
        <v>578</v>
      </c>
      <c r="B284" s="892" t="s">
        <v>579</v>
      </c>
      <c r="C284" s="915" t="s">
        <v>580</v>
      </c>
    </row>
    <row r="285" spans="1:5" ht="14.65" thickBot="1">
      <c r="A285" s="893">
        <f>C319</f>
        <v>0.64192138237093976</v>
      </c>
      <c r="B285" s="894">
        <f>C321</f>
        <v>0.35807861762906029</v>
      </c>
      <c r="C285" s="916">
        <f>TSFE*C281</f>
        <v>0.4272488778357395</v>
      </c>
    </row>
    <row r="287" spans="1:5" ht="14.65" thickBot="1">
      <c r="A287" s="79" t="s">
        <v>287</v>
      </c>
    </row>
    <row r="288" spans="1:5" ht="14.65" thickBot="1">
      <c r="A288" s="103" t="s">
        <v>53</v>
      </c>
      <c r="B288" s="102" t="s">
        <v>18</v>
      </c>
      <c r="C288" s="17" t="s">
        <v>106</v>
      </c>
    </row>
    <row r="289" spans="1:3">
      <c r="A289" s="243" t="s">
        <v>6</v>
      </c>
      <c r="B289" s="269" t="s">
        <v>35</v>
      </c>
      <c r="C289" s="386">
        <f>C167</f>
        <v>57002.358074723583</v>
      </c>
    </row>
    <row r="290" spans="1:3">
      <c r="A290" s="415" t="s">
        <v>338</v>
      </c>
      <c r="B290" s="37" t="s">
        <v>52</v>
      </c>
      <c r="C290" s="631">
        <v>1.5</v>
      </c>
    </row>
    <row r="291" spans="1:3">
      <c r="A291" s="257" t="s">
        <v>623</v>
      </c>
      <c r="B291" s="278" t="s">
        <v>35</v>
      </c>
      <c r="C291" s="279">
        <f>C23</f>
        <v>12000</v>
      </c>
    </row>
    <row r="292" spans="1:3" ht="14.65" thickBot="1">
      <c r="A292" s="255" t="s">
        <v>338</v>
      </c>
      <c r="B292" s="271" t="s">
        <v>35</v>
      </c>
      <c r="C292" s="256">
        <f>WWK*C291</f>
        <v>18000</v>
      </c>
    </row>
    <row r="293" spans="1:3">
      <c r="A293" s="83"/>
      <c r="B293" s="77"/>
      <c r="C293" s="96"/>
    </row>
    <row r="294" spans="1:3" ht="14.65" thickBot="1">
      <c r="A294" s="823" t="s">
        <v>452</v>
      </c>
      <c r="B294" s="824"/>
      <c r="C294" s="824"/>
    </row>
    <row r="295" spans="1:3" ht="14.65" thickBot="1">
      <c r="A295" s="825" t="s">
        <v>90</v>
      </c>
      <c r="B295" s="826" t="s">
        <v>18</v>
      </c>
      <c r="C295" s="827" t="s">
        <v>91</v>
      </c>
    </row>
    <row r="296" spans="1:3">
      <c r="A296" s="828" t="s">
        <v>6</v>
      </c>
      <c r="B296" s="829" t="s">
        <v>35</v>
      </c>
      <c r="C296" s="830">
        <f>C289</f>
        <v>57002.358074723583</v>
      </c>
    </row>
    <row r="297" spans="1:3">
      <c r="A297" s="655" t="s">
        <v>338</v>
      </c>
      <c r="B297" s="831" t="s">
        <v>35</v>
      </c>
      <c r="C297" s="832">
        <f>C292</f>
        <v>18000</v>
      </c>
    </row>
    <row r="298" spans="1:3">
      <c r="A298" s="655" t="s">
        <v>339</v>
      </c>
      <c r="B298" s="831" t="s">
        <v>35</v>
      </c>
      <c r="C298" s="832">
        <f>C296+C297</f>
        <v>75002.358074723583</v>
      </c>
    </row>
    <row r="299" spans="1:3">
      <c r="A299" s="655" t="s">
        <v>444</v>
      </c>
      <c r="B299" s="831" t="s">
        <v>237</v>
      </c>
      <c r="C299" s="833">
        <f>C274</f>
        <v>1.2790628421965582E-2</v>
      </c>
    </row>
    <row r="300" spans="1:3">
      <c r="A300" s="655" t="s">
        <v>443</v>
      </c>
      <c r="B300" s="831" t="s">
        <v>35</v>
      </c>
      <c r="C300" s="832">
        <f>C298*C299</f>
        <v>959.32729290499924</v>
      </c>
    </row>
    <row r="301" spans="1:3">
      <c r="A301" s="655" t="s">
        <v>445</v>
      </c>
      <c r="B301" s="831" t="s">
        <v>35</v>
      </c>
      <c r="C301" s="832">
        <f>C298-C300</f>
        <v>74043.030781818583</v>
      </c>
    </row>
    <row r="302" spans="1:3">
      <c r="A302" s="655" t="s">
        <v>456</v>
      </c>
      <c r="B302" s="831" t="s">
        <v>24</v>
      </c>
      <c r="C302" s="834">
        <f>A278</f>
        <v>0.62634496250407568</v>
      </c>
    </row>
    <row r="303" spans="1:3">
      <c r="A303" s="897" t="s">
        <v>9</v>
      </c>
      <c r="B303" s="835" t="s">
        <v>35</v>
      </c>
      <c r="C303" s="898">
        <f>C301*C302</f>
        <v>46376.479338726283</v>
      </c>
    </row>
    <row r="304" spans="1:3">
      <c r="A304" s="655" t="s">
        <v>457</v>
      </c>
      <c r="B304" s="831" t="s">
        <v>24</v>
      </c>
      <c r="C304" s="834">
        <f>B278</f>
        <v>0.37365503749592438</v>
      </c>
    </row>
    <row r="305" spans="1:3">
      <c r="A305" s="897" t="s">
        <v>11</v>
      </c>
      <c r="B305" s="835" t="s">
        <v>35</v>
      </c>
      <c r="C305" s="899">
        <f>C301*C304</f>
        <v>27666.551443092307</v>
      </c>
    </row>
    <row r="306" spans="1:3">
      <c r="A306" s="655" t="s">
        <v>458</v>
      </c>
      <c r="B306" s="831" t="s">
        <v>24</v>
      </c>
      <c r="C306" s="836">
        <f>C278</f>
        <v>0.4094383112944317</v>
      </c>
    </row>
    <row r="307" spans="1:3">
      <c r="A307" s="655" t="s">
        <v>421</v>
      </c>
      <c r="B307" s="831" t="s">
        <v>35</v>
      </c>
      <c r="C307" s="837">
        <f>C305*C306</f>
        <v>11327.746102200237</v>
      </c>
    </row>
    <row r="308" spans="1:3">
      <c r="A308" s="655" t="s">
        <v>132</v>
      </c>
      <c r="B308" s="831" t="s">
        <v>24</v>
      </c>
      <c r="C308" s="836">
        <f>1-C306</f>
        <v>0.59056168870556824</v>
      </c>
    </row>
    <row r="309" spans="1:3" ht="14.65" thickBot="1">
      <c r="A309" s="821" t="s">
        <v>340</v>
      </c>
      <c r="B309" s="838" t="s">
        <v>35</v>
      </c>
      <c r="C309" s="839">
        <f>C305*C308</f>
        <v>16338.80534089207</v>
      </c>
    </row>
    <row r="310" spans="1:3">
      <c r="A310" s="895"/>
      <c r="B310" s="895"/>
      <c r="C310" s="896"/>
    </row>
    <row r="311" spans="1:3" ht="14.65" thickBot="1">
      <c r="A311" s="823" t="s">
        <v>464</v>
      </c>
      <c r="B311" s="824"/>
      <c r="C311" s="824"/>
    </row>
    <row r="312" spans="1:3" ht="14.65" thickBot="1">
      <c r="A312" s="825" t="s">
        <v>90</v>
      </c>
      <c r="B312" s="826" t="s">
        <v>18</v>
      </c>
      <c r="C312" s="827" t="s">
        <v>91</v>
      </c>
    </row>
    <row r="313" spans="1:3">
      <c r="A313" s="828" t="s">
        <v>6</v>
      </c>
      <c r="B313" s="829" t="s">
        <v>35</v>
      </c>
      <c r="C313" s="830">
        <f>C289</f>
        <v>57002.358074723583</v>
      </c>
    </row>
    <row r="314" spans="1:3">
      <c r="A314" s="655" t="s">
        <v>338</v>
      </c>
      <c r="B314" s="831" t="s">
        <v>35</v>
      </c>
      <c r="C314" s="832">
        <f>C292</f>
        <v>18000</v>
      </c>
    </row>
    <row r="315" spans="1:3">
      <c r="A315" s="655" t="s">
        <v>339</v>
      </c>
      <c r="B315" s="831" t="s">
        <v>35</v>
      </c>
      <c r="C315" s="832">
        <f>C313+C314</f>
        <v>75002.358074723583</v>
      </c>
    </row>
    <row r="316" spans="1:3">
      <c r="A316" s="655" t="s">
        <v>444</v>
      </c>
      <c r="B316" s="831" t="s">
        <v>237</v>
      </c>
      <c r="C316" s="833">
        <f>C299</f>
        <v>1.2790628421965582E-2</v>
      </c>
    </row>
    <row r="317" spans="1:3">
      <c r="A317" s="655" t="s">
        <v>443</v>
      </c>
      <c r="B317" s="831" t="s">
        <v>35</v>
      </c>
      <c r="C317" s="832">
        <f>C315*C316</f>
        <v>959.32729290499924</v>
      </c>
    </row>
    <row r="318" spans="1:3">
      <c r="A318" s="655" t="s">
        <v>445</v>
      </c>
      <c r="B318" s="831" t="s">
        <v>35</v>
      </c>
      <c r="C318" s="832">
        <f>C315-C317</f>
        <v>74043.030781818583</v>
      </c>
    </row>
    <row r="319" spans="1:3">
      <c r="A319" s="655" t="s">
        <v>578</v>
      </c>
      <c r="B319" s="831" t="s">
        <v>24</v>
      </c>
      <c r="C319" s="834">
        <f>C320/C318</f>
        <v>0.64192138237093976</v>
      </c>
    </row>
    <row r="320" spans="1:3">
      <c r="A320" s="841" t="s">
        <v>9</v>
      </c>
      <c r="B320" s="835" t="s">
        <v>35</v>
      </c>
      <c r="C320" s="842">
        <f>C318-C322</f>
        <v>47529.804674399027</v>
      </c>
    </row>
    <row r="321" spans="1:3">
      <c r="A321" s="655" t="s">
        <v>579</v>
      </c>
      <c r="B321" s="831" t="s">
        <v>24</v>
      </c>
      <c r="C321" s="834">
        <f>C322/C318</f>
        <v>0.35807861762906029</v>
      </c>
    </row>
    <row r="322" spans="1:3">
      <c r="A322" s="841" t="s">
        <v>11</v>
      </c>
      <c r="B322" s="835" t="s">
        <v>35</v>
      </c>
      <c r="C322" s="843">
        <f>C324/C323</f>
        <v>26513.226107419556</v>
      </c>
    </row>
    <row r="323" spans="1:3">
      <c r="A323" s="655" t="s">
        <v>580</v>
      </c>
      <c r="B323" s="831" t="s">
        <v>24</v>
      </c>
      <c r="C323" s="836">
        <f>C285</f>
        <v>0.4272488778357395</v>
      </c>
    </row>
    <row r="324" spans="1:3">
      <c r="A324" s="655" t="s">
        <v>421</v>
      </c>
      <c r="B324" s="831" t="s">
        <v>35</v>
      </c>
      <c r="C324" s="837">
        <f>C307</f>
        <v>11327.746102200237</v>
      </c>
    </row>
    <row r="325" spans="1:3">
      <c r="A325" s="655" t="s">
        <v>132</v>
      </c>
      <c r="B325" s="831" t="s">
        <v>24</v>
      </c>
      <c r="C325" s="836">
        <f>1-C323</f>
        <v>0.5727511221642605</v>
      </c>
    </row>
    <row r="326" spans="1:3" ht="14.65" thickBot="1">
      <c r="A326" s="821" t="s">
        <v>340</v>
      </c>
      <c r="B326" s="838" t="s">
        <v>35</v>
      </c>
      <c r="C326" s="839">
        <f>C322*C325</f>
        <v>15185.480005219319</v>
      </c>
    </row>
    <row r="328" spans="1:3" ht="14.65" thickBot="1">
      <c r="A328" s="79" t="s">
        <v>133</v>
      </c>
      <c r="B328" s="79"/>
      <c r="C328" s="79"/>
    </row>
    <row r="329" spans="1:3" ht="14.65" thickBot="1">
      <c r="A329" s="103" t="s">
        <v>90</v>
      </c>
      <c r="B329" s="102" t="s">
        <v>18</v>
      </c>
      <c r="C329" s="17" t="s">
        <v>106</v>
      </c>
    </row>
    <row r="330" spans="1:3">
      <c r="A330" s="272" t="s">
        <v>623</v>
      </c>
      <c r="B330" s="296" t="s">
        <v>35</v>
      </c>
      <c r="C330" s="297">
        <f>$C$23</f>
        <v>12000</v>
      </c>
    </row>
    <row r="331" spans="1:3">
      <c r="A331" s="257" t="s">
        <v>329</v>
      </c>
      <c r="B331" s="278" t="s">
        <v>35</v>
      </c>
      <c r="C331" s="295">
        <f>$C$26</f>
        <v>3600</v>
      </c>
    </row>
    <row r="332" spans="1:3">
      <c r="A332" s="257" t="s">
        <v>428</v>
      </c>
      <c r="B332" s="278" t="s">
        <v>35</v>
      </c>
      <c r="C332" s="295">
        <f>$C$31</f>
        <v>6600.0000000000009</v>
      </c>
    </row>
    <row r="333" spans="1:3">
      <c r="A333" s="257" t="s">
        <v>115</v>
      </c>
      <c r="B333" s="278" t="s">
        <v>24</v>
      </c>
      <c r="C333" s="312">
        <f>$B$107</f>
        <v>0.05</v>
      </c>
    </row>
    <row r="334" spans="1:3">
      <c r="A334" s="257" t="s">
        <v>334</v>
      </c>
      <c r="B334" s="278" t="s">
        <v>35</v>
      </c>
      <c r="C334" s="295">
        <f>$C$123</f>
        <v>794.35807472358113</v>
      </c>
    </row>
    <row r="335" spans="1:3">
      <c r="A335" s="257" t="s">
        <v>429</v>
      </c>
      <c r="B335" s="278" t="s">
        <v>35</v>
      </c>
      <c r="C335" s="295">
        <f>C334*C333</f>
        <v>39.717903736179061</v>
      </c>
    </row>
    <row r="336" spans="1:3">
      <c r="A336" s="281" t="s">
        <v>421</v>
      </c>
      <c r="B336" s="278" t="s">
        <v>35</v>
      </c>
      <c r="C336" s="289">
        <f>C324</f>
        <v>11327.746102200237</v>
      </c>
    </row>
    <row r="337" spans="1:3">
      <c r="A337" s="281" t="s">
        <v>448</v>
      </c>
      <c r="B337" s="278" t="s">
        <v>237</v>
      </c>
      <c r="C337" s="840">
        <f>C285</f>
        <v>0.4272488778357395</v>
      </c>
    </row>
    <row r="338" spans="1:3">
      <c r="A338" s="281" t="s">
        <v>446</v>
      </c>
      <c r="B338" s="278" t="s">
        <v>35</v>
      </c>
      <c r="C338" s="289">
        <f>C300*C337</f>
        <v>409.87150937085869</v>
      </c>
    </row>
    <row r="339" spans="1:3">
      <c r="A339" s="257" t="s">
        <v>341</v>
      </c>
      <c r="B339" s="278" t="s">
        <v>35</v>
      </c>
      <c r="C339" s="279">
        <f>C330+C331+C332+C335-C336-C338</f>
        <v>10502.100292165083</v>
      </c>
    </row>
    <row r="340" spans="1:3">
      <c r="A340" s="257" t="s">
        <v>9</v>
      </c>
      <c r="B340" s="278" t="s">
        <v>35</v>
      </c>
      <c r="C340" s="279">
        <f>C320</f>
        <v>47529.804674399027</v>
      </c>
    </row>
    <row r="341" spans="1:3">
      <c r="A341" s="299" t="s">
        <v>64</v>
      </c>
      <c r="B341" s="260" t="s">
        <v>24</v>
      </c>
      <c r="C341" s="300">
        <f>C339/C340</f>
        <v>0.22095820431220556</v>
      </c>
    </row>
    <row r="342" spans="1:3">
      <c r="A342" s="257" t="s">
        <v>366</v>
      </c>
      <c r="B342" s="278" t="s">
        <v>35</v>
      </c>
      <c r="C342" s="279">
        <f>$C$25</f>
        <v>34008</v>
      </c>
    </row>
    <row r="343" spans="1:3">
      <c r="A343" s="257" t="s">
        <v>117</v>
      </c>
      <c r="B343" s="278" t="s">
        <v>24</v>
      </c>
      <c r="C343" s="312">
        <f>1-$B$107</f>
        <v>0.95</v>
      </c>
    </row>
    <row r="344" spans="1:3">
      <c r="A344" s="257" t="s">
        <v>334</v>
      </c>
      <c r="B344" s="278" t="s">
        <v>35</v>
      </c>
      <c r="C344" s="295">
        <f>$C$123</f>
        <v>794.35807472358113</v>
      </c>
    </row>
    <row r="345" spans="1:3">
      <c r="A345" s="257" t="s">
        <v>356</v>
      </c>
      <c r="B345" s="278" t="s">
        <v>35</v>
      </c>
      <c r="C345" s="279">
        <f>C343*C344</f>
        <v>754.64017098740203</v>
      </c>
    </row>
    <row r="346" spans="1:3">
      <c r="A346" s="257" t="s">
        <v>338</v>
      </c>
      <c r="B346" s="278" t="s">
        <v>35</v>
      </c>
      <c r="C346" s="279">
        <f>$C$292</f>
        <v>18000</v>
      </c>
    </row>
    <row r="347" spans="1:3">
      <c r="A347" s="281" t="s">
        <v>340</v>
      </c>
      <c r="B347" s="278" t="s">
        <v>35</v>
      </c>
      <c r="C347" s="289">
        <f>C326</f>
        <v>15185.480005219319</v>
      </c>
    </row>
    <row r="348" spans="1:3">
      <c r="A348" s="281" t="s">
        <v>449</v>
      </c>
      <c r="B348" s="278" t="s">
        <v>237</v>
      </c>
      <c r="C348" s="840">
        <f>1-C337</f>
        <v>0.5727511221642605</v>
      </c>
    </row>
    <row r="349" spans="1:3">
      <c r="A349" s="281" t="s">
        <v>447</v>
      </c>
      <c r="B349" s="278" t="s">
        <v>35</v>
      </c>
      <c r="C349" s="289">
        <f>C300*C348</f>
        <v>549.45578353414055</v>
      </c>
    </row>
    <row r="350" spans="1:3">
      <c r="A350" s="257" t="s">
        <v>342</v>
      </c>
      <c r="B350" s="278" t="s">
        <v>35</v>
      </c>
      <c r="C350" s="279">
        <f>C342+C345+C346-C347-C349</f>
        <v>37027.704382233947</v>
      </c>
    </row>
    <row r="351" spans="1:3">
      <c r="A351" s="257" t="s">
        <v>9</v>
      </c>
      <c r="B351" s="278" t="s">
        <v>35</v>
      </c>
      <c r="C351" s="279">
        <f>C320</f>
        <v>47529.804674399027</v>
      </c>
    </row>
    <row r="352" spans="1:3" ht="14.65" thickBot="1">
      <c r="A352" s="301" t="s">
        <v>66</v>
      </c>
      <c r="B352" s="277" t="s">
        <v>24</v>
      </c>
      <c r="C352" s="303">
        <f>C350/C351</f>
        <v>0.77904179568779452</v>
      </c>
    </row>
    <row r="353" spans="1:8">
      <c r="A353" s="77"/>
      <c r="B353" s="77"/>
      <c r="C353" s="117"/>
    </row>
    <row r="354" spans="1:8" ht="14.65" thickBot="1">
      <c r="A354" s="79" t="s">
        <v>135</v>
      </c>
    </row>
    <row r="355" spans="1:8" ht="14.65" thickBot="1">
      <c r="A355" s="419"/>
      <c r="B355" s="1028" t="s">
        <v>262</v>
      </c>
      <c r="C355" s="1029"/>
      <c r="D355" s="1031"/>
      <c r="E355" s="1065" t="s">
        <v>263</v>
      </c>
      <c r="F355" s="1061"/>
      <c r="G355" s="1061"/>
      <c r="H355" s="1009"/>
    </row>
    <row r="356" spans="1:8">
      <c r="A356" s="92" t="s">
        <v>93</v>
      </c>
      <c r="B356" s="377" t="s">
        <v>243</v>
      </c>
      <c r="C356" s="491" t="s">
        <v>341</v>
      </c>
      <c r="D356" s="492" t="s">
        <v>281</v>
      </c>
      <c r="E356" s="1039" t="s">
        <v>269</v>
      </c>
      <c r="F356" s="1040"/>
      <c r="G356" s="1022" t="s">
        <v>282</v>
      </c>
      <c r="H356" s="1023"/>
    </row>
    <row r="357" spans="1:8" ht="14.65" thickBot="1">
      <c r="A357" s="93" t="s">
        <v>18</v>
      </c>
      <c r="B357" s="403" t="s">
        <v>35</v>
      </c>
      <c r="C357" s="154" t="s">
        <v>35</v>
      </c>
      <c r="D357" s="155" t="s">
        <v>35</v>
      </c>
      <c r="E357" s="153" t="s">
        <v>257</v>
      </c>
      <c r="F357" s="423" t="s">
        <v>237</v>
      </c>
      <c r="G357" s="403" t="s">
        <v>71</v>
      </c>
      <c r="H357" s="155" t="s">
        <v>237</v>
      </c>
    </row>
    <row r="358" spans="1:8">
      <c r="A358" s="148" t="s">
        <v>72</v>
      </c>
      <c r="B358" s="459">
        <f>C193*(1-C274)</f>
        <v>264.09129393126238</v>
      </c>
      <c r="C358" s="160">
        <f>$C$339</f>
        <v>10502.100292165083</v>
      </c>
      <c r="D358" s="467">
        <f>$C$320</f>
        <v>47529.804674399027</v>
      </c>
      <c r="E358" s="465">
        <f>B358/C358*1000000</f>
        <v>25146.521798909434</v>
      </c>
      <c r="F358" s="560">
        <f>E358/1000000</f>
        <v>2.5146521798909433E-2</v>
      </c>
      <c r="G358" s="443">
        <f>B358/D358*1000000</f>
        <v>5556.3303013847617</v>
      </c>
      <c r="H358" s="460">
        <f>G358/1000000</f>
        <v>5.5563303013847617E-3</v>
      </c>
    </row>
    <row r="359" spans="1:8">
      <c r="A359" s="149" t="s">
        <v>73</v>
      </c>
      <c r="B359" s="461">
        <f>C194*(1-C274)</f>
        <v>2.4441067674009088E-2</v>
      </c>
      <c r="C359" s="119">
        <f t="shared" ref="C359:C379" si="22">$C$339</f>
        <v>10502.100292165083</v>
      </c>
      <c r="D359" s="468">
        <f t="shared" ref="D359:D379" si="23">$C$320</f>
        <v>47529.804674399027</v>
      </c>
      <c r="E359" s="331">
        <f t="shared" ref="E359:E379" si="24">B359/C359*1000000</f>
        <v>2.3272552150585479</v>
      </c>
      <c r="F359" s="561">
        <f t="shared" ref="F359:F379" si="25">E359/1000000</f>
        <v>2.3272552150585478E-6</v>
      </c>
      <c r="G359" s="444">
        <f t="shared" ref="G359:G379" si="26">B359/D359*1000000</f>
        <v>0.51422613329555245</v>
      </c>
      <c r="H359" s="462">
        <f t="shared" ref="H359:H379" si="27">G359/1000000</f>
        <v>5.1422613329555247E-7</v>
      </c>
    </row>
    <row r="360" spans="1:8">
      <c r="A360" s="149" t="s">
        <v>74</v>
      </c>
      <c r="B360" s="461">
        <f>C195*(1-C274)</f>
        <v>268.24964128047651</v>
      </c>
      <c r="C360" s="119">
        <f t="shared" si="22"/>
        <v>10502.100292165083</v>
      </c>
      <c r="D360" s="468">
        <f t="shared" si="23"/>
        <v>47529.804674399027</v>
      </c>
      <c r="E360" s="331">
        <f t="shared" si="24"/>
        <v>25542.475677993636</v>
      </c>
      <c r="F360" s="561">
        <f t="shared" si="25"/>
        <v>2.5542475677993635E-2</v>
      </c>
      <c r="G360" s="444">
        <f t="shared" si="26"/>
        <v>5643.8195594976596</v>
      </c>
      <c r="H360" s="462">
        <f t="shared" si="27"/>
        <v>5.6438195594976596E-3</v>
      </c>
    </row>
    <row r="361" spans="1:8">
      <c r="A361" s="149" t="s">
        <v>75</v>
      </c>
      <c r="B361" s="461">
        <f>C196*(1-C274)</f>
        <v>9.2227811774606809E-3</v>
      </c>
      <c r="C361" s="119">
        <f t="shared" si="22"/>
        <v>10502.100292165083</v>
      </c>
      <c r="D361" s="468">
        <f t="shared" si="23"/>
        <v>47529.804674399027</v>
      </c>
      <c r="E361" s="331">
        <f t="shared" si="24"/>
        <v>0.87818445081325136</v>
      </c>
      <c r="F361" s="561">
        <f t="shared" si="25"/>
        <v>8.7818445081325141E-7</v>
      </c>
      <c r="G361" s="444">
        <f t="shared" si="26"/>
        <v>0.19404205930659646</v>
      </c>
      <c r="H361" s="462">
        <f t="shared" si="27"/>
        <v>1.9404205930659645E-7</v>
      </c>
    </row>
    <row r="362" spans="1:8">
      <c r="A362" s="149" t="s">
        <v>76</v>
      </c>
      <c r="B362" s="461">
        <f>C197*(1-C274)</f>
        <v>0.58517520926474909</v>
      </c>
      <c r="C362" s="119">
        <f t="shared" si="22"/>
        <v>10502.100292165083</v>
      </c>
      <c r="D362" s="468">
        <f t="shared" si="23"/>
        <v>47529.804674399027</v>
      </c>
      <c r="E362" s="331">
        <f t="shared" si="24"/>
        <v>55.719826795151562</v>
      </c>
      <c r="F362" s="561">
        <f t="shared" si="25"/>
        <v>5.5719826795151562E-5</v>
      </c>
      <c r="G362" s="444">
        <f t="shared" si="26"/>
        <v>12.311752873243806</v>
      </c>
      <c r="H362" s="462">
        <f t="shared" si="27"/>
        <v>1.2311752873243806E-5</v>
      </c>
    </row>
    <row r="363" spans="1:8">
      <c r="A363" s="150" t="s">
        <v>77</v>
      </c>
      <c r="B363" s="461">
        <f>C198*(1-C274)</f>
        <v>1.6340016197957118E-2</v>
      </c>
      <c r="C363" s="119">
        <f t="shared" si="22"/>
        <v>10502.100292165083</v>
      </c>
      <c r="D363" s="468">
        <f t="shared" si="23"/>
        <v>47529.804674399027</v>
      </c>
      <c r="E363" s="331">
        <f t="shared" si="24"/>
        <v>1.5558807994004127</v>
      </c>
      <c r="F363" s="561">
        <f t="shared" si="25"/>
        <v>1.5558807994004127E-6</v>
      </c>
      <c r="G363" s="444">
        <f t="shared" si="26"/>
        <v>0.34378462755935413</v>
      </c>
      <c r="H363" s="462">
        <f t="shared" si="27"/>
        <v>3.4378462755935412E-7</v>
      </c>
    </row>
    <row r="364" spans="1:8">
      <c r="A364" s="150" t="s">
        <v>78</v>
      </c>
      <c r="B364" s="461">
        <f>C199*(1-C274)</f>
        <v>462.34181856078112</v>
      </c>
      <c r="C364" s="119">
        <f t="shared" si="22"/>
        <v>10502.100292165083</v>
      </c>
      <c r="D364" s="468">
        <f t="shared" si="23"/>
        <v>47529.804674399027</v>
      </c>
      <c r="E364" s="331">
        <f t="shared" si="24"/>
        <v>44023.748174039385</v>
      </c>
      <c r="F364" s="561">
        <f t="shared" si="25"/>
        <v>4.4023748174039389E-2</v>
      </c>
      <c r="G364" s="444">
        <f t="shared" si="26"/>
        <v>9727.4083436284818</v>
      </c>
      <c r="H364" s="462">
        <f t="shared" si="27"/>
        <v>9.7274083436284815E-3</v>
      </c>
    </row>
    <row r="365" spans="1:8">
      <c r="A365" s="150" t="s">
        <v>79</v>
      </c>
      <c r="B365" s="461">
        <f>C200*(1-C274)</f>
        <v>65.093743846679743</v>
      </c>
      <c r="C365" s="119">
        <f t="shared" si="22"/>
        <v>10502.100292165083</v>
      </c>
      <c r="D365" s="468">
        <f t="shared" si="23"/>
        <v>47529.804674399027</v>
      </c>
      <c r="E365" s="331">
        <f t="shared" si="24"/>
        <v>6198.164370534706</v>
      </c>
      <c r="F365" s="561">
        <f t="shared" si="25"/>
        <v>6.1981643705347061E-3</v>
      </c>
      <c r="G365" s="444">
        <f t="shared" si="26"/>
        <v>1369.5352693452403</v>
      </c>
      <c r="H365" s="462">
        <f t="shared" si="27"/>
        <v>1.3695352693452402E-3</v>
      </c>
    </row>
    <row r="366" spans="1:8">
      <c r="A366" s="150" t="s">
        <v>80</v>
      </c>
      <c r="B366" s="461">
        <f>C201*(1-C274)</f>
        <v>103.73948876074959</v>
      </c>
      <c r="C366" s="119">
        <f t="shared" si="22"/>
        <v>10502.100292165083</v>
      </c>
      <c r="D366" s="468">
        <f t="shared" si="23"/>
        <v>47529.804674399027</v>
      </c>
      <c r="E366" s="331">
        <f t="shared" si="24"/>
        <v>9877.9754406023621</v>
      </c>
      <c r="F366" s="561">
        <f t="shared" si="25"/>
        <v>9.8779754406023625E-3</v>
      </c>
      <c r="G366" s="444">
        <f t="shared" si="26"/>
        <v>2182.6197155955656</v>
      </c>
      <c r="H366" s="462">
        <f t="shared" si="27"/>
        <v>2.1826197155955657E-3</v>
      </c>
    </row>
    <row r="367" spans="1:8">
      <c r="A367" s="150" t="s">
        <v>81</v>
      </c>
      <c r="B367" s="461">
        <f>C202*(1-C274)</f>
        <v>93.987627676077494</v>
      </c>
      <c r="C367" s="119">
        <f t="shared" si="22"/>
        <v>10502.100292165083</v>
      </c>
      <c r="D367" s="468">
        <f t="shared" si="23"/>
        <v>47529.804674399027</v>
      </c>
      <c r="E367" s="331">
        <f t="shared" si="24"/>
        <v>8949.4125042964406</v>
      </c>
      <c r="F367" s="561">
        <f t="shared" si="25"/>
        <v>8.94941250429644E-3</v>
      </c>
      <c r="G367" s="444">
        <f t="shared" si="26"/>
        <v>1977.4461165985401</v>
      </c>
      <c r="H367" s="462">
        <f t="shared" si="27"/>
        <v>1.9774461165985402E-3</v>
      </c>
    </row>
    <row r="368" spans="1:8">
      <c r="A368" s="150" t="s">
        <v>82</v>
      </c>
      <c r="B368" s="461">
        <f>C203*(1-C274)</f>
        <v>0.56624402640545457</v>
      </c>
      <c r="C368" s="119">
        <f t="shared" si="22"/>
        <v>10502.100292165083</v>
      </c>
      <c r="D368" s="468">
        <f t="shared" si="23"/>
        <v>47529.804674399027</v>
      </c>
      <c r="E368" s="331">
        <f t="shared" si="24"/>
        <v>53.917217571031145</v>
      </c>
      <c r="F368" s="561">
        <f t="shared" si="25"/>
        <v>5.3917217571031143E-5</v>
      </c>
      <c r="G368" s="444">
        <f t="shared" si="26"/>
        <v>11.91345157600554</v>
      </c>
      <c r="H368" s="462">
        <f t="shared" si="27"/>
        <v>1.191345157600554E-5</v>
      </c>
    </row>
    <row r="369" spans="1:8">
      <c r="A369" s="150" t="s">
        <v>630</v>
      </c>
      <c r="B369" s="461">
        <f>C204*(1-C274)</f>
        <v>743.09460325936232</v>
      </c>
      <c r="C369" s="119">
        <f t="shared" si="22"/>
        <v>10502.100292165083</v>
      </c>
      <c r="D369" s="468">
        <f t="shared" si="23"/>
        <v>47529.804674399027</v>
      </c>
      <c r="E369" s="331">
        <f t="shared" si="24"/>
        <v>70756.761275050449</v>
      </c>
      <c r="F369" s="561">
        <f t="shared" si="25"/>
        <v>7.0756761275050442E-2</v>
      </c>
      <c r="G369" s="444">
        <f t="shared" si="26"/>
        <v>15634.286914282549</v>
      </c>
      <c r="H369" s="462">
        <f t="shared" si="27"/>
        <v>1.563428691428255E-2</v>
      </c>
    </row>
    <row r="370" spans="1:8">
      <c r="A370" s="150" t="s">
        <v>96</v>
      </c>
      <c r="B370" s="461">
        <f>C205*(1-C274)</f>
        <v>2009.5251172371861</v>
      </c>
      <c r="C370" s="119">
        <f t="shared" si="22"/>
        <v>10502.100292165083</v>
      </c>
      <c r="D370" s="468">
        <f t="shared" si="23"/>
        <v>47529.804674399027</v>
      </c>
      <c r="E370" s="331">
        <f t="shared" si="24"/>
        <v>191345.07016052387</v>
      </c>
      <c r="F370" s="561">
        <f t="shared" si="25"/>
        <v>0.19134507016052388</v>
      </c>
      <c r="G370" s="444">
        <f t="shared" si="26"/>
        <v>42279.263106662343</v>
      </c>
      <c r="H370" s="462">
        <f t="shared" si="27"/>
        <v>4.2279263106662343E-2</v>
      </c>
    </row>
    <row r="371" spans="1:8">
      <c r="A371" s="150" t="s">
        <v>97</v>
      </c>
      <c r="B371" s="461">
        <f>C206*(1-C274)</f>
        <v>2752.6197204965488</v>
      </c>
      <c r="C371" s="119">
        <f t="shared" si="22"/>
        <v>10502.100292165083</v>
      </c>
      <c r="D371" s="468">
        <f t="shared" si="23"/>
        <v>47529.804674399027</v>
      </c>
      <c r="E371" s="331">
        <f t="shared" si="24"/>
        <v>262101.83143557436</v>
      </c>
      <c r="F371" s="561">
        <f t="shared" si="25"/>
        <v>0.26210183143557436</v>
      </c>
      <c r="G371" s="444">
        <f t="shared" si="26"/>
        <v>57913.550020944902</v>
      </c>
      <c r="H371" s="462">
        <f t="shared" si="27"/>
        <v>5.79135500209449E-2</v>
      </c>
    </row>
    <row r="372" spans="1:8">
      <c r="A372" s="150" t="s">
        <v>84</v>
      </c>
      <c r="B372" s="461">
        <f>C207*(1-C274)</f>
        <v>0.29711083928538889</v>
      </c>
      <c r="C372" s="119">
        <f t="shared" si="22"/>
        <v>10502.100292165083</v>
      </c>
      <c r="D372" s="468">
        <f t="shared" si="23"/>
        <v>47529.804674399027</v>
      </c>
      <c r="E372" s="331">
        <f t="shared" si="24"/>
        <v>28.290611498639322</v>
      </c>
      <c r="F372" s="561">
        <f t="shared" si="25"/>
        <v>2.8290611498639321E-5</v>
      </c>
      <c r="G372" s="444">
        <f t="shared" si="26"/>
        <v>6.2510427156335799</v>
      </c>
      <c r="H372" s="462">
        <f t="shared" si="27"/>
        <v>6.2510427156335798E-6</v>
      </c>
    </row>
    <row r="373" spans="1:8">
      <c r="A373" s="150" t="s">
        <v>631</v>
      </c>
      <c r="B373" s="461">
        <f>C208*(1-C274)</f>
        <v>0</v>
      </c>
      <c r="C373" s="119">
        <f t="shared" si="22"/>
        <v>10502.100292165083</v>
      </c>
      <c r="D373" s="468">
        <f t="shared" si="23"/>
        <v>47529.804674399027</v>
      </c>
      <c r="E373" s="331">
        <f t="shared" si="24"/>
        <v>0</v>
      </c>
      <c r="F373" s="561">
        <f t="shared" si="25"/>
        <v>0</v>
      </c>
      <c r="G373" s="444">
        <f t="shared" si="26"/>
        <v>0</v>
      </c>
      <c r="H373" s="462">
        <f t="shared" si="27"/>
        <v>0</v>
      </c>
    </row>
    <row r="374" spans="1:8">
      <c r="A374" s="150" t="s">
        <v>250</v>
      </c>
      <c r="B374" s="461">
        <f>C209*(1-C274)</f>
        <v>0</v>
      </c>
      <c r="C374" s="119">
        <f t="shared" si="22"/>
        <v>10502.100292165083</v>
      </c>
      <c r="D374" s="468">
        <f t="shared" si="23"/>
        <v>47529.804674399027</v>
      </c>
      <c r="E374" s="331">
        <f t="shared" si="24"/>
        <v>0</v>
      </c>
      <c r="F374" s="561">
        <f t="shared" si="25"/>
        <v>0</v>
      </c>
      <c r="G374" s="444">
        <f t="shared" si="26"/>
        <v>0</v>
      </c>
      <c r="H374" s="462">
        <f t="shared" si="27"/>
        <v>0</v>
      </c>
    </row>
    <row r="375" spans="1:8">
      <c r="A375" s="150" t="s">
        <v>251</v>
      </c>
      <c r="B375" s="461">
        <f>C210*(1-C274)</f>
        <v>0</v>
      </c>
      <c r="C375" s="119">
        <f t="shared" si="22"/>
        <v>10502.100292165083</v>
      </c>
      <c r="D375" s="468">
        <f t="shared" si="23"/>
        <v>47529.804674399027</v>
      </c>
      <c r="E375" s="331">
        <f t="shared" si="24"/>
        <v>0</v>
      </c>
      <c r="F375" s="561">
        <f t="shared" si="25"/>
        <v>0</v>
      </c>
      <c r="G375" s="444">
        <f t="shared" si="26"/>
        <v>0</v>
      </c>
      <c r="H375" s="462">
        <f t="shared" si="27"/>
        <v>0</v>
      </c>
    </row>
    <row r="376" spans="1:8">
      <c r="A376" s="151" t="s">
        <v>238</v>
      </c>
      <c r="B376" s="461">
        <f>C211*(1-C274)</f>
        <v>0</v>
      </c>
      <c r="C376" s="119">
        <f t="shared" si="22"/>
        <v>10502.100292165083</v>
      </c>
      <c r="D376" s="468">
        <f t="shared" si="23"/>
        <v>47529.804674399027</v>
      </c>
      <c r="E376" s="331">
        <f t="shared" si="24"/>
        <v>0</v>
      </c>
      <c r="F376" s="561">
        <f t="shared" si="25"/>
        <v>0</v>
      </c>
      <c r="G376" s="444">
        <f t="shared" si="26"/>
        <v>0</v>
      </c>
      <c r="H376" s="462">
        <f t="shared" si="27"/>
        <v>0</v>
      </c>
    </row>
    <row r="377" spans="1:8">
      <c r="A377" s="151" t="s">
        <v>239</v>
      </c>
      <c r="B377" s="461">
        <f>C212*(1-C274)</f>
        <v>0</v>
      </c>
      <c r="C377" s="119">
        <f t="shared" si="22"/>
        <v>10502.100292165083</v>
      </c>
      <c r="D377" s="468">
        <f t="shared" si="23"/>
        <v>47529.804674399027</v>
      </c>
      <c r="E377" s="331">
        <f t="shared" si="24"/>
        <v>0</v>
      </c>
      <c r="F377" s="561">
        <f t="shared" si="25"/>
        <v>0</v>
      </c>
      <c r="G377" s="444">
        <f t="shared" si="26"/>
        <v>0</v>
      </c>
      <c r="H377" s="462">
        <f t="shared" si="27"/>
        <v>0</v>
      </c>
    </row>
    <row r="378" spans="1:8">
      <c r="A378" s="151" t="s">
        <v>248</v>
      </c>
      <c r="B378" s="461">
        <f>C213*(1-C274)</f>
        <v>0</v>
      </c>
      <c r="C378" s="119">
        <f t="shared" si="22"/>
        <v>10502.100292165083</v>
      </c>
      <c r="D378" s="468">
        <f t="shared" si="23"/>
        <v>47529.804674399027</v>
      </c>
      <c r="E378" s="331">
        <f>B378/C378*1000000</f>
        <v>0</v>
      </c>
      <c r="F378" s="561">
        <f>E378/1000000</f>
        <v>0</v>
      </c>
      <c r="G378" s="444">
        <f>B378/D378*1000000</f>
        <v>0</v>
      </c>
      <c r="H378" s="462">
        <f>G378/1000000</f>
        <v>0</v>
      </c>
    </row>
    <row r="379" spans="1:8" ht="14.65" thickBot="1">
      <c r="A379" s="152" t="s">
        <v>86</v>
      </c>
      <c r="B379" s="463">
        <f>C214*(1-C274)</f>
        <v>0.54928085883355382</v>
      </c>
      <c r="C379" s="135">
        <f t="shared" si="22"/>
        <v>10502.100292165083</v>
      </c>
      <c r="D379" s="469">
        <f t="shared" si="23"/>
        <v>47529.804674399027</v>
      </c>
      <c r="E379" s="466">
        <f t="shared" si="24"/>
        <v>52.302000890558588</v>
      </c>
      <c r="F379" s="562">
        <f t="shared" si="25"/>
        <v>5.2302000890558591E-5</v>
      </c>
      <c r="G379" s="445">
        <f t="shared" si="26"/>
        <v>11.556556198713203</v>
      </c>
      <c r="H379" s="464">
        <f t="shared" si="27"/>
        <v>1.1556556198713203E-5</v>
      </c>
    </row>
    <row r="380" spans="1:8">
      <c r="A380" s="145"/>
      <c r="B380" s="146"/>
      <c r="C380" s="96"/>
      <c r="D380" s="96"/>
      <c r="E380" s="96"/>
      <c r="F380" s="95"/>
    </row>
    <row r="381" spans="1:8" ht="14.65" thickBot="1">
      <c r="A381" s="79" t="s">
        <v>137</v>
      </c>
    </row>
    <row r="382" spans="1:8" ht="14.65" thickBot="1">
      <c r="A382" s="419"/>
      <c r="B382" s="1028" t="s">
        <v>262</v>
      </c>
      <c r="C382" s="1029"/>
      <c r="D382" s="1031"/>
      <c r="E382" s="1036" t="s">
        <v>263</v>
      </c>
      <c r="F382" s="1037"/>
      <c r="G382" s="1037"/>
      <c r="H382" s="1038"/>
    </row>
    <row r="383" spans="1:8">
      <c r="A383" s="92" t="s">
        <v>93</v>
      </c>
      <c r="B383" s="377" t="s">
        <v>256</v>
      </c>
      <c r="C383" s="491" t="s">
        <v>421</v>
      </c>
      <c r="D383" s="492" t="s">
        <v>284</v>
      </c>
      <c r="E383" s="1039" t="s">
        <v>269</v>
      </c>
      <c r="F383" s="1040"/>
      <c r="G383" s="1022" t="s">
        <v>242</v>
      </c>
      <c r="H383" s="1023"/>
    </row>
    <row r="384" spans="1:8" ht="14.65" thickBot="1">
      <c r="A384" s="93" t="s">
        <v>18</v>
      </c>
      <c r="B384" s="403" t="s">
        <v>35</v>
      </c>
      <c r="C384" s="154" t="s">
        <v>35</v>
      </c>
      <c r="D384" s="155" t="s">
        <v>35</v>
      </c>
      <c r="E384" s="153" t="s">
        <v>257</v>
      </c>
      <c r="F384" s="423" t="s">
        <v>237</v>
      </c>
      <c r="G384" s="403" t="s">
        <v>71</v>
      </c>
      <c r="H384" s="155" t="s">
        <v>237</v>
      </c>
    </row>
    <row r="385" spans="1:8">
      <c r="A385" s="222" t="s">
        <v>72</v>
      </c>
      <c r="B385" s="459">
        <f>D193*(1-C274)</f>
        <v>197.94638499217561</v>
      </c>
      <c r="C385" s="160">
        <f>$C$324</f>
        <v>11327.746102200237</v>
      </c>
      <c r="D385" s="467">
        <f>$C$322</f>
        <v>26513.226107419556</v>
      </c>
      <c r="E385" s="465">
        <f>B385/C385*1000000</f>
        <v>17474.472256553105</v>
      </c>
      <c r="F385" s="560">
        <f>E385/1000000</f>
        <v>1.7474472256553103E-2</v>
      </c>
      <c r="G385" s="443">
        <f>B385/D385*1000000</f>
        <v>7465.9486623840767</v>
      </c>
      <c r="H385" s="460">
        <f>G385/1000000</f>
        <v>7.4659486623840764E-3</v>
      </c>
    </row>
    <row r="386" spans="1:8">
      <c r="A386" s="149" t="s">
        <v>73</v>
      </c>
      <c r="B386" s="461">
        <f>D194*(1-C274)</f>
        <v>0.31436918865157232</v>
      </c>
      <c r="C386" s="119">
        <f t="shared" ref="C386:C406" si="28">$C$324</f>
        <v>11327.746102200237</v>
      </c>
      <c r="D386" s="468">
        <f t="shared" ref="D386:D406" si="29">$C$322</f>
        <v>26513.226107419556</v>
      </c>
      <c r="E386" s="331">
        <f t="shared" ref="E386:E406" si="30">B386/C386*1000000</f>
        <v>27.752139376650668</v>
      </c>
      <c r="F386" s="561">
        <f t="shared" ref="F386:F406" si="31">E386/1000000</f>
        <v>2.7752139376650667E-5</v>
      </c>
      <c r="G386" s="444">
        <f t="shared" ref="G386:G406" si="32">B386/D386*1000000</f>
        <v>11.857070406215037</v>
      </c>
      <c r="H386" s="462">
        <f t="shared" ref="H386:H406" si="33">G386/1000000</f>
        <v>1.1857070406215036E-5</v>
      </c>
    </row>
    <row r="387" spans="1:8">
      <c r="A387" s="149" t="s">
        <v>74</v>
      </c>
      <c r="B387" s="461">
        <f>D195*(1-C274)</f>
        <v>1615.3458396904132</v>
      </c>
      <c r="C387" s="119">
        <f t="shared" si="28"/>
        <v>11327.746102200237</v>
      </c>
      <c r="D387" s="468">
        <f t="shared" si="29"/>
        <v>26513.226107419556</v>
      </c>
      <c r="E387" s="331">
        <f t="shared" si="30"/>
        <v>142600.8161832527</v>
      </c>
      <c r="F387" s="561">
        <f t="shared" si="31"/>
        <v>0.14260081618325271</v>
      </c>
      <c r="G387" s="444">
        <f t="shared" si="32"/>
        <v>60926.038692755275</v>
      </c>
      <c r="H387" s="462">
        <f t="shared" si="33"/>
        <v>6.0926038692755279E-2</v>
      </c>
    </row>
    <row r="388" spans="1:8">
      <c r="A388" s="149" t="s">
        <v>75</v>
      </c>
      <c r="B388" s="461">
        <f>D196*(1-C274)</f>
        <v>3.2240012428816772E-2</v>
      </c>
      <c r="C388" s="119">
        <f t="shared" si="28"/>
        <v>11327.746102200237</v>
      </c>
      <c r="D388" s="468">
        <f t="shared" si="29"/>
        <v>26513.226107419556</v>
      </c>
      <c r="E388" s="331">
        <f t="shared" si="30"/>
        <v>2.8461100856201793</v>
      </c>
      <c r="F388" s="561">
        <f t="shared" si="31"/>
        <v>2.8461100856201791E-6</v>
      </c>
      <c r="G388" s="444">
        <f t="shared" si="32"/>
        <v>1.2159973402782023</v>
      </c>
      <c r="H388" s="462">
        <f t="shared" si="33"/>
        <v>1.2159973402782022E-6</v>
      </c>
    </row>
    <row r="389" spans="1:8">
      <c r="A389" s="149" t="s">
        <v>76</v>
      </c>
      <c r="B389" s="461">
        <f>D197*(1-C274)</f>
        <v>1.0259504851506029</v>
      </c>
      <c r="C389" s="119">
        <f t="shared" si="28"/>
        <v>11327.746102200237</v>
      </c>
      <c r="D389" s="468">
        <f t="shared" si="29"/>
        <v>26513.226107419556</v>
      </c>
      <c r="E389" s="331">
        <f t="shared" si="30"/>
        <v>90.5696928492534</v>
      </c>
      <c r="F389" s="561">
        <f t="shared" si="31"/>
        <v>9.0569692849253399E-5</v>
      </c>
      <c r="G389" s="444">
        <f t="shared" si="32"/>
        <v>38.695799635771117</v>
      </c>
      <c r="H389" s="462">
        <f t="shared" si="33"/>
        <v>3.869579963577112E-5</v>
      </c>
    </row>
    <row r="390" spans="1:8">
      <c r="A390" s="150" t="s">
        <v>77</v>
      </c>
      <c r="B390" s="461">
        <f>D198*(1-C274)</f>
        <v>7.7549721568643299</v>
      </c>
      <c r="C390" s="119">
        <f t="shared" si="28"/>
        <v>11327.746102200237</v>
      </c>
      <c r="D390" s="468">
        <f t="shared" si="29"/>
        <v>26513.226107419556</v>
      </c>
      <c r="E390" s="331">
        <f t="shared" si="30"/>
        <v>684.59975063865954</v>
      </c>
      <c r="F390" s="561">
        <f t="shared" si="31"/>
        <v>6.8459975063865956E-4</v>
      </c>
      <c r="G390" s="444">
        <f t="shared" si="32"/>
        <v>292.49447522699438</v>
      </c>
      <c r="H390" s="462">
        <f t="shared" si="33"/>
        <v>2.9249447522699439E-4</v>
      </c>
    </row>
    <row r="391" spans="1:8">
      <c r="A391" s="150" t="s">
        <v>78</v>
      </c>
      <c r="B391" s="461">
        <f>D199*(1-C274)</f>
        <v>575.14020305549309</v>
      </c>
      <c r="C391" s="119">
        <f t="shared" si="28"/>
        <v>11327.746102200237</v>
      </c>
      <c r="D391" s="468">
        <f t="shared" si="29"/>
        <v>26513.226107419556</v>
      </c>
      <c r="E391" s="331">
        <f t="shared" si="30"/>
        <v>50772.695456493428</v>
      </c>
      <c r="F391" s="561">
        <f t="shared" si="31"/>
        <v>5.0772695456493426E-2</v>
      </c>
      <c r="G391" s="444">
        <f t="shared" si="32"/>
        <v>21692.577158482563</v>
      </c>
      <c r="H391" s="462">
        <f t="shared" si="33"/>
        <v>2.1692577158482565E-2</v>
      </c>
    </row>
    <row r="392" spans="1:8">
      <c r="A392" s="150" t="s">
        <v>79</v>
      </c>
      <c r="B392" s="461">
        <f>D200*(1-C274)</f>
        <v>32.403053690366939</v>
      </c>
      <c r="C392" s="119">
        <f t="shared" si="28"/>
        <v>11327.746102200237</v>
      </c>
      <c r="D392" s="468">
        <f t="shared" si="29"/>
        <v>26513.226107419556</v>
      </c>
      <c r="E392" s="331">
        <f t="shared" si="30"/>
        <v>2860.5031749496179</v>
      </c>
      <c r="F392" s="561">
        <f t="shared" si="31"/>
        <v>2.8605031749496181E-3</v>
      </c>
      <c r="G392" s="444">
        <f t="shared" si="32"/>
        <v>1222.1467715427943</v>
      </c>
      <c r="H392" s="462">
        <f t="shared" si="33"/>
        <v>1.2221467715427944E-3</v>
      </c>
    </row>
    <row r="393" spans="1:8">
      <c r="A393" s="150" t="s">
        <v>80</v>
      </c>
      <c r="B393" s="461">
        <f>D201*(1-C274)</f>
        <v>49.080521959530159</v>
      </c>
      <c r="C393" s="119">
        <f t="shared" si="28"/>
        <v>11327.746102200237</v>
      </c>
      <c r="D393" s="468">
        <f t="shared" si="29"/>
        <v>26513.226107419556</v>
      </c>
      <c r="E393" s="331">
        <f t="shared" si="30"/>
        <v>4332.7703072367622</v>
      </c>
      <c r="F393" s="561">
        <f t="shared" si="31"/>
        <v>4.3327703072367618E-3</v>
      </c>
      <c r="G393" s="444">
        <f t="shared" si="32"/>
        <v>1851.171251686919</v>
      </c>
      <c r="H393" s="462">
        <f t="shared" si="33"/>
        <v>1.8511712516869191E-3</v>
      </c>
    </row>
    <row r="394" spans="1:8">
      <c r="A394" s="150" t="s">
        <v>81</v>
      </c>
      <c r="B394" s="461">
        <f>D202*(1-C274)</f>
        <v>25.092902628978603</v>
      </c>
      <c r="C394" s="119">
        <f t="shared" si="28"/>
        <v>11327.746102200237</v>
      </c>
      <c r="D394" s="468">
        <f t="shared" si="29"/>
        <v>26513.226107419556</v>
      </c>
      <c r="E394" s="331">
        <f t="shared" si="30"/>
        <v>2215.1717034075032</v>
      </c>
      <c r="F394" s="561">
        <f t="shared" si="31"/>
        <v>2.215171703407503E-3</v>
      </c>
      <c r="G394" s="444">
        <f t="shared" si="32"/>
        <v>946.42962449433935</v>
      </c>
      <c r="H394" s="462">
        <f t="shared" si="33"/>
        <v>9.4642962449433931E-4</v>
      </c>
    </row>
    <row r="395" spans="1:8">
      <c r="A395" s="150" t="s">
        <v>82</v>
      </c>
      <c r="B395" s="461">
        <f>D203*(1-C274)</f>
        <v>0.91457003096159706</v>
      </c>
      <c r="C395" s="119">
        <f t="shared" si="28"/>
        <v>11327.746102200237</v>
      </c>
      <c r="D395" s="468">
        <f t="shared" si="29"/>
        <v>26513.226107419556</v>
      </c>
      <c r="E395" s="331">
        <f t="shared" si="30"/>
        <v>80.737158364094697</v>
      </c>
      <c r="F395" s="561">
        <f t="shared" si="31"/>
        <v>8.0737158364094702E-5</v>
      </c>
      <c r="G395" s="444">
        <f t="shared" si="32"/>
        <v>34.494860310705853</v>
      </c>
      <c r="H395" s="462">
        <f t="shared" si="33"/>
        <v>3.4494860310705852E-5</v>
      </c>
    </row>
    <row r="396" spans="1:8">
      <c r="A396" s="150" t="s">
        <v>630</v>
      </c>
      <c r="B396" s="461">
        <f>D204*(1-C274)</f>
        <v>223.79405061410992</v>
      </c>
      <c r="C396" s="119">
        <f t="shared" si="28"/>
        <v>11327.746102200237</v>
      </c>
      <c r="D396" s="468">
        <f t="shared" si="29"/>
        <v>26513.226107419556</v>
      </c>
      <c r="E396" s="331">
        <f t="shared" si="30"/>
        <v>19756.273542416478</v>
      </c>
      <c r="F396" s="561">
        <f t="shared" si="31"/>
        <v>1.9756273542416478E-2</v>
      </c>
      <c r="G396" s="444">
        <f t="shared" si="32"/>
        <v>8440.8457012133495</v>
      </c>
      <c r="H396" s="462">
        <f t="shared" si="33"/>
        <v>8.4408457012133502E-3</v>
      </c>
    </row>
    <row r="397" spans="1:8">
      <c r="A397" s="150" t="s">
        <v>96</v>
      </c>
      <c r="B397" s="461">
        <f>D205*(1-C274)</f>
        <v>51.526285057363751</v>
      </c>
      <c r="C397" s="119">
        <f t="shared" si="28"/>
        <v>11327.746102200237</v>
      </c>
      <c r="D397" s="468">
        <f t="shared" si="29"/>
        <v>26513.226107419556</v>
      </c>
      <c r="E397" s="331">
        <f t="shared" si="30"/>
        <v>4548.6793747394795</v>
      </c>
      <c r="F397" s="561">
        <f t="shared" si="31"/>
        <v>4.5486793747394798E-3</v>
      </c>
      <c r="G397" s="444">
        <f t="shared" si="32"/>
        <v>1943.4181584920159</v>
      </c>
      <c r="H397" s="462">
        <f t="shared" si="33"/>
        <v>1.9434181584920159E-3</v>
      </c>
    </row>
    <row r="398" spans="1:8">
      <c r="A398" s="150" t="s">
        <v>97</v>
      </c>
      <c r="B398" s="461">
        <f>D206*(1-C274)</f>
        <v>275.32033567147369</v>
      </c>
      <c r="C398" s="119">
        <f t="shared" si="28"/>
        <v>11327.746102200237</v>
      </c>
      <c r="D398" s="468">
        <f t="shared" si="29"/>
        <v>26513.226107419556</v>
      </c>
      <c r="E398" s="331">
        <f t="shared" si="30"/>
        <v>24304.952917155955</v>
      </c>
      <c r="F398" s="561">
        <f t="shared" si="31"/>
        <v>2.4304952917155957E-2</v>
      </c>
      <c r="G398" s="444">
        <f t="shared" si="32"/>
        <v>10384.263859705366</v>
      </c>
      <c r="H398" s="462">
        <f t="shared" si="33"/>
        <v>1.0384263859705367E-2</v>
      </c>
    </row>
    <row r="399" spans="1:8">
      <c r="A399" s="150" t="s">
        <v>84</v>
      </c>
      <c r="B399" s="461">
        <f>D207*(1-C274)</f>
        <v>1.1718567056227265</v>
      </c>
      <c r="C399" s="119">
        <f t="shared" si="28"/>
        <v>11327.746102200237</v>
      </c>
      <c r="D399" s="468">
        <f t="shared" si="29"/>
        <v>26513.226107419556</v>
      </c>
      <c r="E399" s="331">
        <f t="shared" si="30"/>
        <v>103.45012106116252</v>
      </c>
      <c r="F399" s="561">
        <f t="shared" si="31"/>
        <v>1.0345012106116253E-4</v>
      </c>
      <c r="G399" s="444">
        <f t="shared" si="32"/>
        <v>44.198948135353092</v>
      </c>
      <c r="H399" s="462">
        <f t="shared" si="33"/>
        <v>4.4198948135353093E-5</v>
      </c>
    </row>
    <row r="400" spans="1:8">
      <c r="A400" s="150" t="s">
        <v>631</v>
      </c>
      <c r="B400" s="461">
        <f>D208*(1-C274)</f>
        <v>223.89908547389823</v>
      </c>
      <c r="C400" s="119">
        <f t="shared" si="28"/>
        <v>11327.746102200237</v>
      </c>
      <c r="D400" s="468">
        <f t="shared" si="29"/>
        <v>26513.226107419556</v>
      </c>
      <c r="E400" s="331">
        <f t="shared" si="30"/>
        <v>19765.545895348885</v>
      </c>
      <c r="F400" s="561">
        <f t="shared" si="31"/>
        <v>1.9765545895348884E-2</v>
      </c>
      <c r="G400" s="444">
        <f t="shared" si="32"/>
        <v>8444.8073035986181</v>
      </c>
      <c r="H400" s="462">
        <f t="shared" si="33"/>
        <v>8.4448073035986188E-3</v>
      </c>
    </row>
    <row r="401" spans="1:8">
      <c r="A401" s="150" t="s">
        <v>250</v>
      </c>
      <c r="B401" s="461">
        <f>D209*(1-C274)</f>
        <v>1160.4746898549956</v>
      </c>
      <c r="C401" s="119">
        <f t="shared" si="28"/>
        <v>11327.746102200237</v>
      </c>
      <c r="D401" s="468">
        <f t="shared" si="29"/>
        <v>26513.226107419556</v>
      </c>
      <c r="E401" s="331">
        <f t="shared" si="30"/>
        <v>102445.33019941112</v>
      </c>
      <c r="F401" s="561">
        <f t="shared" si="31"/>
        <v>0.10244533019941113</v>
      </c>
      <c r="G401" s="444">
        <f t="shared" si="32"/>
        <v>43769.652367210198</v>
      </c>
      <c r="H401" s="462">
        <f t="shared" si="33"/>
        <v>4.3769652367210199E-2</v>
      </c>
    </row>
    <row r="402" spans="1:8">
      <c r="A402" s="150" t="s">
        <v>251</v>
      </c>
      <c r="B402" s="461">
        <f>D210*(1-C274)</f>
        <v>1384.373775328894</v>
      </c>
      <c r="C402" s="119">
        <f t="shared" si="28"/>
        <v>11327.746102200237</v>
      </c>
      <c r="D402" s="468">
        <f t="shared" si="29"/>
        <v>26513.226107419556</v>
      </c>
      <c r="E402" s="331">
        <f t="shared" si="30"/>
        <v>122210.87609476002</v>
      </c>
      <c r="F402" s="561">
        <f t="shared" si="31"/>
        <v>0.12221087609476003</v>
      </c>
      <c r="G402" s="444">
        <f t="shared" si="32"/>
        <v>52214.459670808821</v>
      </c>
      <c r="H402" s="462">
        <f t="shared" si="33"/>
        <v>5.2214459670808823E-2</v>
      </c>
    </row>
    <row r="403" spans="1:8">
      <c r="A403" s="151" t="s">
        <v>238</v>
      </c>
      <c r="B403" s="461">
        <f>D211*(1-C274)</f>
        <v>4153.1213259866818</v>
      </c>
      <c r="C403" s="119">
        <f t="shared" si="28"/>
        <v>11327.746102200237</v>
      </c>
      <c r="D403" s="468">
        <f t="shared" si="29"/>
        <v>26513.226107419556</v>
      </c>
      <c r="E403" s="331">
        <f t="shared" si="30"/>
        <v>366632.62828428007</v>
      </c>
      <c r="F403" s="561">
        <f t="shared" si="31"/>
        <v>0.36663262828428006</v>
      </c>
      <c r="G403" s="444">
        <f t="shared" si="32"/>
        <v>156643.37901242645</v>
      </c>
      <c r="H403" s="462">
        <f t="shared" si="33"/>
        <v>0.15664337901242645</v>
      </c>
    </row>
    <row r="404" spans="1:8">
      <c r="A404" s="151" t="s">
        <v>239</v>
      </c>
      <c r="B404" s="461">
        <f>D212*(1-C274)</f>
        <v>5883.5885451477989</v>
      </c>
      <c r="C404" s="119">
        <f t="shared" si="28"/>
        <v>11327.746102200237</v>
      </c>
      <c r="D404" s="468">
        <f t="shared" si="29"/>
        <v>26513.226107419556</v>
      </c>
      <c r="E404" s="331">
        <f t="shared" si="30"/>
        <v>519396.22340273007</v>
      </c>
      <c r="F404" s="561">
        <f t="shared" si="31"/>
        <v>0.51939622340273006</v>
      </c>
      <c r="G404" s="444">
        <f t="shared" si="32"/>
        <v>221911.45360093747</v>
      </c>
      <c r="H404" s="462">
        <f t="shared" si="33"/>
        <v>0.22191145360093747</v>
      </c>
    </row>
    <row r="405" spans="1:8">
      <c r="A405" s="151" t="s">
        <v>248</v>
      </c>
      <c r="B405" s="461">
        <f>D213*(1-C274)</f>
        <v>16.086107400119054</v>
      </c>
      <c r="C405" s="119">
        <f t="shared" si="28"/>
        <v>11327.746102200237</v>
      </c>
      <c r="D405" s="468">
        <f t="shared" si="29"/>
        <v>26513.226107419556</v>
      </c>
      <c r="E405" s="331">
        <f>B405/C405*1000000</f>
        <v>1420.062495662273</v>
      </c>
      <c r="F405" s="561">
        <f>E405/1000000</f>
        <v>1.4200624956622731E-3</v>
      </c>
      <c r="G405" s="444">
        <f>B405/D405*1000000</f>
        <v>606.72010772832584</v>
      </c>
      <c r="H405" s="462">
        <f>G405/1000000</f>
        <v>6.0672010772832587E-4</v>
      </c>
    </row>
    <row r="406" spans="1:8" ht="14.65" thickBot="1">
      <c r="A406" s="152" t="s">
        <v>86</v>
      </c>
      <c r="B406" s="463">
        <f>D214*(1-C274)</f>
        <v>27.325562957043829</v>
      </c>
      <c r="C406" s="135">
        <f t="shared" si="28"/>
        <v>11327.746102200237</v>
      </c>
      <c r="D406" s="469">
        <f t="shared" si="29"/>
        <v>26513.226107419556</v>
      </c>
      <c r="E406" s="466">
        <f t="shared" si="30"/>
        <v>2412.2683109693166</v>
      </c>
      <c r="F406" s="562">
        <f t="shared" si="31"/>
        <v>2.4122683109693167E-3</v>
      </c>
      <c r="G406" s="445">
        <f t="shared" si="32"/>
        <v>1030.6389289003553</v>
      </c>
      <c r="H406" s="464">
        <f t="shared" si="33"/>
        <v>1.0306389289003552E-3</v>
      </c>
    </row>
    <row r="407" spans="1:8">
      <c r="D407" s="96"/>
    </row>
    <row r="408" spans="1:8">
      <c r="A408" s="1" t="s">
        <v>138</v>
      </c>
      <c r="B408" s="1"/>
      <c r="C408" s="1"/>
      <c r="D408" s="1"/>
    </row>
    <row r="409" spans="1:8" ht="14.65" thickBot="1">
      <c r="A409" s="79" t="s">
        <v>358</v>
      </c>
      <c r="B409" s="79"/>
      <c r="C409" s="79"/>
    </row>
    <row r="410" spans="1:8">
      <c r="A410" s="2"/>
      <c r="B410" s="323" t="s">
        <v>614</v>
      </c>
      <c r="C410" s="324" t="s">
        <v>615</v>
      </c>
      <c r="D410" s="369" t="s">
        <v>616</v>
      </c>
    </row>
    <row r="411" spans="1:8" ht="14.65" thickBot="1">
      <c r="A411" s="5"/>
      <c r="B411" s="215" t="s">
        <v>35</v>
      </c>
      <c r="C411" s="483" t="s">
        <v>35</v>
      </c>
      <c r="D411" s="319" t="s">
        <v>35</v>
      </c>
    </row>
    <row r="412" spans="1:8" ht="14.65" thickBot="1">
      <c r="A412" s="9" t="s">
        <v>347</v>
      </c>
      <c r="B412" s="250">
        <f>B10</f>
        <v>17500</v>
      </c>
      <c r="C412" s="729">
        <f>C10</f>
        <v>7000</v>
      </c>
      <c r="D412" s="627">
        <f>B412+C412</f>
        <v>24500</v>
      </c>
    </row>
    <row r="414" spans="1:8" ht="14.65" thickBot="1">
      <c r="A414" s="120" t="s">
        <v>641</v>
      </c>
      <c r="B414" s="79"/>
      <c r="C414" s="79"/>
    </row>
    <row r="415" spans="1:8" ht="14.65" thickBot="1">
      <c r="A415" s="519"/>
      <c r="B415" s="1055" t="s">
        <v>263</v>
      </c>
      <c r="C415" s="1056"/>
      <c r="D415" s="1021" t="s">
        <v>262</v>
      </c>
      <c r="E415" s="1021"/>
      <c r="F415" s="1020"/>
    </row>
    <row r="416" spans="1:8">
      <c r="A416" s="115"/>
      <c r="B416" s="488" t="s">
        <v>614</v>
      </c>
      <c r="C416" s="489" t="s">
        <v>615</v>
      </c>
      <c r="D416" s="377" t="s">
        <v>614</v>
      </c>
      <c r="E416" s="490" t="s">
        <v>617</v>
      </c>
      <c r="F416" s="338" t="s">
        <v>616</v>
      </c>
    </row>
    <row r="417" spans="1:6" ht="14.65" thickBot="1">
      <c r="A417" s="133" t="s">
        <v>18</v>
      </c>
      <c r="B417" s="6" t="s">
        <v>70</v>
      </c>
      <c r="C417" s="24" t="s">
        <v>71</v>
      </c>
      <c r="D417" s="6" t="s">
        <v>35</v>
      </c>
      <c r="E417" s="422" t="s">
        <v>35</v>
      </c>
      <c r="F417" s="73" t="s">
        <v>35</v>
      </c>
    </row>
    <row r="418" spans="1:6">
      <c r="A418" s="231" t="s">
        <v>72</v>
      </c>
      <c r="B418" s="262">
        <v>47700</v>
      </c>
      <c r="C418" s="407">
        <v>101832</v>
      </c>
      <c r="D418" s="227">
        <f>$B$412*B418/1000000</f>
        <v>834.75</v>
      </c>
      <c r="E418" s="726">
        <f>$C$412*C418/1000000</f>
        <v>712.82399999999996</v>
      </c>
      <c r="F418" s="472">
        <f>D418+E418</f>
        <v>1547.5740000000001</v>
      </c>
    </row>
    <row r="419" spans="1:6">
      <c r="A419" s="232" t="s">
        <v>73</v>
      </c>
      <c r="B419" s="356">
        <v>31</v>
      </c>
      <c r="C419" s="408">
        <v>10</v>
      </c>
      <c r="D419" s="228">
        <f t="shared" ref="D419:D432" si="34">$B$412*B419/1000000</f>
        <v>0.54249999999999998</v>
      </c>
      <c r="E419" s="136">
        <f t="shared" ref="E419:E432" si="35">$C$412*C419/1000000</f>
        <v>7.0000000000000007E-2</v>
      </c>
      <c r="F419" s="473">
        <f t="shared" ref="F419:F432" si="36">D419+E419</f>
        <v>0.61250000000000004</v>
      </c>
    </row>
    <row r="420" spans="1:6">
      <c r="A420" s="232" t="s">
        <v>74</v>
      </c>
      <c r="B420" s="356">
        <v>85425</v>
      </c>
      <c r="C420" s="408">
        <v>111453.2</v>
      </c>
      <c r="D420" s="228">
        <f t="shared" si="34"/>
        <v>1494.9375</v>
      </c>
      <c r="E420" s="136">
        <f t="shared" si="35"/>
        <v>780.17240000000004</v>
      </c>
      <c r="F420" s="473">
        <f t="shared" si="36"/>
        <v>2275.1098999999999</v>
      </c>
    </row>
    <row r="421" spans="1:6">
      <c r="A421" s="232" t="s">
        <v>75</v>
      </c>
      <c r="B421" s="356">
        <v>2.2000000000000002</v>
      </c>
      <c r="C421" s="408">
        <v>2</v>
      </c>
      <c r="D421" s="228">
        <f t="shared" si="34"/>
        <v>3.85E-2</v>
      </c>
      <c r="E421" s="136">
        <f t="shared" si="35"/>
        <v>1.4E-2</v>
      </c>
      <c r="F421" s="473">
        <f t="shared" si="36"/>
        <v>5.2499999999999998E-2</v>
      </c>
    </row>
    <row r="422" spans="1:6">
      <c r="A422" s="232" t="s">
        <v>76</v>
      </c>
      <c r="B422" s="356">
        <v>91</v>
      </c>
      <c r="C422" s="408">
        <v>53.9</v>
      </c>
      <c r="D422" s="228">
        <f t="shared" si="34"/>
        <v>1.5925</v>
      </c>
      <c r="E422" s="136">
        <f t="shared" si="35"/>
        <v>0.37730000000000002</v>
      </c>
      <c r="F422" s="473">
        <f t="shared" si="36"/>
        <v>1.9698</v>
      </c>
    </row>
    <row r="423" spans="1:6">
      <c r="A423" s="232" t="s">
        <v>77</v>
      </c>
      <c r="B423" s="356">
        <v>663</v>
      </c>
      <c r="C423" s="408">
        <v>1099</v>
      </c>
      <c r="D423" s="228">
        <f t="shared" si="34"/>
        <v>11.602499999999999</v>
      </c>
      <c r="E423" s="136">
        <f t="shared" si="35"/>
        <v>7.6929999999999996</v>
      </c>
      <c r="F423" s="473">
        <f t="shared" si="36"/>
        <v>19.295499999999997</v>
      </c>
    </row>
    <row r="424" spans="1:6">
      <c r="A424" s="232" t="s">
        <v>78</v>
      </c>
      <c r="B424" s="356">
        <v>109000</v>
      </c>
      <c r="C424" s="408">
        <v>24315</v>
      </c>
      <c r="D424" s="228">
        <f t="shared" si="34"/>
        <v>1907.5</v>
      </c>
      <c r="E424" s="136">
        <f t="shared" si="35"/>
        <v>170.20500000000001</v>
      </c>
      <c r="F424" s="473">
        <f t="shared" si="36"/>
        <v>2077.7049999999999</v>
      </c>
    </row>
    <row r="425" spans="1:6">
      <c r="A425" s="232" t="s">
        <v>79</v>
      </c>
      <c r="B425" s="356">
        <v>9375</v>
      </c>
      <c r="C425" s="408">
        <v>9848.1</v>
      </c>
      <c r="D425" s="228">
        <f t="shared" si="34"/>
        <v>164.0625</v>
      </c>
      <c r="E425" s="136">
        <f t="shared" si="35"/>
        <v>68.936700000000002</v>
      </c>
      <c r="F425" s="473">
        <f t="shared" si="36"/>
        <v>232.9992</v>
      </c>
    </row>
    <row r="426" spans="1:6">
      <c r="A426" s="232" t="s">
        <v>80</v>
      </c>
      <c r="B426" s="356">
        <v>12191.833333333334</v>
      </c>
      <c r="C426" s="408">
        <v>12706.1</v>
      </c>
      <c r="D426" s="228">
        <f t="shared" si="34"/>
        <v>213.35708333333335</v>
      </c>
      <c r="E426" s="136">
        <f t="shared" si="35"/>
        <v>88.942700000000002</v>
      </c>
      <c r="F426" s="473">
        <f t="shared" si="36"/>
        <v>302.29978333333338</v>
      </c>
    </row>
    <row r="427" spans="1:6">
      <c r="A427" s="232" t="s">
        <v>81</v>
      </c>
      <c r="B427" s="356">
        <v>2530</v>
      </c>
      <c r="C427" s="408">
        <v>3346.1</v>
      </c>
      <c r="D427" s="228">
        <f t="shared" si="34"/>
        <v>44.274999999999999</v>
      </c>
      <c r="E427" s="136">
        <f t="shared" si="35"/>
        <v>23.422699999999999</v>
      </c>
      <c r="F427" s="473">
        <f t="shared" si="36"/>
        <v>67.697699999999998</v>
      </c>
    </row>
    <row r="428" spans="1:6">
      <c r="A428" s="232" t="s">
        <v>82</v>
      </c>
      <c r="B428" s="356">
        <v>64.5</v>
      </c>
      <c r="C428" s="408">
        <v>47.6</v>
      </c>
      <c r="D428" s="228">
        <f t="shared" si="34"/>
        <v>1.1287499999999999</v>
      </c>
      <c r="E428" s="136">
        <f t="shared" si="35"/>
        <v>0.3332</v>
      </c>
      <c r="F428" s="473">
        <f t="shared" si="36"/>
        <v>1.4619499999999999</v>
      </c>
    </row>
    <row r="429" spans="1:6">
      <c r="A429" s="232" t="s">
        <v>83</v>
      </c>
      <c r="B429" s="356">
        <v>70700</v>
      </c>
      <c r="C429" s="408">
        <v>84567</v>
      </c>
      <c r="D429" s="228">
        <f t="shared" si="34"/>
        <v>1237.25</v>
      </c>
      <c r="E429" s="136">
        <f t="shared" si="35"/>
        <v>591.96900000000005</v>
      </c>
      <c r="F429" s="473">
        <f t="shared" si="36"/>
        <v>1829.2190000000001</v>
      </c>
    </row>
    <row r="430" spans="1:6">
      <c r="A430" s="232" t="s">
        <v>84</v>
      </c>
      <c r="B430" s="356">
        <v>117</v>
      </c>
      <c r="C430" s="408">
        <v>80.2</v>
      </c>
      <c r="D430" s="228">
        <f t="shared" si="34"/>
        <v>2.0474999999999999</v>
      </c>
      <c r="E430" s="136">
        <f t="shared" si="35"/>
        <v>0.56140000000000001</v>
      </c>
      <c r="F430" s="473">
        <f t="shared" si="36"/>
        <v>2.6088999999999998</v>
      </c>
    </row>
    <row r="431" spans="1:6">
      <c r="A431" s="232" t="s">
        <v>85</v>
      </c>
      <c r="B431" s="356">
        <v>5857.8888888888887</v>
      </c>
      <c r="C431" s="408">
        <v>3113.7</v>
      </c>
      <c r="D431" s="228">
        <f t="shared" si="34"/>
        <v>102.51305555555555</v>
      </c>
      <c r="E431" s="136">
        <f t="shared" si="35"/>
        <v>21.7959</v>
      </c>
      <c r="F431" s="473">
        <f t="shared" si="36"/>
        <v>124.30895555555556</v>
      </c>
    </row>
    <row r="432" spans="1:6" ht="14.65" thickBot="1">
      <c r="A432" s="233" t="s">
        <v>86</v>
      </c>
      <c r="B432" s="358">
        <v>2260</v>
      </c>
      <c r="C432" s="409">
        <v>1989</v>
      </c>
      <c r="D432" s="727">
        <f t="shared" si="34"/>
        <v>39.549999999999997</v>
      </c>
      <c r="E432" s="728">
        <f t="shared" si="35"/>
        <v>13.923</v>
      </c>
      <c r="F432" s="474">
        <f t="shared" si="36"/>
        <v>53.472999999999999</v>
      </c>
    </row>
    <row r="434" spans="1:7" ht="14.65" thickBot="1">
      <c r="A434" s="79" t="s">
        <v>645</v>
      </c>
    </row>
    <row r="435" spans="1:7" ht="14.65" thickBot="1">
      <c r="A435" s="419"/>
      <c r="B435" s="1019" t="s">
        <v>262</v>
      </c>
      <c r="C435" s="1021"/>
      <c r="D435" s="1021"/>
      <c r="E435" s="1021"/>
      <c r="F435" s="1019" t="s">
        <v>263</v>
      </c>
      <c r="G435" s="1020"/>
    </row>
    <row r="436" spans="1:7">
      <c r="A436" s="92" t="s">
        <v>93</v>
      </c>
      <c r="B436" s="266" t="s">
        <v>136</v>
      </c>
      <c r="C436" s="274" t="s">
        <v>618</v>
      </c>
      <c r="D436" s="274" t="s">
        <v>142</v>
      </c>
      <c r="E436" s="324" t="s">
        <v>619</v>
      </c>
      <c r="F436" s="1022" t="s">
        <v>459</v>
      </c>
      <c r="G436" s="1023"/>
    </row>
    <row r="437" spans="1:7" ht="14.65" thickBot="1">
      <c r="A437" s="93" t="s">
        <v>297</v>
      </c>
      <c r="B437" s="153" t="s">
        <v>35</v>
      </c>
      <c r="C437" s="154" t="s">
        <v>35</v>
      </c>
      <c r="D437" s="154" t="s">
        <v>35</v>
      </c>
      <c r="E437" s="423" t="s">
        <v>35</v>
      </c>
      <c r="F437" s="403" t="s">
        <v>257</v>
      </c>
      <c r="G437" s="155" t="s">
        <v>237</v>
      </c>
    </row>
    <row r="438" spans="1:7">
      <c r="A438" s="148" t="s">
        <v>72</v>
      </c>
      <c r="B438" s="540">
        <f>B358</f>
        <v>264.09129393126238</v>
      </c>
      <c r="C438" s="428">
        <f>F418</f>
        <v>1547.5740000000001</v>
      </c>
      <c r="D438" s="428">
        <f>B438+C438</f>
        <v>1811.6652939312626</v>
      </c>
      <c r="E438" s="382">
        <f t="shared" ref="E438:E454" si="37">$C$339+$D$412</f>
        <v>35002.10029216508</v>
      </c>
      <c r="F438" s="557">
        <f>D438/E438*1000000</f>
        <v>51758.759583258157</v>
      </c>
      <c r="G438" s="460">
        <f>F438/1000000</f>
        <v>5.1758759583258158E-2</v>
      </c>
    </row>
    <row r="439" spans="1:7">
      <c r="A439" s="149" t="s">
        <v>73</v>
      </c>
      <c r="B439" s="541">
        <f>B359</f>
        <v>2.4441067674009088E-2</v>
      </c>
      <c r="C439" s="235">
        <f>F419</f>
        <v>0.61250000000000004</v>
      </c>
      <c r="D439" s="235">
        <f t="shared" ref="D439:D454" si="38">B439+C439</f>
        <v>0.63694106767400915</v>
      </c>
      <c r="E439" s="82">
        <f t="shared" si="37"/>
        <v>35002.10029216508</v>
      </c>
      <c r="F439" s="558">
        <f t="shared" ref="F439:F454" si="39">D439/E439*1000000</f>
        <v>18.197224233900698</v>
      </c>
      <c r="G439" s="462">
        <f t="shared" ref="G439:G454" si="40">F439/1000000</f>
        <v>1.8197224233900699E-5</v>
      </c>
    </row>
    <row r="440" spans="1:7">
      <c r="A440" s="232" t="s">
        <v>74</v>
      </c>
      <c r="B440" s="541">
        <f t="shared" ref="B440:B453" si="41">B360</f>
        <v>268.24964128047651</v>
      </c>
      <c r="C440" s="235">
        <f t="shared" ref="C440:C448" si="42">F420</f>
        <v>2275.1098999999999</v>
      </c>
      <c r="D440" s="235">
        <f t="shared" si="38"/>
        <v>2543.3595412804766</v>
      </c>
      <c r="E440" s="82">
        <f t="shared" si="37"/>
        <v>35002.10029216508</v>
      </c>
      <c r="F440" s="558">
        <f t="shared" si="39"/>
        <v>72663.055075291748</v>
      </c>
      <c r="G440" s="462">
        <f t="shared" si="40"/>
        <v>7.2663055075291749E-2</v>
      </c>
    </row>
    <row r="441" spans="1:7">
      <c r="A441" s="232" t="s">
        <v>75</v>
      </c>
      <c r="B441" s="541">
        <f t="shared" si="41"/>
        <v>9.2227811774606809E-3</v>
      </c>
      <c r="C441" s="235">
        <f t="shared" si="42"/>
        <v>5.2499999999999998E-2</v>
      </c>
      <c r="D441" s="235">
        <f t="shared" si="38"/>
        <v>6.1722781177460675E-2</v>
      </c>
      <c r="E441" s="82">
        <f t="shared" si="37"/>
        <v>35002.10029216508</v>
      </c>
      <c r="F441" s="558">
        <f t="shared" si="39"/>
        <v>1.7634022147887163</v>
      </c>
      <c r="G441" s="462">
        <f t="shared" si="40"/>
        <v>1.7634022147887163E-6</v>
      </c>
    </row>
    <row r="442" spans="1:7">
      <c r="A442" s="232" t="s">
        <v>76</v>
      </c>
      <c r="B442" s="541">
        <f t="shared" si="41"/>
        <v>0.58517520926474909</v>
      </c>
      <c r="C442" s="235">
        <f t="shared" si="42"/>
        <v>1.9698</v>
      </c>
      <c r="D442" s="235">
        <f t="shared" si="38"/>
        <v>2.5549752092647493</v>
      </c>
      <c r="E442" s="82">
        <f t="shared" si="37"/>
        <v>35002.10029216508</v>
      </c>
      <c r="F442" s="558">
        <f t="shared" si="39"/>
        <v>72.9949113892648</v>
      </c>
      <c r="G442" s="462">
        <f t="shared" si="40"/>
        <v>7.2994911389264797E-5</v>
      </c>
    </row>
    <row r="443" spans="1:7">
      <c r="A443" s="150" t="s">
        <v>77</v>
      </c>
      <c r="B443" s="541">
        <f t="shared" si="41"/>
        <v>1.6340016197957118E-2</v>
      </c>
      <c r="C443" s="235">
        <f t="shared" si="42"/>
        <v>19.295499999999997</v>
      </c>
      <c r="D443" s="235">
        <f t="shared" si="38"/>
        <v>19.311840016197955</v>
      </c>
      <c r="E443" s="82">
        <f t="shared" si="37"/>
        <v>35002.10029216508</v>
      </c>
      <c r="F443" s="558">
        <f t="shared" si="39"/>
        <v>551.73374897507927</v>
      </c>
      <c r="G443" s="462">
        <f t="shared" si="40"/>
        <v>5.5173374897507922E-4</v>
      </c>
    </row>
    <row r="444" spans="1:7">
      <c r="A444" s="150" t="s">
        <v>78</v>
      </c>
      <c r="B444" s="541">
        <f t="shared" si="41"/>
        <v>462.34181856078112</v>
      </c>
      <c r="C444" s="235">
        <f t="shared" si="42"/>
        <v>2077.7049999999999</v>
      </c>
      <c r="D444" s="235">
        <f t="shared" si="38"/>
        <v>2540.046818560781</v>
      </c>
      <c r="E444" s="82">
        <f t="shared" si="37"/>
        <v>35002.10029216508</v>
      </c>
      <c r="F444" s="558">
        <f t="shared" si="39"/>
        <v>72568.411534131534</v>
      </c>
      <c r="G444" s="462">
        <f t="shared" si="40"/>
        <v>7.256841153413153E-2</v>
      </c>
    </row>
    <row r="445" spans="1:7">
      <c r="A445" s="150" t="s">
        <v>79</v>
      </c>
      <c r="B445" s="541">
        <f t="shared" si="41"/>
        <v>65.093743846679743</v>
      </c>
      <c r="C445" s="235">
        <f t="shared" si="42"/>
        <v>232.9992</v>
      </c>
      <c r="D445" s="235">
        <f t="shared" si="38"/>
        <v>298.09294384667976</v>
      </c>
      <c r="E445" s="82">
        <f t="shared" si="37"/>
        <v>35002.10029216508</v>
      </c>
      <c r="F445" s="558">
        <f t="shared" si="39"/>
        <v>8516.4301958589986</v>
      </c>
      <c r="G445" s="462">
        <f t="shared" si="40"/>
        <v>8.5164301958589993E-3</v>
      </c>
    </row>
    <row r="446" spans="1:7">
      <c r="A446" s="150" t="s">
        <v>80</v>
      </c>
      <c r="B446" s="541">
        <f t="shared" si="41"/>
        <v>103.73948876074959</v>
      </c>
      <c r="C446" s="235">
        <f t="shared" si="42"/>
        <v>302.29978333333338</v>
      </c>
      <c r="D446" s="235">
        <f t="shared" si="38"/>
        <v>406.039272094083</v>
      </c>
      <c r="E446" s="82">
        <f t="shared" si="37"/>
        <v>35002.10029216508</v>
      </c>
      <c r="F446" s="558">
        <f t="shared" si="39"/>
        <v>11600.425937439286</v>
      </c>
      <c r="G446" s="462">
        <f t="shared" si="40"/>
        <v>1.1600425937439285E-2</v>
      </c>
    </row>
    <row r="447" spans="1:7">
      <c r="A447" s="150" t="s">
        <v>81</v>
      </c>
      <c r="B447" s="541">
        <f t="shared" si="41"/>
        <v>93.987627676077494</v>
      </c>
      <c r="C447" s="235">
        <f t="shared" si="42"/>
        <v>67.697699999999998</v>
      </c>
      <c r="D447" s="235">
        <f t="shared" si="38"/>
        <v>161.68532767607749</v>
      </c>
      <c r="E447" s="82">
        <f t="shared" si="37"/>
        <v>35002.10029216508</v>
      </c>
      <c r="F447" s="558">
        <f t="shared" si="39"/>
        <v>4619.3035939694564</v>
      </c>
      <c r="G447" s="462">
        <f t="shared" si="40"/>
        <v>4.619303593969456E-3</v>
      </c>
    </row>
    <row r="448" spans="1:7">
      <c r="A448" s="150" t="s">
        <v>82</v>
      </c>
      <c r="B448" s="541">
        <f t="shared" si="41"/>
        <v>0.56624402640545457</v>
      </c>
      <c r="C448" s="235">
        <f t="shared" si="42"/>
        <v>1.4619499999999999</v>
      </c>
      <c r="D448" s="235">
        <f t="shared" si="38"/>
        <v>2.0281940264054543</v>
      </c>
      <c r="E448" s="82">
        <f t="shared" si="37"/>
        <v>35002.10029216508</v>
      </c>
      <c r="F448" s="558">
        <f t="shared" si="39"/>
        <v>57.944923575327508</v>
      </c>
      <c r="G448" s="462">
        <f t="shared" si="40"/>
        <v>5.794492357532751E-5</v>
      </c>
    </row>
    <row r="449" spans="1:7">
      <c r="A449" s="150" t="s">
        <v>630</v>
      </c>
      <c r="B449" s="541">
        <f t="shared" si="41"/>
        <v>743.09460325936232</v>
      </c>
      <c r="C449" s="235">
        <f>$F$429</f>
        <v>1829.2190000000001</v>
      </c>
      <c r="D449" s="235">
        <f t="shared" si="38"/>
        <v>2572.3136032593625</v>
      </c>
      <c r="E449" s="82">
        <f t="shared" si="37"/>
        <v>35002.10029216508</v>
      </c>
      <c r="F449" s="558">
        <f t="shared" si="39"/>
        <v>73490.264349512552</v>
      </c>
      <c r="G449" s="462">
        <f t="shared" si="40"/>
        <v>7.3490264349512557E-2</v>
      </c>
    </row>
    <row r="450" spans="1:7">
      <c r="A450" s="150" t="s">
        <v>96</v>
      </c>
      <c r="B450" s="541">
        <f t="shared" si="41"/>
        <v>2009.5251172371861</v>
      </c>
      <c r="C450" s="235">
        <v>0</v>
      </c>
      <c r="D450" s="235">
        <f t="shared" si="38"/>
        <v>2009.5251172371861</v>
      </c>
      <c r="E450" s="82">
        <f t="shared" si="37"/>
        <v>35002.10029216508</v>
      </c>
      <c r="F450" s="558">
        <f t="shared" si="39"/>
        <v>57411.558176896062</v>
      </c>
      <c r="G450" s="462">
        <f t="shared" si="40"/>
        <v>5.7411558176896062E-2</v>
      </c>
    </row>
    <row r="451" spans="1:7">
      <c r="A451" s="582" t="s">
        <v>97</v>
      </c>
      <c r="B451" s="541">
        <f t="shared" si="41"/>
        <v>2752.6197204965488</v>
      </c>
      <c r="C451" s="235">
        <f>C449+C450</f>
        <v>1829.2190000000001</v>
      </c>
      <c r="D451" s="235">
        <f t="shared" si="38"/>
        <v>4581.8387204965493</v>
      </c>
      <c r="E451" s="82">
        <f t="shared" si="37"/>
        <v>35002.10029216508</v>
      </c>
      <c r="F451" s="597">
        <f t="shared" si="39"/>
        <v>130901.82252640864</v>
      </c>
      <c r="G451" s="583">
        <f t="shared" si="40"/>
        <v>0.13090182252640864</v>
      </c>
    </row>
    <row r="452" spans="1:7">
      <c r="A452" s="186" t="s">
        <v>84</v>
      </c>
      <c r="B452" s="541">
        <f t="shared" si="41"/>
        <v>0.29711083928538889</v>
      </c>
      <c r="C452" s="235">
        <f>F430</f>
        <v>2.6088999999999998</v>
      </c>
      <c r="D452" s="235">
        <f t="shared" si="38"/>
        <v>2.9060108392853885</v>
      </c>
      <c r="E452" s="82">
        <f t="shared" si="37"/>
        <v>35002.10029216508</v>
      </c>
      <c r="F452" s="558">
        <f t="shared" si="39"/>
        <v>83.02389899545183</v>
      </c>
      <c r="G452" s="462">
        <f t="shared" si="40"/>
        <v>8.3023898995451833E-5</v>
      </c>
    </row>
    <row r="453" spans="1:7">
      <c r="A453" s="150" t="s">
        <v>85</v>
      </c>
      <c r="B453" s="541">
        <f t="shared" si="41"/>
        <v>0</v>
      </c>
      <c r="C453" s="235">
        <f>F431</f>
        <v>124.30895555555556</v>
      </c>
      <c r="D453" s="235">
        <f t="shared" si="38"/>
        <v>124.30895555555556</v>
      </c>
      <c r="E453" s="82">
        <f t="shared" si="37"/>
        <v>35002.10029216508</v>
      </c>
      <c r="F453" s="558">
        <f t="shared" si="39"/>
        <v>3551.4713265186847</v>
      </c>
      <c r="G453" s="462">
        <f t="shared" si="40"/>
        <v>3.5514713265186845E-3</v>
      </c>
    </row>
    <row r="454" spans="1:7" ht="14.65" thickBot="1">
      <c r="A454" s="152" t="s">
        <v>86</v>
      </c>
      <c r="B454" s="542">
        <f>B379</f>
        <v>0.54928085883355382</v>
      </c>
      <c r="C454" s="236">
        <f>F432</f>
        <v>53.472999999999999</v>
      </c>
      <c r="D454" s="236">
        <f t="shared" si="38"/>
        <v>54.022280858833554</v>
      </c>
      <c r="E454" s="237">
        <f t="shared" si="37"/>
        <v>35002.10029216508</v>
      </c>
      <c r="F454" s="559">
        <f t="shared" si="39"/>
        <v>1543.4011218728488</v>
      </c>
      <c r="G454" s="464">
        <f t="shared" si="40"/>
        <v>1.5434011218728489E-3</v>
      </c>
    </row>
    <row r="456" spans="1:7">
      <c r="A456" s="329" t="s">
        <v>328</v>
      </c>
      <c r="B456" s="329"/>
      <c r="C456" s="329"/>
      <c r="D456" s="329"/>
      <c r="E456" s="329"/>
    </row>
    <row r="457" spans="1:7">
      <c r="A457" s="329" t="s">
        <v>315</v>
      </c>
      <c r="B457" s="329"/>
      <c r="C457" s="329"/>
      <c r="D457" s="329"/>
      <c r="E457" s="329"/>
    </row>
    <row r="459" spans="1:7" ht="14.65" thickBot="1">
      <c r="A459" s="329" t="s">
        <v>432</v>
      </c>
    </row>
    <row r="460" spans="1:7">
      <c r="A460" s="388" t="s">
        <v>268</v>
      </c>
      <c r="B460" s="323" t="s">
        <v>146</v>
      </c>
      <c r="C460" s="324" t="s">
        <v>147</v>
      </c>
      <c r="D460" s="1024" t="s">
        <v>459</v>
      </c>
      <c r="E460" s="1025"/>
    </row>
    <row r="461" spans="1:7" ht="14.65" thickBot="1">
      <c r="A461" s="220"/>
      <c r="B461" s="403" t="s">
        <v>35</v>
      </c>
      <c r="C461" s="423" t="s">
        <v>35</v>
      </c>
      <c r="D461" s="403" t="s">
        <v>257</v>
      </c>
      <c r="E461" s="155" t="s">
        <v>237</v>
      </c>
    </row>
    <row r="462" spans="1:7">
      <c r="A462" s="477" t="s">
        <v>148</v>
      </c>
      <c r="B462" s="159">
        <f>B451</f>
        <v>2752.6197204965488</v>
      </c>
      <c r="C462" s="501">
        <f>$C$339</f>
        <v>10502.100292165083</v>
      </c>
      <c r="D462" s="227">
        <f>B462/C462*1000000</f>
        <v>262101.83143557436</v>
      </c>
      <c r="E462" s="475">
        <f>D462/1000000</f>
        <v>0.26210183143557436</v>
      </c>
    </row>
    <row r="463" spans="1:7">
      <c r="A463" s="150" t="s">
        <v>620</v>
      </c>
      <c r="B463" s="161">
        <f>C451</f>
        <v>1829.2190000000001</v>
      </c>
      <c r="C463" s="502">
        <f>$D$412</f>
        <v>24500</v>
      </c>
      <c r="D463" s="229">
        <f>B463/C463*1000000</f>
        <v>74662</v>
      </c>
      <c r="E463" s="476">
        <f t="shared" ref="E463:E465" si="43">D463/1000000</f>
        <v>7.4662000000000006E-2</v>
      </c>
    </row>
    <row r="464" spans="1:7">
      <c r="A464" s="478" t="s">
        <v>621</v>
      </c>
      <c r="B464" s="480">
        <f>C464*31/98</f>
        <v>2585.10777534308</v>
      </c>
      <c r="C464" s="587">
        <v>8172.2761930200595</v>
      </c>
      <c r="D464" s="229">
        <f>B464/C464*1000000</f>
        <v>316326.53061224491</v>
      </c>
      <c r="E464" s="476">
        <f t="shared" si="43"/>
        <v>0.31632653061224492</v>
      </c>
    </row>
    <row r="465" spans="1:5" ht="14.65" thickBot="1">
      <c r="A465" s="479" t="s">
        <v>306</v>
      </c>
      <c r="B465" s="162">
        <f>SUM($B$462:$B$464)</f>
        <v>7166.9464958396293</v>
      </c>
      <c r="C465" s="503">
        <f>SUM($C$462:$C$464)</f>
        <v>43174.376485185137</v>
      </c>
      <c r="D465" s="588">
        <f>B465/C465*1000000</f>
        <v>165999.99998376111</v>
      </c>
      <c r="E465" s="584">
        <f t="shared" si="43"/>
        <v>0.16599999998376111</v>
      </c>
    </row>
    <row r="467" spans="1:5" ht="14.65" thickBot="1">
      <c r="A467" s="79" t="s">
        <v>434</v>
      </c>
    </row>
    <row r="468" spans="1:5" ht="14.65" thickBot="1">
      <c r="A468" s="691"/>
      <c r="B468" s="192" t="s">
        <v>18</v>
      </c>
      <c r="C468" s="193" t="s">
        <v>106</v>
      </c>
    </row>
    <row r="469" spans="1:5">
      <c r="A469" s="203" t="s">
        <v>435</v>
      </c>
      <c r="B469" s="692" t="s">
        <v>35</v>
      </c>
      <c r="C469" s="730">
        <f>$C$464</f>
        <v>8172.2761930200595</v>
      </c>
    </row>
    <row r="470" spans="1:5">
      <c r="A470" s="257" t="s">
        <v>436</v>
      </c>
      <c r="B470" s="178" t="s">
        <v>35</v>
      </c>
      <c r="C470" s="84">
        <f>C469/75%*25%</f>
        <v>2724.09206434002</v>
      </c>
      <c r="D470" s="99"/>
    </row>
    <row r="471" spans="1:5" ht="14.65" thickBot="1">
      <c r="A471" s="693" t="s">
        <v>437</v>
      </c>
      <c r="B471" s="694" t="s">
        <v>35</v>
      </c>
      <c r="C471" s="335">
        <f>C469+C470</f>
        <v>10896.36825736008</v>
      </c>
      <c r="D471" s="99"/>
    </row>
    <row r="473" spans="1:5">
      <c r="A473" s="329" t="s">
        <v>316</v>
      </c>
    </row>
    <row r="474" spans="1:5">
      <c r="A474" s="329" t="s">
        <v>317</v>
      </c>
    </row>
    <row r="475" spans="1:5">
      <c r="A475" s="329"/>
    </row>
    <row r="476" spans="1:5" ht="14.65" thickBot="1">
      <c r="A476" s="329" t="s">
        <v>307</v>
      </c>
    </row>
    <row r="477" spans="1:5">
      <c r="A477" s="664" t="s">
        <v>64</v>
      </c>
      <c r="B477" s="665" t="s">
        <v>24</v>
      </c>
      <c r="C477" s="666">
        <v>0.45</v>
      </c>
    </row>
    <row r="478" spans="1:5" ht="14.65" thickBot="1">
      <c r="A478" s="667" t="s">
        <v>66</v>
      </c>
      <c r="B478" s="284" t="s">
        <v>24</v>
      </c>
      <c r="C478" s="663">
        <v>0.55000000000000004</v>
      </c>
    </row>
    <row r="479" spans="1:5">
      <c r="A479" s="329"/>
    </row>
    <row r="480" spans="1:5" ht="14.65" thickBot="1">
      <c r="A480" s="329" t="s">
        <v>363</v>
      </c>
    </row>
    <row r="481" spans="1:3" ht="14.65" thickBot="1">
      <c r="A481" s="103"/>
      <c r="B481" s="102" t="s">
        <v>18</v>
      </c>
      <c r="C481" s="17" t="s">
        <v>106</v>
      </c>
    </row>
    <row r="482" spans="1:3">
      <c r="A482" s="272" t="s">
        <v>341</v>
      </c>
      <c r="B482" s="298" t="s">
        <v>35</v>
      </c>
      <c r="C482" s="669">
        <f>$C$339</f>
        <v>10502.100292165083</v>
      </c>
    </row>
    <row r="483" spans="1:3">
      <c r="A483" s="257" t="s">
        <v>607</v>
      </c>
      <c r="B483" s="346" t="s">
        <v>35</v>
      </c>
      <c r="C483" s="347">
        <f>$B$412</f>
        <v>17500</v>
      </c>
    </row>
    <row r="484" spans="1:3">
      <c r="A484" s="257" t="s">
        <v>605</v>
      </c>
      <c r="B484" s="346" t="s">
        <v>35</v>
      </c>
      <c r="C484" s="347">
        <f>$C$412</f>
        <v>7000</v>
      </c>
    </row>
    <row r="485" spans="1:3">
      <c r="A485" s="348" t="s">
        <v>435</v>
      </c>
      <c r="B485" s="278" t="s">
        <v>35</v>
      </c>
      <c r="C485" s="347">
        <f>$C$469</f>
        <v>8172.2761930200595</v>
      </c>
    </row>
    <row r="486" spans="1:3" ht="14.65" thickBot="1">
      <c r="A486" s="360" t="s">
        <v>309</v>
      </c>
      <c r="B486" s="320" t="s">
        <v>35</v>
      </c>
      <c r="C486" s="668">
        <f>C482+C483+C484+C485</f>
        <v>43174.376485185137</v>
      </c>
    </row>
    <row r="487" spans="1:3">
      <c r="A487" s="276" t="s">
        <v>345</v>
      </c>
      <c r="B487" s="296" t="s">
        <v>35</v>
      </c>
      <c r="C487" s="342">
        <f>C486/C477*C478</f>
        <v>52768.68237078184</v>
      </c>
    </row>
    <row r="488" spans="1:3">
      <c r="A488" s="257" t="s">
        <v>342</v>
      </c>
      <c r="B488" s="278" t="s">
        <v>35</v>
      </c>
      <c r="C488" s="347">
        <f>$C$350</f>
        <v>37027.704382233947</v>
      </c>
    </row>
    <row r="489" spans="1:3">
      <c r="A489" s="257" t="s">
        <v>436</v>
      </c>
      <c r="B489" s="278" t="s">
        <v>35</v>
      </c>
      <c r="C489" s="347">
        <f>$C$470</f>
        <v>2724.09206434002</v>
      </c>
    </row>
    <row r="490" spans="1:3" ht="14.65" thickBot="1">
      <c r="A490" s="670" t="s">
        <v>363</v>
      </c>
      <c r="B490" s="713" t="s">
        <v>35</v>
      </c>
      <c r="C490" s="671">
        <f>C487-C488-C489</f>
        <v>13016.885924207872</v>
      </c>
    </row>
    <row r="492" spans="1:3" ht="14.65" thickBot="1">
      <c r="A492" s="79" t="s">
        <v>289</v>
      </c>
    </row>
    <row r="493" spans="1:3" ht="14.65" thickBot="1">
      <c r="A493" s="103" t="s">
        <v>53</v>
      </c>
      <c r="B493" s="102" t="s">
        <v>18</v>
      </c>
      <c r="C493" s="17" t="s">
        <v>106</v>
      </c>
    </row>
    <row r="494" spans="1:3">
      <c r="A494" s="336" t="s">
        <v>9</v>
      </c>
      <c r="B494" s="269" t="s">
        <v>35</v>
      </c>
      <c r="C494" s="328">
        <f>C320</f>
        <v>47529.804674399027</v>
      </c>
    </row>
    <row r="495" spans="1:3">
      <c r="A495" s="336" t="s">
        <v>607</v>
      </c>
      <c r="B495" s="269" t="s">
        <v>35</v>
      </c>
      <c r="C495" s="337">
        <f>$B$412</f>
        <v>17500</v>
      </c>
    </row>
    <row r="496" spans="1:3">
      <c r="A496" s="336" t="s">
        <v>605</v>
      </c>
      <c r="B496" s="269" t="s">
        <v>35</v>
      </c>
      <c r="C496" s="337">
        <f>$C$412</f>
        <v>7000</v>
      </c>
    </row>
    <row r="497" spans="1:3">
      <c r="A497" s="338" t="s">
        <v>437</v>
      </c>
      <c r="B497" s="269" t="s">
        <v>35</v>
      </c>
      <c r="C497" s="328">
        <f>$C$471</f>
        <v>10896.36825736008</v>
      </c>
    </row>
    <row r="498" spans="1:3" ht="14.65" thickBot="1">
      <c r="A498" s="339" t="s">
        <v>363</v>
      </c>
      <c r="B498" s="271" t="s">
        <v>35</v>
      </c>
      <c r="C498" s="340">
        <f>$C$490</f>
        <v>13016.885924207872</v>
      </c>
    </row>
    <row r="500" spans="1:3" ht="14.65" thickBot="1">
      <c r="A500" s="79" t="s">
        <v>290</v>
      </c>
    </row>
    <row r="501" spans="1:3" ht="14.65" thickBot="1">
      <c r="A501" s="191" t="s">
        <v>90</v>
      </c>
      <c r="B501" s="192" t="s">
        <v>18</v>
      </c>
      <c r="C501" s="193" t="s">
        <v>91</v>
      </c>
    </row>
    <row r="502" spans="1:3">
      <c r="A502" s="678" t="s">
        <v>9</v>
      </c>
      <c r="B502" s="293" t="s">
        <v>35</v>
      </c>
      <c r="C502" s="313">
        <f>C320</f>
        <v>47529.804674399027</v>
      </c>
    </row>
    <row r="503" spans="1:3">
      <c r="A503" s="679" t="s">
        <v>607</v>
      </c>
      <c r="B503" s="282" t="s">
        <v>35</v>
      </c>
      <c r="C503" s="347">
        <f>$B$412</f>
        <v>17500</v>
      </c>
    </row>
    <row r="504" spans="1:3">
      <c r="A504" s="679" t="s">
        <v>605</v>
      </c>
      <c r="B504" s="282" t="s">
        <v>35</v>
      </c>
      <c r="C504" s="347">
        <f>$C$412</f>
        <v>7000</v>
      </c>
    </row>
    <row r="505" spans="1:3">
      <c r="A505" s="375" t="s">
        <v>437</v>
      </c>
      <c r="B505" s="287" t="s">
        <v>35</v>
      </c>
      <c r="C505" s="279">
        <f>$C$471</f>
        <v>10896.36825736008</v>
      </c>
    </row>
    <row r="506" spans="1:3">
      <c r="A506" s="375" t="s">
        <v>363</v>
      </c>
      <c r="B506" s="287" t="s">
        <v>35</v>
      </c>
      <c r="C506" s="279">
        <f>$C$490</f>
        <v>13016.885924207872</v>
      </c>
    </row>
    <row r="507" spans="1:3" ht="14.65" thickBot="1">
      <c r="A507" s="689" t="s">
        <v>305</v>
      </c>
      <c r="B507" s="677" t="s">
        <v>35</v>
      </c>
      <c r="C507" s="256">
        <f>SUM(C502:C506)</f>
        <v>95943.058855966985</v>
      </c>
    </row>
    <row r="509" spans="1:3" ht="14.65" thickBot="1">
      <c r="A509" s="79" t="s">
        <v>307</v>
      </c>
      <c r="B509" s="79"/>
      <c r="C509" s="79"/>
    </row>
    <row r="510" spans="1:3" ht="14.65" thickBot="1">
      <c r="A510" s="191" t="s">
        <v>90</v>
      </c>
      <c r="B510" s="192" t="s">
        <v>18</v>
      </c>
      <c r="C510" s="193" t="s">
        <v>106</v>
      </c>
    </row>
    <row r="511" spans="1:3">
      <c r="A511" s="272" t="s">
        <v>341</v>
      </c>
      <c r="B511" s="293" t="s">
        <v>35</v>
      </c>
      <c r="C511" s="294">
        <f>$C$339</f>
        <v>10502.100292165083</v>
      </c>
    </row>
    <row r="512" spans="1:3">
      <c r="A512" s="257" t="s">
        <v>607</v>
      </c>
      <c r="B512" s="282" t="s">
        <v>35</v>
      </c>
      <c r="C512" s="347">
        <f>$B$412</f>
        <v>17500</v>
      </c>
    </row>
    <row r="513" spans="1:8">
      <c r="A513" s="257" t="s">
        <v>605</v>
      </c>
      <c r="B513" s="282" t="s">
        <v>35</v>
      </c>
      <c r="C513" s="347">
        <f>$C$412</f>
        <v>7000</v>
      </c>
    </row>
    <row r="514" spans="1:8">
      <c r="A514" s="348" t="s">
        <v>435</v>
      </c>
      <c r="B514" s="287" t="s">
        <v>35</v>
      </c>
      <c r="C514" s="279">
        <f>$C$469</f>
        <v>8172.2761930200595</v>
      </c>
    </row>
    <row r="515" spans="1:8">
      <c r="A515" s="257" t="s">
        <v>309</v>
      </c>
      <c r="B515" s="287" t="s">
        <v>35</v>
      </c>
      <c r="C515" s="279">
        <f>C511+C512+C513+C514</f>
        <v>43174.376485185137</v>
      </c>
    </row>
    <row r="516" spans="1:8">
      <c r="A516" s="257" t="s">
        <v>305</v>
      </c>
      <c r="B516" s="287" t="s">
        <v>35</v>
      </c>
      <c r="C516" s="279">
        <f>$C$507</f>
        <v>95943.058855966985</v>
      </c>
    </row>
    <row r="517" spans="1:8">
      <c r="A517" s="299" t="s">
        <v>64</v>
      </c>
      <c r="B517" s="258" t="s">
        <v>24</v>
      </c>
      <c r="C517" s="300">
        <f>C515/C516</f>
        <v>0.44999999999999996</v>
      </c>
    </row>
    <row r="518" spans="1:8">
      <c r="A518" s="68" t="s">
        <v>436</v>
      </c>
      <c r="B518" s="287" t="s">
        <v>35</v>
      </c>
      <c r="C518" s="279">
        <f>C489</f>
        <v>2724.09206434002</v>
      </c>
    </row>
    <row r="519" spans="1:8">
      <c r="A519" s="375" t="s">
        <v>363</v>
      </c>
      <c r="B519" s="287" t="s">
        <v>35</v>
      </c>
      <c r="C519" s="279">
        <f>$C$490</f>
        <v>13016.885924207872</v>
      </c>
    </row>
    <row r="520" spans="1:8">
      <c r="A520" s="257" t="s">
        <v>342</v>
      </c>
      <c r="B520" s="287" t="s">
        <v>35</v>
      </c>
      <c r="C520" s="279">
        <f>$C$350</f>
        <v>37027.704382233947</v>
      </c>
    </row>
    <row r="521" spans="1:8">
      <c r="A521" s="257" t="s">
        <v>345</v>
      </c>
      <c r="B521" s="287" t="s">
        <v>35</v>
      </c>
      <c r="C521" s="279">
        <f>C518+C519+C520</f>
        <v>52768.68237078184</v>
      </c>
    </row>
    <row r="522" spans="1:8">
      <c r="A522" s="257" t="s">
        <v>305</v>
      </c>
      <c r="B522" s="287" t="s">
        <v>35</v>
      </c>
      <c r="C522" s="279">
        <f>$C$507</f>
        <v>95943.058855966985</v>
      </c>
    </row>
    <row r="523" spans="1:8" ht="14.65" thickBot="1">
      <c r="A523" s="301" t="s">
        <v>66</v>
      </c>
      <c r="B523" s="259" t="s">
        <v>24</v>
      </c>
      <c r="C523" s="303">
        <f>C521/C522</f>
        <v>0.54999999999999993</v>
      </c>
    </row>
    <row r="525" spans="1:8" ht="14.65" thickBot="1">
      <c r="A525" s="79" t="s">
        <v>308</v>
      </c>
    </row>
    <row r="526" spans="1:8" ht="14.65" thickBot="1">
      <c r="A526" s="482"/>
      <c r="B526" s="1028" t="s">
        <v>262</v>
      </c>
      <c r="C526" s="1029"/>
      <c r="D526" s="1029"/>
      <c r="E526" s="1029"/>
      <c r="F526" s="1030"/>
      <c r="G526" s="1028" t="s">
        <v>263</v>
      </c>
      <c r="H526" s="1031"/>
    </row>
    <row r="527" spans="1:8">
      <c r="A527" s="219" t="s">
        <v>93</v>
      </c>
      <c r="B527" s="377" t="s">
        <v>136</v>
      </c>
      <c r="C527" s="421" t="s">
        <v>618</v>
      </c>
      <c r="D527" s="421" t="s">
        <v>153</v>
      </c>
      <c r="E527" s="421" t="s">
        <v>142</v>
      </c>
      <c r="F527" s="418" t="s">
        <v>309</v>
      </c>
      <c r="G527" s="1026" t="s">
        <v>459</v>
      </c>
      <c r="H527" s="1027"/>
    </row>
    <row r="528" spans="1:8" ht="14.65" thickBot="1">
      <c r="A528" s="220"/>
      <c r="B528" s="215" t="s">
        <v>35</v>
      </c>
      <c r="C528" s="325" t="s">
        <v>35</v>
      </c>
      <c r="D528" s="325" t="s">
        <v>35</v>
      </c>
      <c r="E528" s="325" t="s">
        <v>35</v>
      </c>
      <c r="F528" s="483" t="s">
        <v>35</v>
      </c>
      <c r="G528" s="6" t="s">
        <v>257</v>
      </c>
      <c r="H528" s="24" t="s">
        <v>237</v>
      </c>
    </row>
    <row r="529" spans="1:8">
      <c r="A529" s="148" t="s">
        <v>72</v>
      </c>
      <c r="B529" s="656">
        <f>B438</f>
        <v>264.09129393126238</v>
      </c>
      <c r="C529" s="378">
        <f>F418</f>
        <v>1547.5740000000001</v>
      </c>
      <c r="D529" s="378">
        <v>0</v>
      </c>
      <c r="E529" s="378">
        <f>B529+C529+D529</f>
        <v>1811.6652939312626</v>
      </c>
      <c r="F529" s="657">
        <f t="shared" ref="F529:F543" si="44">$C$515</f>
        <v>43174.376485185137</v>
      </c>
      <c r="G529" s="634">
        <f>E529/F529*1000000</f>
        <v>41961.585584285567</v>
      </c>
      <c r="H529" s="481">
        <f>G529/1000000</f>
        <v>4.1961585584285567E-2</v>
      </c>
    </row>
    <row r="530" spans="1:8">
      <c r="A530" s="149" t="s">
        <v>73</v>
      </c>
      <c r="B530" s="592">
        <f>B439</f>
        <v>2.4441067674009088E-2</v>
      </c>
      <c r="C530" s="364">
        <f>F419</f>
        <v>0.61250000000000004</v>
      </c>
      <c r="D530" s="364">
        <v>0</v>
      </c>
      <c r="E530" s="364">
        <f t="shared" ref="E530:E543" si="45">B530+C530+D530</f>
        <v>0.63694106767400915</v>
      </c>
      <c r="F530" s="658">
        <f t="shared" si="44"/>
        <v>43174.376485185137</v>
      </c>
      <c r="G530" s="558">
        <f t="shared" ref="G530:G542" si="46">E530/F530*1000000</f>
        <v>14.752756600725183</v>
      </c>
      <c r="H530" s="462">
        <f t="shared" ref="H530:H543" si="47">G530/1000000</f>
        <v>1.4752756600725184E-5</v>
      </c>
    </row>
    <row r="531" spans="1:8">
      <c r="A531" s="149" t="s">
        <v>74</v>
      </c>
      <c r="B531" s="592">
        <f t="shared" ref="B531:B533" si="48">B440</f>
        <v>268.24964128047651</v>
      </c>
      <c r="C531" s="364">
        <f t="shared" ref="C531:C542" si="49">F420</f>
        <v>2275.1098999999999</v>
      </c>
      <c r="D531" s="364">
        <v>0</v>
      </c>
      <c r="E531" s="364">
        <f t="shared" si="45"/>
        <v>2543.3595412804766</v>
      </c>
      <c r="F531" s="658">
        <f t="shared" si="44"/>
        <v>43174.376485185137</v>
      </c>
      <c r="G531" s="558">
        <f t="shared" si="46"/>
        <v>58909.004560916022</v>
      </c>
      <c r="H531" s="462">
        <f t="shared" si="47"/>
        <v>5.8909004560916023E-2</v>
      </c>
    </row>
    <row r="532" spans="1:8">
      <c r="A532" s="149" t="s">
        <v>75</v>
      </c>
      <c r="B532" s="592">
        <f t="shared" si="48"/>
        <v>9.2227811774606809E-3</v>
      </c>
      <c r="C532" s="364">
        <f t="shared" si="49"/>
        <v>5.2499999999999998E-2</v>
      </c>
      <c r="D532" s="364">
        <v>0</v>
      </c>
      <c r="E532" s="364">
        <f t="shared" si="45"/>
        <v>6.1722781177460675E-2</v>
      </c>
      <c r="F532" s="658">
        <f t="shared" si="44"/>
        <v>43174.376485185137</v>
      </c>
      <c r="G532" s="558">
        <f t="shared" si="46"/>
        <v>1.429616040862576</v>
      </c>
      <c r="H532" s="462">
        <f t="shared" si="47"/>
        <v>1.429616040862576E-6</v>
      </c>
    </row>
    <row r="533" spans="1:8">
      <c r="A533" s="149" t="s">
        <v>76</v>
      </c>
      <c r="B533" s="592">
        <f t="shared" si="48"/>
        <v>0.58517520926474909</v>
      </c>
      <c r="C533" s="364">
        <f t="shared" si="49"/>
        <v>1.9698</v>
      </c>
      <c r="D533" s="364">
        <v>0</v>
      </c>
      <c r="E533" s="364">
        <f t="shared" si="45"/>
        <v>2.5549752092647493</v>
      </c>
      <c r="F533" s="658">
        <f t="shared" si="44"/>
        <v>43174.376485185137</v>
      </c>
      <c r="G533" s="558">
        <f t="shared" si="46"/>
        <v>59.178045342275269</v>
      </c>
      <c r="H533" s="462">
        <f t="shared" si="47"/>
        <v>5.9178045342275272E-5</v>
      </c>
    </row>
    <row r="534" spans="1:8">
      <c r="A534" s="150" t="s">
        <v>77</v>
      </c>
      <c r="B534" s="592">
        <f>B443</f>
        <v>1.6340016197957118E-2</v>
      </c>
      <c r="C534" s="364">
        <f t="shared" si="49"/>
        <v>19.295499999999997</v>
      </c>
      <c r="D534" s="364">
        <v>0</v>
      </c>
      <c r="E534" s="364">
        <f t="shared" si="45"/>
        <v>19.311840016197955</v>
      </c>
      <c r="F534" s="658">
        <f t="shared" si="44"/>
        <v>43174.376485185137</v>
      </c>
      <c r="G534" s="558">
        <f t="shared" si="46"/>
        <v>447.29864304640563</v>
      </c>
      <c r="H534" s="462">
        <f t="shared" si="47"/>
        <v>4.4729864304640562E-4</v>
      </c>
    </row>
    <row r="535" spans="1:8">
      <c r="A535" s="150" t="s">
        <v>78</v>
      </c>
      <c r="B535" s="592">
        <f>B444</f>
        <v>462.34181856078112</v>
      </c>
      <c r="C535" s="364">
        <f t="shared" si="49"/>
        <v>2077.7049999999999</v>
      </c>
      <c r="D535" s="364">
        <v>0</v>
      </c>
      <c r="E535" s="364">
        <f t="shared" si="45"/>
        <v>2540.046818560781</v>
      </c>
      <c r="F535" s="658">
        <f t="shared" si="44"/>
        <v>43174.376485185137</v>
      </c>
      <c r="G535" s="558">
        <f t="shared" si="46"/>
        <v>58832.275653879406</v>
      </c>
      <c r="H535" s="462">
        <f t="shared" si="47"/>
        <v>5.8832275653879405E-2</v>
      </c>
    </row>
    <row r="536" spans="1:8">
      <c r="A536" s="150" t="s">
        <v>79</v>
      </c>
      <c r="B536" s="592">
        <f>B445</f>
        <v>65.093743846679743</v>
      </c>
      <c r="C536" s="364">
        <f t="shared" si="49"/>
        <v>232.9992</v>
      </c>
      <c r="D536" s="364">
        <v>0</v>
      </c>
      <c r="E536" s="364">
        <f t="shared" si="45"/>
        <v>298.09294384667976</v>
      </c>
      <c r="F536" s="658">
        <f t="shared" si="44"/>
        <v>43174.376485185137</v>
      </c>
      <c r="G536" s="558">
        <f t="shared" si="46"/>
        <v>6904.3948775720582</v>
      </c>
      <c r="H536" s="462">
        <f t="shared" si="47"/>
        <v>6.9043948775720579E-3</v>
      </c>
    </row>
    <row r="537" spans="1:8">
      <c r="A537" s="150" t="s">
        <v>80</v>
      </c>
      <c r="B537" s="592">
        <f>B446</f>
        <v>103.73948876074959</v>
      </c>
      <c r="C537" s="364">
        <f t="shared" si="49"/>
        <v>302.29978333333338</v>
      </c>
      <c r="D537" s="364">
        <v>0</v>
      </c>
      <c r="E537" s="364">
        <f t="shared" si="45"/>
        <v>406.039272094083</v>
      </c>
      <c r="F537" s="658">
        <f t="shared" si="44"/>
        <v>43174.376485185137</v>
      </c>
      <c r="G537" s="558">
        <f t="shared" si="46"/>
        <v>9404.6354608829479</v>
      </c>
      <c r="H537" s="462">
        <f t="shared" si="47"/>
        <v>9.4046354608829479E-3</v>
      </c>
    </row>
    <row r="538" spans="1:8">
      <c r="A538" s="150" t="s">
        <v>81</v>
      </c>
      <c r="B538" s="592">
        <f>B447</f>
        <v>93.987627676077494</v>
      </c>
      <c r="C538" s="364">
        <f t="shared" si="49"/>
        <v>67.697699999999998</v>
      </c>
      <c r="D538" s="364">
        <v>0</v>
      </c>
      <c r="E538" s="364">
        <f t="shared" si="45"/>
        <v>161.68532767607749</v>
      </c>
      <c r="F538" s="658">
        <f t="shared" si="44"/>
        <v>43174.376485185137</v>
      </c>
      <c r="G538" s="558">
        <f t="shared" si="46"/>
        <v>3744.9371789204233</v>
      </c>
      <c r="H538" s="462">
        <f t="shared" si="47"/>
        <v>3.7449371789204234E-3</v>
      </c>
    </row>
    <row r="539" spans="1:8">
      <c r="A539" s="150" t="s">
        <v>82</v>
      </c>
      <c r="B539" s="592">
        <f t="shared" ref="B539" si="50">B448</f>
        <v>0.56624402640545457</v>
      </c>
      <c r="C539" s="364">
        <f t="shared" si="49"/>
        <v>1.4619499999999999</v>
      </c>
      <c r="D539" s="364">
        <v>0</v>
      </c>
      <c r="E539" s="364">
        <f t="shared" si="45"/>
        <v>2.0281940264054543</v>
      </c>
      <c r="F539" s="658">
        <f t="shared" si="44"/>
        <v>43174.376485185137</v>
      </c>
      <c r="G539" s="558">
        <f t="shared" si="46"/>
        <v>46.97679947043148</v>
      </c>
      <c r="H539" s="462">
        <f t="shared" si="47"/>
        <v>4.6976799470431478E-5</v>
      </c>
    </row>
    <row r="540" spans="1:8">
      <c r="A540" s="350" t="s">
        <v>154</v>
      </c>
      <c r="B540" s="592">
        <f>B451</f>
        <v>2752.6197204965488</v>
      </c>
      <c r="C540" s="364">
        <f t="shared" si="49"/>
        <v>1829.2190000000001</v>
      </c>
      <c r="D540" s="364">
        <f>$B$464</f>
        <v>2585.10777534308</v>
      </c>
      <c r="E540" s="364">
        <f t="shared" si="45"/>
        <v>7166.9464958396293</v>
      </c>
      <c r="F540" s="658">
        <f t="shared" si="44"/>
        <v>43174.376485185137</v>
      </c>
      <c r="G540" s="597">
        <f t="shared" si="46"/>
        <v>165999.99998376111</v>
      </c>
      <c r="H540" s="583">
        <f t="shared" si="47"/>
        <v>0.16599999998376111</v>
      </c>
    </row>
    <row r="541" spans="1:8">
      <c r="A541" s="398" t="s">
        <v>84</v>
      </c>
      <c r="B541" s="592">
        <f>B452</f>
        <v>0.29711083928538889</v>
      </c>
      <c r="C541" s="364">
        <f t="shared" si="49"/>
        <v>2.6088999999999998</v>
      </c>
      <c r="D541" s="364">
        <v>0</v>
      </c>
      <c r="E541" s="364">
        <f t="shared" si="45"/>
        <v>2.9060108392853885</v>
      </c>
      <c r="F541" s="658">
        <f t="shared" si="44"/>
        <v>43174.376485185137</v>
      </c>
      <c r="G541" s="558">
        <f t="shared" si="46"/>
        <v>67.308692698377655</v>
      </c>
      <c r="H541" s="462">
        <f t="shared" si="47"/>
        <v>6.7308692698377662E-5</v>
      </c>
    </row>
    <row r="542" spans="1:8">
      <c r="A542" s="398" t="s">
        <v>85</v>
      </c>
      <c r="B542" s="592">
        <f t="shared" ref="B542:B543" si="51">B453</f>
        <v>0</v>
      </c>
      <c r="C542" s="364">
        <f t="shared" si="49"/>
        <v>124.30895555555556</v>
      </c>
      <c r="D542" s="364">
        <v>0</v>
      </c>
      <c r="E542" s="364">
        <f t="shared" si="45"/>
        <v>124.30895555555556</v>
      </c>
      <c r="F542" s="658">
        <f t="shared" si="44"/>
        <v>43174.376485185137</v>
      </c>
      <c r="G542" s="558">
        <f t="shared" si="46"/>
        <v>2879.2298968859677</v>
      </c>
      <c r="H542" s="462">
        <f t="shared" si="47"/>
        <v>2.8792298968859679E-3</v>
      </c>
    </row>
    <row r="543" spans="1:8" ht="14.65" thickBot="1">
      <c r="A543" s="152" t="s">
        <v>86</v>
      </c>
      <c r="B543" s="659">
        <f t="shared" si="51"/>
        <v>0.54928085883355382</v>
      </c>
      <c r="C543" s="379">
        <f>F432</f>
        <v>53.472999999999999</v>
      </c>
      <c r="D543" s="379">
        <v>0</v>
      </c>
      <c r="E543" s="379">
        <f t="shared" si="45"/>
        <v>54.022280858833554</v>
      </c>
      <c r="F543" s="660">
        <f t="shared" si="44"/>
        <v>43174.376485185137</v>
      </c>
      <c r="G543" s="559">
        <f>E543/F543*1000000</f>
        <v>1251.2579278908815</v>
      </c>
      <c r="H543" s="464">
        <f t="shared" si="47"/>
        <v>1.2512579278908815E-3</v>
      </c>
    </row>
    <row r="545" spans="1:3">
      <c r="A545" s="1" t="s">
        <v>155</v>
      </c>
      <c r="B545" s="1"/>
      <c r="C545" s="1"/>
    </row>
    <row r="546" spans="1:3" ht="14.65" thickBot="1">
      <c r="A546" s="79" t="s">
        <v>291</v>
      </c>
    </row>
    <row r="547" spans="1:3" ht="14.65" thickBot="1">
      <c r="A547" s="16" t="s">
        <v>53</v>
      </c>
      <c r="B547" s="17" t="s">
        <v>18</v>
      </c>
      <c r="C547" s="249" t="s">
        <v>106</v>
      </c>
    </row>
    <row r="548" spans="1:3" ht="14.65" thickBot="1">
      <c r="A548" s="611" t="s">
        <v>305</v>
      </c>
      <c r="B548" s="612" t="s">
        <v>35</v>
      </c>
      <c r="C548" s="613">
        <f>$C$507</f>
        <v>95943.058855966985</v>
      </c>
    </row>
    <row r="549" spans="1:3">
      <c r="A549" s="78"/>
      <c r="B549" s="685"/>
      <c r="C549" s="686"/>
    </row>
    <row r="550" spans="1:3">
      <c r="A550" s="329" t="s">
        <v>319</v>
      </c>
      <c r="B550" s="685"/>
      <c r="C550" s="686"/>
    </row>
    <row r="552" spans="1:3" ht="14.65" thickBot="1">
      <c r="A552" s="79" t="s">
        <v>292</v>
      </c>
    </row>
    <row r="553" spans="1:3" ht="14.65" thickBot="1">
      <c r="A553" s="191" t="s">
        <v>90</v>
      </c>
      <c r="B553" s="192" t="s">
        <v>18</v>
      </c>
      <c r="C553" s="193" t="s">
        <v>91</v>
      </c>
    </row>
    <row r="554" spans="1:3">
      <c r="A554" s="703" t="s">
        <v>314</v>
      </c>
      <c r="B554" s="692" t="s">
        <v>35</v>
      </c>
      <c r="C554" s="730">
        <f>C515</f>
        <v>43174.376485185137</v>
      </c>
    </row>
    <row r="555" spans="1:3">
      <c r="A555" s="232" t="s">
        <v>320</v>
      </c>
      <c r="B555" s="178" t="s">
        <v>237</v>
      </c>
      <c r="C555" s="722">
        <v>0.95</v>
      </c>
    </row>
    <row r="556" spans="1:3">
      <c r="A556" s="688" t="s">
        <v>17</v>
      </c>
      <c r="B556" s="90" t="s">
        <v>35</v>
      </c>
      <c r="C556" s="254">
        <f>C554/C555</f>
        <v>45446.712089668566</v>
      </c>
    </row>
    <row r="557" spans="1:3">
      <c r="A557" s="232" t="s">
        <v>321</v>
      </c>
      <c r="B557" s="178" t="s">
        <v>237</v>
      </c>
      <c r="C557" s="722">
        <f>100%-C555</f>
        <v>5.0000000000000044E-2</v>
      </c>
    </row>
    <row r="558" spans="1:3">
      <c r="A558" s="232" t="s">
        <v>348</v>
      </c>
      <c r="B558" s="178" t="s">
        <v>35</v>
      </c>
      <c r="C558" s="84">
        <f>C556*C557</f>
        <v>2272.3356044834304</v>
      </c>
    </row>
    <row r="559" spans="1:3" ht="14.65" thickBot="1">
      <c r="A559" s="689" t="s">
        <v>16</v>
      </c>
      <c r="B559" s="163" t="s">
        <v>35</v>
      </c>
      <c r="C559" s="690">
        <f>$C$521-C558</f>
        <v>50496.346766298411</v>
      </c>
    </row>
    <row r="561" spans="1:3" ht="14.65" thickBot="1">
      <c r="A561" s="1" t="s">
        <v>401</v>
      </c>
      <c r="B561" s="1"/>
      <c r="C561" s="1"/>
    </row>
    <row r="562" spans="1:3" ht="14.65" thickBot="1">
      <c r="A562" s="9" t="s">
        <v>402</v>
      </c>
      <c r="B562" s="790" t="s">
        <v>297</v>
      </c>
      <c r="C562" s="789" t="s">
        <v>403</v>
      </c>
    </row>
    <row r="563" spans="1:3">
      <c r="A563" s="134" t="s">
        <v>329</v>
      </c>
      <c r="B563" s="793" t="s">
        <v>35</v>
      </c>
      <c r="C563" s="795">
        <f>C26</f>
        <v>3600</v>
      </c>
    </row>
    <row r="564" spans="1:3">
      <c r="A564" s="68" t="s">
        <v>331</v>
      </c>
      <c r="B564" s="105" t="s">
        <v>35</v>
      </c>
      <c r="C564" s="84">
        <f>C30</f>
        <v>27708</v>
      </c>
    </row>
    <row r="565" spans="1:3">
      <c r="A565" s="68" t="s">
        <v>409</v>
      </c>
      <c r="B565" s="105" t="s">
        <v>35</v>
      </c>
      <c r="C565" s="84">
        <f>C31</f>
        <v>6600.0000000000009</v>
      </c>
    </row>
    <row r="566" spans="1:3">
      <c r="A566" s="68" t="s">
        <v>410</v>
      </c>
      <c r="B566" s="105" t="s">
        <v>35</v>
      </c>
      <c r="C566" s="82">
        <f>C35</f>
        <v>16500</v>
      </c>
    </row>
    <row r="567" spans="1:3">
      <c r="A567" s="68" t="s">
        <v>404</v>
      </c>
      <c r="B567" s="105" t="s">
        <v>35</v>
      </c>
      <c r="C567" s="80">
        <f>ISH</f>
        <v>12000</v>
      </c>
    </row>
    <row r="568" spans="1:3">
      <c r="A568" s="68" t="s">
        <v>406</v>
      </c>
      <c r="B568" s="105" t="s">
        <v>35</v>
      </c>
      <c r="C568" s="80">
        <f>TVM</f>
        <v>17500</v>
      </c>
    </row>
    <row r="569" spans="1:3">
      <c r="A569" s="68" t="s">
        <v>405</v>
      </c>
      <c r="B569" s="105" t="s">
        <v>35</v>
      </c>
      <c r="C569" s="80">
        <f>SEF</f>
        <v>7000</v>
      </c>
    </row>
    <row r="570" spans="1:3">
      <c r="A570" s="68" t="s">
        <v>334</v>
      </c>
      <c r="B570" s="105" t="s">
        <v>35</v>
      </c>
      <c r="C570" s="86">
        <f>C123</f>
        <v>794.35807472358113</v>
      </c>
    </row>
    <row r="571" spans="1:3">
      <c r="A571" s="68" t="s">
        <v>338</v>
      </c>
      <c r="B571" s="105" t="s">
        <v>35</v>
      </c>
      <c r="C571" s="84">
        <f>C292</f>
        <v>18000</v>
      </c>
    </row>
    <row r="572" spans="1:3">
      <c r="A572" s="68" t="s">
        <v>408</v>
      </c>
      <c r="B572" s="105" t="s">
        <v>35</v>
      </c>
      <c r="C572" s="84">
        <f>C469</f>
        <v>8172.2761930200595</v>
      </c>
    </row>
    <row r="573" spans="1:3">
      <c r="A573" s="68" t="s">
        <v>411</v>
      </c>
      <c r="B573" s="105" t="s">
        <v>35</v>
      </c>
      <c r="C573" s="84">
        <f>C471</f>
        <v>10896.36825736008</v>
      </c>
    </row>
    <row r="574" spans="1:3">
      <c r="A574" s="794" t="s">
        <v>412</v>
      </c>
      <c r="B574" s="105" t="s">
        <v>35</v>
      </c>
      <c r="C574" s="84">
        <f>C565+C572</f>
        <v>14772.276193020061</v>
      </c>
    </row>
    <row r="575" spans="1:3" ht="14.65" thickBot="1">
      <c r="A575" s="73" t="s">
        <v>407</v>
      </c>
      <c r="B575" s="23" t="s">
        <v>35</v>
      </c>
      <c r="C575" s="237">
        <f>C490</f>
        <v>13016.885924207872</v>
      </c>
    </row>
    <row r="577" spans="1:5" ht="14.65" thickBot="1">
      <c r="A577" s="1" t="s">
        <v>235</v>
      </c>
      <c r="B577" s="1"/>
      <c r="C577" s="1"/>
      <c r="D577" s="79"/>
      <c r="E577" s="79"/>
    </row>
    <row r="578" spans="1:5" ht="14.65" thickBot="1">
      <c r="A578" s="512"/>
      <c r="B578" s="249" t="s">
        <v>18</v>
      </c>
      <c r="C578" s="249" t="s">
        <v>234</v>
      </c>
    </row>
    <row r="579" spans="1:5">
      <c r="A579" s="134" t="s">
        <v>232</v>
      </c>
      <c r="B579" s="509" t="s">
        <v>24</v>
      </c>
      <c r="C579" s="248">
        <v>0.38</v>
      </c>
    </row>
    <row r="580" spans="1:5">
      <c r="A580" s="68" t="s">
        <v>324</v>
      </c>
      <c r="B580" s="510" t="s">
        <v>35</v>
      </c>
      <c r="C580" s="244">
        <f>C554</f>
        <v>43174.376485185137</v>
      </c>
    </row>
    <row r="581" spans="1:5">
      <c r="A581" s="68" t="s">
        <v>349</v>
      </c>
      <c r="B581" s="510" t="s">
        <v>35</v>
      </c>
      <c r="C581" s="245">
        <f>C580*C579</f>
        <v>16406.263064370352</v>
      </c>
    </row>
    <row r="582" spans="1:5">
      <c r="A582" s="68" t="s">
        <v>350</v>
      </c>
      <c r="B582" s="510" t="s">
        <v>35</v>
      </c>
      <c r="C582" s="246">
        <f>E532</f>
        <v>6.1722781177460675E-2</v>
      </c>
    </row>
    <row r="583" spans="1:5" ht="14.65" thickBot="1">
      <c r="A583" s="73" t="s">
        <v>351</v>
      </c>
      <c r="B583" s="511" t="s">
        <v>236</v>
      </c>
      <c r="C583" s="931">
        <f>C582/C581*1000000</f>
        <v>3.7621474759541473</v>
      </c>
    </row>
    <row r="584" spans="1:5" ht="14.65" thickBot="1"/>
    <row r="585" spans="1:5" ht="14.65" thickBot="1">
      <c r="A585" s="212"/>
      <c r="B585" s="1010" t="s">
        <v>216</v>
      </c>
      <c r="C585" s="1005" t="s">
        <v>165</v>
      </c>
      <c r="D585" s="1012"/>
    </row>
    <row r="586" spans="1:5">
      <c r="A586" s="487" t="s">
        <v>67</v>
      </c>
      <c r="B586" s="1011"/>
      <c r="C586" s="3" t="s">
        <v>166</v>
      </c>
      <c r="D586" s="15" t="s">
        <v>167</v>
      </c>
    </row>
    <row r="587" spans="1:5" ht="14.65" thickBot="1">
      <c r="A587" s="133" t="s">
        <v>18</v>
      </c>
      <c r="B587" s="610" t="s">
        <v>352</v>
      </c>
      <c r="C587" s="6" t="s">
        <v>70</v>
      </c>
      <c r="D587" s="24" t="s">
        <v>70</v>
      </c>
    </row>
    <row r="588" spans="1:5">
      <c r="A588" s="134" t="s">
        <v>222</v>
      </c>
      <c r="B588" s="684">
        <f>G530</f>
        <v>14.752756600725183</v>
      </c>
      <c r="C588" s="484">
        <f>Rohdaten!$F$12</f>
        <v>40</v>
      </c>
      <c r="D588" s="110">
        <f>Rohdaten!$H$12</f>
        <v>40</v>
      </c>
    </row>
    <row r="589" spans="1:5">
      <c r="A589" s="68" t="s">
        <v>223</v>
      </c>
      <c r="B589" s="929">
        <f>C583</f>
        <v>3.7621474759541473</v>
      </c>
      <c r="C589" s="105" t="str">
        <f>Rohdaten!$F$14</f>
        <v>50mg/kgP2O5</v>
      </c>
      <c r="D589" s="80" t="str">
        <f>Rohdaten!$H$14</f>
        <v>60mg/kgP2O5</v>
      </c>
    </row>
    <row r="590" spans="1:5">
      <c r="A590" s="68" t="s">
        <v>224</v>
      </c>
      <c r="B590" s="606">
        <f>G534</f>
        <v>447.29864304640563</v>
      </c>
      <c r="C590" s="485">
        <f>Rohdaten!$F$16</f>
        <v>900</v>
      </c>
      <c r="D590" s="82">
        <f>Rohdaten!$H$16</f>
        <v>600</v>
      </c>
    </row>
    <row r="591" spans="1:5">
      <c r="A591" s="68" t="s">
        <v>225</v>
      </c>
      <c r="B591" s="606">
        <f>G539</f>
        <v>46.97679947043148</v>
      </c>
      <c r="C591" s="485">
        <f>Rohdaten!$F$21</f>
        <v>80</v>
      </c>
      <c r="D591" s="82">
        <f>Rohdaten!$H$21</f>
        <v>100</v>
      </c>
    </row>
    <row r="592" spans="1:5">
      <c r="A592" s="68" t="s">
        <v>226</v>
      </c>
      <c r="B592" s="607">
        <f>G541</f>
        <v>67.308692698377655</v>
      </c>
      <c r="C592" s="485">
        <f>Rohdaten!$F$23</f>
        <v>150</v>
      </c>
      <c r="D592" s="82">
        <f>Rohdaten!$H$23</f>
        <v>120</v>
      </c>
    </row>
    <row r="593" spans="1:4" ht="14.65" thickBot="1">
      <c r="A593" s="73" t="s">
        <v>227</v>
      </c>
      <c r="B593" s="608">
        <f>G543</f>
        <v>1251.2579278908815</v>
      </c>
      <c r="C593" s="486">
        <f>Rohdaten!$F$25</f>
        <v>5000</v>
      </c>
      <c r="D593" s="237">
        <f>Rohdaten!$H$25</f>
        <v>1500</v>
      </c>
    </row>
  </sheetData>
  <mergeCells count="44">
    <mergeCell ref="G527:H527"/>
    <mergeCell ref="B585:B586"/>
    <mergeCell ref="C585:D585"/>
    <mergeCell ref="B435:E435"/>
    <mergeCell ref="F435:G435"/>
    <mergeCell ref="F436:G436"/>
    <mergeCell ref="D460:E460"/>
    <mergeCell ref="B526:F526"/>
    <mergeCell ref="G526:H526"/>
    <mergeCell ref="B382:D382"/>
    <mergeCell ref="E382:H382"/>
    <mergeCell ref="E383:F383"/>
    <mergeCell ref="G383:H383"/>
    <mergeCell ref="B415:C415"/>
    <mergeCell ref="D415:F415"/>
    <mergeCell ref="I190:L190"/>
    <mergeCell ref="I191:J191"/>
    <mergeCell ref="K191:L191"/>
    <mergeCell ref="B355:D355"/>
    <mergeCell ref="E355:H355"/>
    <mergeCell ref="E356:F356"/>
    <mergeCell ref="G356:H356"/>
    <mergeCell ref="B190:B191"/>
    <mergeCell ref="C190:C191"/>
    <mergeCell ref="D190:D191"/>
    <mergeCell ref="E190:E191"/>
    <mergeCell ref="F190:F191"/>
    <mergeCell ref="G190:H191"/>
    <mergeCell ref="F38:H38"/>
    <mergeCell ref="B126:C126"/>
    <mergeCell ref="B127:C127"/>
    <mergeCell ref="B189:F189"/>
    <mergeCell ref="G189:L189"/>
    <mergeCell ref="B79:F79"/>
    <mergeCell ref="G79:L79"/>
    <mergeCell ref="B80:B81"/>
    <mergeCell ref="C80:C81"/>
    <mergeCell ref="D80:D81"/>
    <mergeCell ref="E80:E81"/>
    <mergeCell ref="F80:F81"/>
    <mergeCell ref="G80:H81"/>
    <mergeCell ref="I80:L80"/>
    <mergeCell ref="I81:J81"/>
    <mergeCell ref="K81:L81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7E431-32E1-4250-BE42-4C2A5741ACBC}">
  <sheetPr codeName="Tabelle25"/>
  <dimension ref="A1:L516"/>
  <sheetViews>
    <sheetView topLeftCell="A476" zoomScale="70" zoomScaleNormal="70" workbookViewId="0">
      <selection activeCell="B515" sqref="B515"/>
    </sheetView>
  </sheetViews>
  <sheetFormatPr baseColWidth="10" defaultColWidth="8.86328125" defaultRowHeight="14.25"/>
  <cols>
    <col min="1" max="1" width="45.597656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599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614</v>
      </c>
      <c r="C7" s="189" t="s">
        <v>615</v>
      </c>
      <c r="D7" s="190" t="s">
        <v>622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0.3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1.7</v>
      </c>
    </row>
    <row r="17" spans="1:5">
      <c r="A17" s="715"/>
      <c r="B17" s="716"/>
      <c r="C17" s="716"/>
      <c r="D17" s="716"/>
    </row>
    <row r="18" spans="1:5">
      <c r="A18" s="717" t="s">
        <v>451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623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0.3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3600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0.12992637505413598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27708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7">
      <c r="A33" s="232" t="s">
        <v>426</v>
      </c>
      <c r="B33" s="178" t="s">
        <v>35</v>
      </c>
      <c r="C33" s="723">
        <f>C30/C32*(1-C32)</f>
        <v>9900</v>
      </c>
    </row>
    <row r="34" spans="1:7" ht="14.65" thickBot="1">
      <c r="A34" s="680" t="s">
        <v>427</v>
      </c>
      <c r="B34" s="694" t="s">
        <v>35</v>
      </c>
      <c r="C34" s="725">
        <f>C30+C33</f>
        <v>16500</v>
      </c>
    </row>
    <row r="35" spans="1:7">
      <c r="A35" s="180"/>
      <c r="B35" s="181"/>
      <c r="C35" s="182"/>
    </row>
    <row r="36" spans="1:7" ht="14.65" thickBot="1">
      <c r="A36" s="183" t="s">
        <v>644</v>
      </c>
      <c r="B36" s="181"/>
      <c r="C36" s="182"/>
    </row>
    <row r="37" spans="1:7" ht="14.65" thickBot="1">
      <c r="A37" s="410"/>
      <c r="B37" s="169"/>
      <c r="C37" s="9" t="s">
        <v>263</v>
      </c>
      <c r="D37" s="1043" t="s">
        <v>262</v>
      </c>
      <c r="E37" s="1044"/>
      <c r="F37" s="1045"/>
    </row>
    <row r="38" spans="1:7">
      <c r="A38" s="92" t="s">
        <v>268</v>
      </c>
      <c r="B38" s="446" t="s">
        <v>88</v>
      </c>
      <c r="C38" s="412" t="s">
        <v>622</v>
      </c>
      <c r="D38" s="497" t="s">
        <v>624</v>
      </c>
      <c r="E38" s="421" t="s">
        <v>625</v>
      </c>
      <c r="F38" s="492" t="s">
        <v>626</v>
      </c>
    </row>
    <row r="39" spans="1:7" ht="14.65" thickBot="1">
      <c r="A39" s="93" t="s">
        <v>18</v>
      </c>
      <c r="B39" s="411" t="s">
        <v>24</v>
      </c>
      <c r="C39" s="73" t="s">
        <v>71</v>
      </c>
      <c r="D39" s="6" t="s">
        <v>35</v>
      </c>
      <c r="E39" s="7" t="s">
        <v>35</v>
      </c>
      <c r="F39" s="24" t="s">
        <v>35</v>
      </c>
    </row>
    <row r="40" spans="1:7">
      <c r="A40" s="106" t="s">
        <v>72</v>
      </c>
      <c r="B40" s="447">
        <v>0.65137271969690658</v>
      </c>
      <c r="C40" s="413">
        <v>39002</v>
      </c>
      <c r="D40" s="227">
        <f t="shared" ref="D40:D54" si="0">$D$9*C40/1000000</f>
        <v>468.024</v>
      </c>
      <c r="E40" s="429">
        <f t="shared" ref="E40:E52" si="1">B40*D40</f>
        <v>304.85806576342503</v>
      </c>
      <c r="F40" s="467">
        <f t="shared" ref="F40:F52" si="2">D40*(1-B40)</f>
        <v>163.165934236575</v>
      </c>
    </row>
    <row r="41" spans="1:7">
      <c r="A41" s="107" t="s">
        <v>73</v>
      </c>
      <c r="B41" s="448">
        <v>0.80153246110453391</v>
      </c>
      <c r="C41" s="413">
        <v>28.6</v>
      </c>
      <c r="D41" s="229">
        <f t="shared" si="0"/>
        <v>0.34320000000000001</v>
      </c>
      <c r="E41" s="424">
        <f t="shared" si="1"/>
        <v>0.27508594065107606</v>
      </c>
      <c r="F41" s="468">
        <f t="shared" si="2"/>
        <v>6.8114059348923964E-2</v>
      </c>
    </row>
    <row r="42" spans="1:7">
      <c r="A42" s="108" t="s">
        <v>74</v>
      </c>
      <c r="B42" s="448">
        <v>0.15823734978631154</v>
      </c>
      <c r="C42" s="413">
        <v>159000</v>
      </c>
      <c r="D42" s="229">
        <f t="shared" si="0"/>
        <v>1908</v>
      </c>
      <c r="E42" s="424">
        <f t="shared" si="1"/>
        <v>301.91686339228244</v>
      </c>
      <c r="F42" s="468">
        <f t="shared" si="2"/>
        <v>1606.0831366077175</v>
      </c>
      <c r="G42" s="710"/>
    </row>
    <row r="43" spans="1:7">
      <c r="A43" s="108" t="s">
        <v>75</v>
      </c>
      <c r="B43" s="448">
        <v>0.25348730816186238</v>
      </c>
      <c r="C43" s="413">
        <v>3.5</v>
      </c>
      <c r="D43" s="229">
        <f t="shared" si="0"/>
        <v>4.2000000000000003E-2</v>
      </c>
      <c r="E43" s="424">
        <f t="shared" si="1"/>
        <v>1.064646694279822E-2</v>
      </c>
      <c r="F43" s="468">
        <f t="shared" si="2"/>
        <v>3.1353533057201781E-2</v>
      </c>
    </row>
    <row r="44" spans="1:7">
      <c r="A44" s="108" t="s">
        <v>76</v>
      </c>
      <c r="B44" s="448">
        <v>0.40356545688185752</v>
      </c>
      <c r="C44" s="413">
        <v>136</v>
      </c>
      <c r="D44" s="229">
        <f t="shared" si="0"/>
        <v>1.6319999999999999</v>
      </c>
      <c r="E44" s="424">
        <f t="shared" si="1"/>
        <v>0.65861882563119145</v>
      </c>
      <c r="F44" s="468">
        <f t="shared" si="2"/>
        <v>0.97338117436880844</v>
      </c>
    </row>
    <row r="45" spans="1:7">
      <c r="A45" s="108" t="s">
        <v>77</v>
      </c>
      <c r="B45" s="448">
        <v>0.23362301177680689</v>
      </c>
      <c r="C45" s="413">
        <v>656</v>
      </c>
      <c r="D45" s="229">
        <f t="shared" si="0"/>
        <v>7.8719999999999999</v>
      </c>
      <c r="E45" s="424">
        <f t="shared" si="1"/>
        <v>1.8390803487070237</v>
      </c>
      <c r="F45" s="468">
        <f t="shared" si="2"/>
        <v>6.0329196512929757</v>
      </c>
    </row>
    <row r="46" spans="1:7">
      <c r="A46" s="108" t="s">
        <v>78</v>
      </c>
      <c r="B46" s="448">
        <v>0.50785001796590601</v>
      </c>
      <c r="C46" s="413">
        <v>87577</v>
      </c>
      <c r="D46" s="229">
        <f t="shared" si="0"/>
        <v>1050.924</v>
      </c>
      <c r="E46" s="424">
        <f t="shared" si="1"/>
        <v>533.71177228080182</v>
      </c>
      <c r="F46" s="468">
        <f t="shared" si="2"/>
        <v>517.21222771919815</v>
      </c>
    </row>
    <row r="47" spans="1:7">
      <c r="A47" s="108" t="s">
        <v>79</v>
      </c>
      <c r="B47" s="448">
        <v>0.76085478233676074</v>
      </c>
      <c r="C47" s="413">
        <v>8230</v>
      </c>
      <c r="D47" s="229">
        <f t="shared" si="0"/>
        <v>98.76</v>
      </c>
      <c r="E47" s="424">
        <f t="shared" si="1"/>
        <v>75.142018303578496</v>
      </c>
      <c r="F47" s="468">
        <f t="shared" si="2"/>
        <v>23.617981696421509</v>
      </c>
    </row>
    <row r="48" spans="1:7">
      <c r="A48" s="108" t="s">
        <v>80</v>
      </c>
      <c r="B48" s="448">
        <v>0.77360051904316074</v>
      </c>
      <c r="C48" s="413">
        <v>12900</v>
      </c>
      <c r="D48" s="229">
        <f t="shared" si="0"/>
        <v>154.80000000000001</v>
      </c>
      <c r="E48" s="424">
        <f t="shared" si="1"/>
        <v>119.7533603478813</v>
      </c>
      <c r="F48" s="468">
        <f t="shared" si="2"/>
        <v>35.046639652118721</v>
      </c>
    </row>
    <row r="49" spans="1:6">
      <c r="A49" s="108" t="s">
        <v>81</v>
      </c>
      <c r="B49" s="448">
        <v>0.8205530976880453</v>
      </c>
      <c r="C49" s="413">
        <v>8100</v>
      </c>
      <c r="D49" s="229">
        <f t="shared" si="0"/>
        <v>97.2</v>
      </c>
      <c r="E49" s="424">
        <f t="shared" si="1"/>
        <v>79.757761095277999</v>
      </c>
      <c r="F49" s="468">
        <f t="shared" si="2"/>
        <v>17.442238904721997</v>
      </c>
    </row>
    <row r="50" spans="1:6">
      <c r="A50" s="108" t="s">
        <v>82</v>
      </c>
      <c r="B50" s="448">
        <v>0.435768646693799</v>
      </c>
      <c r="C50" s="413">
        <v>125</v>
      </c>
      <c r="D50" s="229">
        <f t="shared" si="0"/>
        <v>1.5</v>
      </c>
      <c r="E50" s="424">
        <f t="shared" si="1"/>
        <v>0.65365297004069856</v>
      </c>
      <c r="F50" s="468">
        <f t="shared" si="2"/>
        <v>0.84634702995930144</v>
      </c>
    </row>
    <row r="51" spans="1:6">
      <c r="A51" s="108" t="s">
        <v>83</v>
      </c>
      <c r="B51" s="448">
        <v>0.87583141379652929</v>
      </c>
      <c r="C51" s="413">
        <v>81618</v>
      </c>
      <c r="D51" s="229">
        <f t="shared" si="0"/>
        <v>979.41600000000005</v>
      </c>
      <c r="E51" s="424">
        <f t="shared" si="1"/>
        <v>857.80329997494152</v>
      </c>
      <c r="F51" s="468">
        <f t="shared" si="2"/>
        <v>121.61270002505847</v>
      </c>
    </row>
    <row r="52" spans="1:6">
      <c r="A52" s="108" t="s">
        <v>84</v>
      </c>
      <c r="B52" s="448">
        <v>0.23049375883839485</v>
      </c>
      <c r="C52" s="413">
        <v>124</v>
      </c>
      <c r="D52" s="229">
        <f t="shared" si="0"/>
        <v>1.488</v>
      </c>
      <c r="E52" s="424">
        <f t="shared" si="1"/>
        <v>0.34297471315153155</v>
      </c>
      <c r="F52" s="468">
        <f t="shared" si="2"/>
        <v>1.1450252868484685</v>
      </c>
    </row>
    <row r="53" spans="1:6">
      <c r="A53" s="108" t="s">
        <v>85</v>
      </c>
      <c r="B53" s="448" t="s">
        <v>89</v>
      </c>
      <c r="C53" s="413">
        <v>18900</v>
      </c>
      <c r="D53" s="229">
        <f t="shared" si="0"/>
        <v>226.8</v>
      </c>
      <c r="E53" s="424" t="s">
        <v>89</v>
      </c>
      <c r="F53" s="468" t="s">
        <v>89</v>
      </c>
    </row>
    <row r="54" spans="1:6" ht="14.65" thickBot="1">
      <c r="A54" s="109" t="s">
        <v>86</v>
      </c>
      <c r="B54" s="449">
        <v>0.43789451837070636</v>
      </c>
      <c r="C54" s="414">
        <v>2353</v>
      </c>
      <c r="D54" s="230">
        <f t="shared" si="0"/>
        <v>28.236000000000001</v>
      </c>
      <c r="E54" s="435">
        <f>B54*D54</f>
        <v>12.364389620715265</v>
      </c>
      <c r="F54" s="469">
        <f>D54*(1-B54)</f>
        <v>15.871610379284736</v>
      </c>
    </row>
    <row r="55" spans="1:6">
      <c r="A55" s="5"/>
    </row>
    <row r="56" spans="1:6" ht="14.65" thickBot="1">
      <c r="A56" s="79" t="s">
        <v>265</v>
      </c>
    </row>
    <row r="57" spans="1:6" ht="14.65" thickBot="1">
      <c r="A57" s="103" t="s">
        <v>90</v>
      </c>
      <c r="B57" s="102" t="s">
        <v>18</v>
      </c>
      <c r="C57" s="17" t="s">
        <v>91</v>
      </c>
    </row>
    <row r="58" spans="1:6">
      <c r="A58" s="272" t="s">
        <v>623</v>
      </c>
      <c r="B58" s="298" t="s">
        <v>35</v>
      </c>
      <c r="C58" s="294">
        <f>$C$22</f>
        <v>12000</v>
      </c>
    </row>
    <row r="59" spans="1:6">
      <c r="A59" s="815" t="s">
        <v>366</v>
      </c>
      <c r="B59" s="278" t="s">
        <v>35</v>
      </c>
      <c r="C59" s="297">
        <f>C24</f>
        <v>34008</v>
      </c>
    </row>
    <row r="60" spans="1:6">
      <c r="A60" s="257" t="s">
        <v>329</v>
      </c>
      <c r="B60" s="278" t="s">
        <v>35</v>
      </c>
      <c r="C60" s="289">
        <f>C25</f>
        <v>3600</v>
      </c>
    </row>
    <row r="61" spans="1:6">
      <c r="A61" s="257" t="s">
        <v>428</v>
      </c>
      <c r="B61" s="278" t="s">
        <v>35</v>
      </c>
      <c r="C61" s="289">
        <f>C30</f>
        <v>6600.0000000000009</v>
      </c>
    </row>
    <row r="62" spans="1:6" ht="14.65" thickBot="1">
      <c r="A62" s="255" t="s">
        <v>4</v>
      </c>
      <c r="B62" s="271" t="s">
        <v>35</v>
      </c>
      <c r="C62" s="256">
        <f>C58+C59+C60+C61</f>
        <v>56208</v>
      </c>
    </row>
    <row r="63" spans="1:6" hidden="1"/>
    <row r="64" spans="1:6" hidden="1">
      <c r="A64" s="79" t="s">
        <v>56</v>
      </c>
      <c r="B64" s="79"/>
      <c r="C64" s="79"/>
    </row>
    <row r="65" spans="1:3" ht="14.65" hidden="1" thickBot="1">
      <c r="A65" s="103" t="s">
        <v>90</v>
      </c>
      <c r="B65" s="102" t="s">
        <v>18</v>
      </c>
      <c r="C65" s="17" t="s">
        <v>91</v>
      </c>
    </row>
    <row r="66" spans="1:3" hidden="1">
      <c r="A66" s="272" t="s">
        <v>627</v>
      </c>
      <c r="B66" s="298" t="s">
        <v>35</v>
      </c>
      <c r="C66" s="294">
        <f>$C$22</f>
        <v>12000</v>
      </c>
    </row>
    <row r="67" spans="1:3" hidden="1">
      <c r="A67" s="257" t="s">
        <v>87</v>
      </c>
      <c r="B67" s="278" t="s">
        <v>35</v>
      </c>
      <c r="C67" s="295">
        <f>SUM($E$40:$E$54)</f>
        <v>2289.0875900440278</v>
      </c>
    </row>
    <row r="68" spans="1:3" hidden="1">
      <c r="A68" s="257" t="s">
        <v>57</v>
      </c>
      <c r="B68" s="278" t="s">
        <v>35</v>
      </c>
      <c r="C68" s="279">
        <f>C66-C67</f>
        <v>9710.9124099559722</v>
      </c>
    </row>
    <row r="69" spans="1:3" hidden="1">
      <c r="A69" s="257" t="s">
        <v>4</v>
      </c>
      <c r="B69" s="278" t="s">
        <v>35</v>
      </c>
      <c r="C69" s="279">
        <f>$C$62</f>
        <v>56208</v>
      </c>
    </row>
    <row r="70" spans="1:3" hidden="1">
      <c r="A70" s="299" t="s">
        <v>59</v>
      </c>
      <c r="B70" s="260" t="s">
        <v>24</v>
      </c>
      <c r="C70" s="300">
        <f>C68/C69</f>
        <v>0.17276744253408718</v>
      </c>
    </row>
    <row r="71" spans="1:3" hidden="1">
      <c r="A71" s="257" t="s">
        <v>628</v>
      </c>
      <c r="B71" s="278" t="s">
        <v>35</v>
      </c>
      <c r="C71" s="279">
        <f>$C$24</f>
        <v>34008</v>
      </c>
    </row>
    <row r="72" spans="1:3" hidden="1">
      <c r="A72" s="257" t="s">
        <v>32</v>
      </c>
      <c r="B72" s="278" t="s">
        <v>35</v>
      </c>
      <c r="C72" s="295">
        <f>$C$25</f>
        <v>3600</v>
      </c>
    </row>
    <row r="73" spans="1:3" hidden="1">
      <c r="A73" s="257" t="s">
        <v>629</v>
      </c>
      <c r="B73" s="278" t="s">
        <v>35</v>
      </c>
      <c r="C73" s="295">
        <f>$C$30</f>
        <v>6600.0000000000009</v>
      </c>
    </row>
    <row r="74" spans="1:3" hidden="1">
      <c r="A74" s="257" t="s">
        <v>87</v>
      </c>
      <c r="B74" s="278" t="s">
        <v>35</v>
      </c>
      <c r="C74" s="295">
        <f>SUM($E$40:$E$54)</f>
        <v>2289.0875900440278</v>
      </c>
    </row>
    <row r="75" spans="1:3" hidden="1">
      <c r="A75" s="257" t="s">
        <v>60</v>
      </c>
      <c r="B75" s="278" t="s">
        <v>35</v>
      </c>
      <c r="C75" s="279">
        <f>SUM(C71:C74)</f>
        <v>46497.08759004403</v>
      </c>
    </row>
    <row r="76" spans="1:3" hidden="1">
      <c r="A76" s="257" t="s">
        <v>4</v>
      </c>
      <c r="B76" s="278" t="s">
        <v>35</v>
      </c>
      <c r="C76" s="279">
        <f>$C$62</f>
        <v>56208</v>
      </c>
    </row>
    <row r="77" spans="1:3" ht="14.65" hidden="1" thickBot="1">
      <c r="A77" s="301" t="s">
        <v>61</v>
      </c>
      <c r="B77" s="277" t="s">
        <v>24</v>
      </c>
      <c r="C77" s="303">
        <f>C75/C76</f>
        <v>0.82723255746591284</v>
      </c>
    </row>
    <row r="78" spans="1:3">
      <c r="A78" s="83"/>
      <c r="B78" s="77"/>
      <c r="C78" s="96"/>
    </row>
    <row r="79" spans="1:3" ht="14.65" thickBot="1">
      <c r="A79" s="79" t="s">
        <v>278</v>
      </c>
      <c r="B79" s="79"/>
      <c r="C79" s="79"/>
    </row>
    <row r="80" spans="1:3" ht="14.65" thickBot="1">
      <c r="A80" s="103" t="s">
        <v>90</v>
      </c>
      <c r="B80" s="102" t="s">
        <v>18</v>
      </c>
      <c r="C80" s="17" t="s">
        <v>91</v>
      </c>
    </row>
    <row r="81" spans="1:12">
      <c r="A81" s="272" t="s">
        <v>623</v>
      </c>
      <c r="B81" s="298" t="s">
        <v>35</v>
      </c>
      <c r="C81" s="294">
        <f>$C$22</f>
        <v>12000</v>
      </c>
    </row>
    <row r="82" spans="1:12">
      <c r="A82" s="257" t="s">
        <v>329</v>
      </c>
      <c r="B82" s="278" t="s">
        <v>35</v>
      </c>
      <c r="C82" s="295">
        <f>$C$25</f>
        <v>3600</v>
      </c>
    </row>
    <row r="83" spans="1:12">
      <c r="A83" s="257" t="s">
        <v>428</v>
      </c>
      <c r="B83" s="278" t="s">
        <v>35</v>
      </c>
      <c r="C83" s="295">
        <f>$C$30</f>
        <v>6600.0000000000009</v>
      </c>
    </row>
    <row r="84" spans="1:12">
      <c r="A84" s="257" t="s">
        <v>336</v>
      </c>
      <c r="B84" s="278" t="s">
        <v>35</v>
      </c>
      <c r="C84" s="279">
        <f>C81+C82+C83</f>
        <v>22200</v>
      </c>
    </row>
    <row r="85" spans="1:12">
      <c r="A85" s="257" t="s">
        <v>4</v>
      </c>
      <c r="B85" s="278" t="s">
        <v>35</v>
      </c>
      <c r="C85" s="279">
        <f>$C$62</f>
        <v>56208</v>
      </c>
    </row>
    <row r="86" spans="1:12">
      <c r="A86" s="299" t="s">
        <v>64</v>
      </c>
      <c r="B86" s="260" t="s">
        <v>24</v>
      </c>
      <c r="C86" s="300">
        <f>C84/C85</f>
        <v>0.39496157130657555</v>
      </c>
    </row>
    <row r="87" spans="1:12">
      <c r="A87" s="257" t="s">
        <v>366</v>
      </c>
      <c r="B87" s="278" t="s">
        <v>35</v>
      </c>
      <c r="C87" s="279">
        <f>$C$24</f>
        <v>34008</v>
      </c>
    </row>
    <row r="88" spans="1:12">
      <c r="A88" s="257" t="s">
        <v>333</v>
      </c>
      <c r="B88" s="278" t="s">
        <v>35</v>
      </c>
      <c r="C88" s="279">
        <f>C87</f>
        <v>34008</v>
      </c>
    </row>
    <row r="89" spans="1:12">
      <c r="A89" s="257" t="s">
        <v>4</v>
      </c>
      <c r="B89" s="278" t="s">
        <v>35</v>
      </c>
      <c r="C89" s="279">
        <f>$C$62</f>
        <v>56208</v>
      </c>
    </row>
    <row r="90" spans="1:12" ht="14.65" thickBot="1">
      <c r="A90" s="301" t="s">
        <v>66</v>
      </c>
      <c r="B90" s="277" t="s">
        <v>24</v>
      </c>
      <c r="C90" s="303">
        <f>C88/C89</f>
        <v>0.60503842869342439</v>
      </c>
    </row>
    <row r="91" spans="1:12">
      <c r="A91" s="83"/>
      <c r="B91" s="77"/>
      <c r="C91" s="96"/>
    </row>
    <row r="92" spans="1:12" ht="14.65" thickBot="1">
      <c r="A92" s="79" t="s">
        <v>92</v>
      </c>
    </row>
    <row r="93" spans="1:12" ht="14.65" thickBot="1">
      <c r="A93" s="419"/>
      <c r="B93" s="1028" t="s">
        <v>262</v>
      </c>
      <c r="C93" s="1029"/>
      <c r="D93" s="1029"/>
      <c r="E93" s="1029"/>
      <c r="F93" s="1030"/>
      <c r="G93" s="1028" t="s">
        <v>263</v>
      </c>
      <c r="H93" s="1029"/>
      <c r="I93" s="1029"/>
      <c r="J93" s="1029"/>
      <c r="K93" s="1029"/>
      <c r="L93" s="1031"/>
    </row>
    <row r="94" spans="1:12">
      <c r="A94" s="420"/>
      <c r="B94" s="1047" t="s">
        <v>270</v>
      </c>
      <c r="C94" s="1051" t="s">
        <v>243</v>
      </c>
      <c r="D94" s="1051" t="s">
        <v>256</v>
      </c>
      <c r="E94" s="1049" t="s">
        <v>336</v>
      </c>
      <c r="F94" s="1052" t="s">
        <v>266</v>
      </c>
      <c r="G94" s="1026" t="s">
        <v>269</v>
      </c>
      <c r="H94" s="1040"/>
      <c r="I94" s="1022" t="s">
        <v>267</v>
      </c>
      <c r="J94" s="1032"/>
      <c r="K94" s="1032"/>
      <c r="L94" s="1023"/>
    </row>
    <row r="95" spans="1:12">
      <c r="A95" s="92" t="s">
        <v>93</v>
      </c>
      <c r="B95" s="1048"/>
      <c r="C95" s="1050"/>
      <c r="D95" s="1050"/>
      <c r="E95" s="1050"/>
      <c r="F95" s="1053"/>
      <c r="G95" s="1033"/>
      <c r="H95" s="1046"/>
      <c r="I95" s="1033" t="s">
        <v>243</v>
      </c>
      <c r="J95" s="1034"/>
      <c r="K95" s="1034" t="s">
        <v>256</v>
      </c>
      <c r="L95" s="1035"/>
    </row>
    <row r="96" spans="1:12" ht="14.65" thickBot="1">
      <c r="A96" s="93" t="s">
        <v>18</v>
      </c>
      <c r="B96" s="153" t="s">
        <v>35</v>
      </c>
      <c r="C96" s="154" t="s">
        <v>35</v>
      </c>
      <c r="D96" s="154" t="s">
        <v>35</v>
      </c>
      <c r="E96" s="154" t="s">
        <v>35</v>
      </c>
      <c r="F96" s="423" t="s">
        <v>35</v>
      </c>
      <c r="G96" s="403" t="s">
        <v>257</v>
      </c>
      <c r="H96" s="423" t="s">
        <v>237</v>
      </c>
      <c r="I96" s="403" t="s">
        <v>70</v>
      </c>
      <c r="J96" s="154" t="s">
        <v>237</v>
      </c>
      <c r="K96" s="154" t="s">
        <v>70</v>
      </c>
      <c r="L96" s="155" t="s">
        <v>237</v>
      </c>
    </row>
    <row r="97" spans="1:12">
      <c r="A97" s="148" t="s">
        <v>72</v>
      </c>
      <c r="B97" s="159">
        <f t="shared" ref="B97:D108" si="3">D40</f>
        <v>468.024</v>
      </c>
      <c r="C97" s="428">
        <f t="shared" si="3"/>
        <v>304.85806576342503</v>
      </c>
      <c r="D97" s="428">
        <f t="shared" si="3"/>
        <v>163.165934236575</v>
      </c>
      <c r="E97" s="160">
        <f>$C$84</f>
        <v>22200</v>
      </c>
      <c r="F97" s="440">
        <f>$C$62</f>
        <v>56208</v>
      </c>
      <c r="G97" s="443">
        <f t="shared" ref="G97:G117" si="4">B97/E97*1000000</f>
        <v>21082.162162162163</v>
      </c>
      <c r="H97" s="554">
        <f>G97/1000000</f>
        <v>2.1082162162162164E-2</v>
      </c>
      <c r="I97" s="557">
        <f t="shared" ref="I97:I117" si="5">C97/F97*1000000</f>
        <v>5423.7486792525096</v>
      </c>
      <c r="J97" s="432">
        <f>I97/1000000</f>
        <v>5.4237486792525101E-3</v>
      </c>
      <c r="K97" s="431">
        <f t="shared" ref="K97:K117" si="6">D97/F97*1000000</f>
        <v>2902.8952148550916</v>
      </c>
      <c r="L97" s="433">
        <f>K97/1000000</f>
        <v>2.9028952148550916E-3</v>
      </c>
    </row>
    <row r="98" spans="1:12">
      <c r="A98" s="149" t="s">
        <v>73</v>
      </c>
      <c r="B98" s="161">
        <f t="shared" si="3"/>
        <v>0.34320000000000001</v>
      </c>
      <c r="C98" s="235">
        <f t="shared" si="3"/>
        <v>0.27508594065107606</v>
      </c>
      <c r="D98" s="235">
        <f t="shared" si="3"/>
        <v>6.8114059348923964E-2</v>
      </c>
      <c r="E98" s="119">
        <f t="shared" ref="E98:E117" si="7">$C$84</f>
        <v>22200</v>
      </c>
      <c r="F98" s="441">
        <f t="shared" ref="F98:F117" si="8">$C$62</f>
        <v>56208</v>
      </c>
      <c r="G98" s="444">
        <f t="shared" si="4"/>
        <v>15.459459459459461</v>
      </c>
      <c r="H98" s="555">
        <f t="shared" ref="H98:H117" si="9">G98/1000000</f>
        <v>1.5459459459459461E-5</v>
      </c>
      <c r="I98" s="558">
        <f t="shared" si="5"/>
        <v>4.8940709623376755</v>
      </c>
      <c r="J98" s="427">
        <f t="shared" ref="J98:J117" si="10">I98/1000000</f>
        <v>4.8940709623376754E-6</v>
      </c>
      <c r="K98" s="426">
        <f t="shared" si="6"/>
        <v>1.2118214373207365</v>
      </c>
      <c r="L98" s="434">
        <f t="shared" ref="L98:L117" si="11">K98/1000000</f>
        <v>1.2118214373207366E-6</v>
      </c>
    </row>
    <row r="99" spans="1:12">
      <c r="A99" s="149" t="s">
        <v>74</v>
      </c>
      <c r="B99" s="161">
        <f t="shared" si="3"/>
        <v>1908</v>
      </c>
      <c r="C99" s="235">
        <f t="shared" si="3"/>
        <v>301.91686339228244</v>
      </c>
      <c r="D99" s="235">
        <f t="shared" si="3"/>
        <v>1606.0831366077175</v>
      </c>
      <c r="E99" s="119">
        <f t="shared" si="7"/>
        <v>22200</v>
      </c>
      <c r="F99" s="441">
        <f t="shared" si="8"/>
        <v>56208</v>
      </c>
      <c r="G99" s="444">
        <f t="shared" si="4"/>
        <v>85945.945945945947</v>
      </c>
      <c r="H99" s="555">
        <f t="shared" si="9"/>
        <v>8.5945945945945942E-2</v>
      </c>
      <c r="I99" s="558">
        <f t="shared" si="5"/>
        <v>5371.4215661877752</v>
      </c>
      <c r="J99" s="427">
        <f t="shared" si="10"/>
        <v>5.371421566187775E-3</v>
      </c>
      <c r="K99" s="426">
        <f t="shared" si="6"/>
        <v>28573.924292053045</v>
      </c>
      <c r="L99" s="434">
        <f t="shared" si="11"/>
        <v>2.8573924292053045E-2</v>
      </c>
    </row>
    <row r="100" spans="1:12">
      <c r="A100" s="149" t="s">
        <v>75</v>
      </c>
      <c r="B100" s="161">
        <f t="shared" si="3"/>
        <v>4.2000000000000003E-2</v>
      </c>
      <c r="C100" s="235">
        <f t="shared" si="3"/>
        <v>1.064646694279822E-2</v>
      </c>
      <c r="D100" s="235">
        <f t="shared" si="3"/>
        <v>3.1353533057201781E-2</v>
      </c>
      <c r="E100" s="119">
        <f t="shared" si="7"/>
        <v>22200</v>
      </c>
      <c r="F100" s="441">
        <f t="shared" si="8"/>
        <v>56208</v>
      </c>
      <c r="G100" s="444">
        <f t="shared" si="4"/>
        <v>1.8918918918918919</v>
      </c>
      <c r="H100" s="555">
        <f t="shared" si="9"/>
        <v>1.891891891891892E-6</v>
      </c>
      <c r="I100" s="558">
        <f t="shared" si="5"/>
        <v>0.18941195101761707</v>
      </c>
      <c r="J100" s="427">
        <f t="shared" si="10"/>
        <v>1.8941195101761708E-7</v>
      </c>
      <c r="K100" s="426">
        <f t="shared" si="6"/>
        <v>0.55781264334617464</v>
      </c>
      <c r="L100" s="434">
        <f t="shared" si="11"/>
        <v>5.5781264334617463E-7</v>
      </c>
    </row>
    <row r="101" spans="1:12">
      <c r="A101" s="149" t="s">
        <v>76</v>
      </c>
      <c r="B101" s="161">
        <f t="shared" si="3"/>
        <v>1.6319999999999999</v>
      </c>
      <c r="C101" s="235">
        <f t="shared" si="3"/>
        <v>0.65861882563119145</v>
      </c>
      <c r="D101" s="235">
        <f t="shared" si="3"/>
        <v>0.97338117436880844</v>
      </c>
      <c r="E101" s="119">
        <f t="shared" si="7"/>
        <v>22200</v>
      </c>
      <c r="F101" s="441">
        <f t="shared" si="8"/>
        <v>56208</v>
      </c>
      <c r="G101" s="444">
        <f t="shared" si="4"/>
        <v>73.513513513513502</v>
      </c>
      <c r="H101" s="555">
        <f t="shared" si="9"/>
        <v>7.3513513513513503E-5</v>
      </c>
      <c r="I101" s="558">
        <f t="shared" si="5"/>
        <v>11.717528210062472</v>
      </c>
      <c r="J101" s="427">
        <f t="shared" si="10"/>
        <v>1.1717528210062473E-5</v>
      </c>
      <c r="K101" s="426">
        <f t="shared" si="6"/>
        <v>17.317484599501999</v>
      </c>
      <c r="L101" s="434">
        <f t="shared" si="11"/>
        <v>1.7317484599502E-5</v>
      </c>
    </row>
    <row r="102" spans="1:12">
      <c r="A102" s="150" t="s">
        <v>77</v>
      </c>
      <c r="B102" s="161">
        <f t="shared" si="3"/>
        <v>7.8719999999999999</v>
      </c>
      <c r="C102" s="235">
        <f t="shared" si="3"/>
        <v>1.8390803487070237</v>
      </c>
      <c r="D102" s="235">
        <f t="shared" si="3"/>
        <v>6.0329196512929757</v>
      </c>
      <c r="E102" s="119">
        <f t="shared" si="7"/>
        <v>22200</v>
      </c>
      <c r="F102" s="441">
        <f t="shared" si="8"/>
        <v>56208</v>
      </c>
      <c r="G102" s="444">
        <f t="shared" si="4"/>
        <v>354.59459459459458</v>
      </c>
      <c r="H102" s="555">
        <f t="shared" si="9"/>
        <v>3.545945945945946E-4</v>
      </c>
      <c r="I102" s="558">
        <f t="shared" si="5"/>
        <v>32.719192084881577</v>
      </c>
      <c r="J102" s="427">
        <f t="shared" si="10"/>
        <v>3.271919208488158E-5</v>
      </c>
      <c r="K102" s="426">
        <f t="shared" si="6"/>
        <v>107.33204617301764</v>
      </c>
      <c r="L102" s="434">
        <f t="shared" si="11"/>
        <v>1.0733204617301765E-4</v>
      </c>
    </row>
    <row r="103" spans="1:12">
      <c r="A103" s="150" t="s">
        <v>78</v>
      </c>
      <c r="B103" s="161">
        <f t="shared" si="3"/>
        <v>1050.924</v>
      </c>
      <c r="C103" s="235">
        <f t="shared" si="3"/>
        <v>533.71177228080182</v>
      </c>
      <c r="D103" s="235">
        <f t="shared" si="3"/>
        <v>517.21222771919815</v>
      </c>
      <c r="E103" s="119">
        <f t="shared" si="7"/>
        <v>22200</v>
      </c>
      <c r="F103" s="441">
        <f t="shared" si="8"/>
        <v>56208</v>
      </c>
      <c r="G103" s="444">
        <f t="shared" si="4"/>
        <v>47338.91891891892</v>
      </c>
      <c r="H103" s="555">
        <f t="shared" si="9"/>
        <v>4.7338918918918921E-2</v>
      </c>
      <c r="I103" s="558">
        <f t="shared" si="5"/>
        <v>9495.2991083262496</v>
      </c>
      <c r="J103" s="427">
        <f t="shared" si="10"/>
        <v>9.4952991083262495E-3</v>
      </c>
      <c r="K103" s="426">
        <f t="shared" si="6"/>
        <v>9201.7546918445441</v>
      </c>
      <c r="L103" s="434">
        <f t="shared" si="11"/>
        <v>9.2017546918445447E-3</v>
      </c>
    </row>
    <row r="104" spans="1:12">
      <c r="A104" s="150" t="s">
        <v>79</v>
      </c>
      <c r="B104" s="161">
        <f t="shared" si="3"/>
        <v>98.76</v>
      </c>
      <c r="C104" s="235">
        <f t="shared" si="3"/>
        <v>75.142018303578496</v>
      </c>
      <c r="D104" s="235">
        <f t="shared" si="3"/>
        <v>23.617981696421509</v>
      </c>
      <c r="E104" s="119">
        <f t="shared" si="7"/>
        <v>22200</v>
      </c>
      <c r="F104" s="441">
        <f t="shared" si="8"/>
        <v>56208</v>
      </c>
      <c r="G104" s="444">
        <f t="shared" si="4"/>
        <v>4448.6486486486492</v>
      </c>
      <c r="H104" s="555">
        <f t="shared" si="9"/>
        <v>4.448648648648649E-3</v>
      </c>
      <c r="I104" s="558">
        <f t="shared" si="5"/>
        <v>1336.8562892040013</v>
      </c>
      <c r="J104" s="427">
        <f t="shared" si="10"/>
        <v>1.3368562892040012E-3</v>
      </c>
      <c r="K104" s="426">
        <f t="shared" si="6"/>
        <v>420.18897125714329</v>
      </c>
      <c r="L104" s="434">
        <f t="shared" si="11"/>
        <v>4.2018897125714328E-4</v>
      </c>
    </row>
    <row r="105" spans="1:12">
      <c r="A105" s="150" t="s">
        <v>80</v>
      </c>
      <c r="B105" s="161">
        <f t="shared" si="3"/>
        <v>154.80000000000001</v>
      </c>
      <c r="C105" s="235">
        <f t="shared" si="3"/>
        <v>119.7533603478813</v>
      </c>
      <c r="D105" s="235">
        <f t="shared" si="3"/>
        <v>35.046639652118721</v>
      </c>
      <c r="E105" s="119">
        <f t="shared" si="7"/>
        <v>22200</v>
      </c>
      <c r="F105" s="441">
        <f t="shared" si="8"/>
        <v>56208</v>
      </c>
      <c r="G105" s="444">
        <f t="shared" si="4"/>
        <v>6972.9729729729743</v>
      </c>
      <c r="H105" s="555">
        <f t="shared" si="9"/>
        <v>6.9729729729729739E-3</v>
      </c>
      <c r="I105" s="558">
        <f t="shared" si="5"/>
        <v>2130.5394311820614</v>
      </c>
      <c r="J105" s="427">
        <f t="shared" si="10"/>
        <v>2.1305394311820613E-3</v>
      </c>
      <c r="K105" s="426">
        <f t="shared" si="6"/>
        <v>623.51693090162826</v>
      </c>
      <c r="L105" s="434">
        <f t="shared" si="11"/>
        <v>6.2351693090162831E-4</v>
      </c>
    </row>
    <row r="106" spans="1:12">
      <c r="A106" s="150" t="s">
        <v>81</v>
      </c>
      <c r="B106" s="161">
        <f t="shared" si="3"/>
        <v>97.2</v>
      </c>
      <c r="C106" s="235">
        <f t="shared" si="3"/>
        <v>79.757761095277999</v>
      </c>
      <c r="D106" s="235">
        <f t="shared" si="3"/>
        <v>17.442238904721997</v>
      </c>
      <c r="E106" s="119">
        <f t="shared" si="7"/>
        <v>22200</v>
      </c>
      <c r="F106" s="441">
        <f t="shared" si="8"/>
        <v>56208</v>
      </c>
      <c r="G106" s="444">
        <f t="shared" si="4"/>
        <v>4378.3783783783783</v>
      </c>
      <c r="H106" s="555">
        <f t="shared" si="9"/>
        <v>4.3783783783783786E-3</v>
      </c>
      <c r="I106" s="558">
        <f t="shared" si="5"/>
        <v>1418.9752543281738</v>
      </c>
      <c r="J106" s="427">
        <f t="shared" si="10"/>
        <v>1.4189752543281738E-3</v>
      </c>
      <c r="K106" s="426">
        <f t="shared" si="6"/>
        <v>310.31594977088662</v>
      </c>
      <c r="L106" s="434">
        <f t="shared" si="11"/>
        <v>3.1031594977088664E-4</v>
      </c>
    </row>
    <row r="107" spans="1:12">
      <c r="A107" s="150" t="s">
        <v>82</v>
      </c>
      <c r="B107" s="161">
        <f t="shared" si="3"/>
        <v>1.5</v>
      </c>
      <c r="C107" s="235">
        <f t="shared" si="3"/>
        <v>0.65365297004069856</v>
      </c>
      <c r="D107" s="235">
        <f t="shared" si="3"/>
        <v>0.84634702995930144</v>
      </c>
      <c r="E107" s="119">
        <f t="shared" si="7"/>
        <v>22200</v>
      </c>
      <c r="F107" s="441">
        <f t="shared" si="8"/>
        <v>56208</v>
      </c>
      <c r="G107" s="444">
        <f t="shared" si="4"/>
        <v>67.567567567567565</v>
      </c>
      <c r="H107" s="555">
        <f t="shared" si="9"/>
        <v>6.7567567567567569E-5</v>
      </c>
      <c r="I107" s="558">
        <f t="shared" si="5"/>
        <v>11.629180366508301</v>
      </c>
      <c r="J107" s="427">
        <f t="shared" si="10"/>
        <v>1.1629180366508301E-5</v>
      </c>
      <c r="K107" s="426">
        <f t="shared" si="6"/>
        <v>15.0574122893414</v>
      </c>
      <c r="L107" s="434">
        <f t="shared" si="11"/>
        <v>1.50574122893414E-5</v>
      </c>
    </row>
    <row r="108" spans="1:12">
      <c r="A108" s="150" t="s">
        <v>630</v>
      </c>
      <c r="B108" s="161">
        <f t="shared" si="3"/>
        <v>979.41600000000005</v>
      </c>
      <c r="C108" s="235">
        <f t="shared" si="3"/>
        <v>857.80329997494152</v>
      </c>
      <c r="D108" s="235">
        <f t="shared" si="3"/>
        <v>121.61270002505847</v>
      </c>
      <c r="E108" s="119">
        <f t="shared" si="7"/>
        <v>22200</v>
      </c>
      <c r="F108" s="441">
        <f t="shared" si="8"/>
        <v>56208</v>
      </c>
      <c r="G108" s="444">
        <f t="shared" si="4"/>
        <v>44117.83783783784</v>
      </c>
      <c r="H108" s="555">
        <f t="shared" si="9"/>
        <v>4.4117837837837841E-2</v>
      </c>
      <c r="I108" s="558">
        <f t="shared" si="5"/>
        <v>15261.231496849941</v>
      </c>
      <c r="J108" s="427">
        <f t="shared" si="10"/>
        <v>1.5261231496849941E-2</v>
      </c>
      <c r="K108" s="426">
        <f t="shared" si="6"/>
        <v>2163.6190582311856</v>
      </c>
      <c r="L108" s="434">
        <f t="shared" si="11"/>
        <v>2.1636190582311858E-3</v>
      </c>
    </row>
    <row r="109" spans="1:12">
      <c r="A109" s="150" t="s">
        <v>96</v>
      </c>
      <c r="B109" s="161">
        <f>$C$30*31/98</f>
        <v>2087.7551020408168</v>
      </c>
      <c r="C109" s="235">
        <f>$C$30*31/98</f>
        <v>2087.7551020408168</v>
      </c>
      <c r="D109" s="235">
        <v>0</v>
      </c>
      <c r="E109" s="119">
        <f t="shared" si="7"/>
        <v>22200</v>
      </c>
      <c r="F109" s="441">
        <f t="shared" si="8"/>
        <v>56208</v>
      </c>
      <c r="G109" s="444">
        <f t="shared" si="4"/>
        <v>94043.022614451198</v>
      </c>
      <c r="H109" s="555">
        <f t="shared" si="9"/>
        <v>9.4043022614451202E-2</v>
      </c>
      <c r="I109" s="558">
        <f t="shared" si="5"/>
        <v>37143.379982223472</v>
      </c>
      <c r="J109" s="427">
        <f t="shared" si="10"/>
        <v>3.7143379982223473E-2</v>
      </c>
      <c r="K109" s="426">
        <f t="shared" si="6"/>
        <v>0</v>
      </c>
      <c r="L109" s="434">
        <f t="shared" si="11"/>
        <v>0</v>
      </c>
    </row>
    <row r="110" spans="1:12">
      <c r="A110" s="150" t="s">
        <v>97</v>
      </c>
      <c r="B110" s="161">
        <f>B108+B109</f>
        <v>3067.171102040817</v>
      </c>
      <c r="C110" s="235">
        <f>C108+C109</f>
        <v>2945.5584020157585</v>
      </c>
      <c r="D110" s="235">
        <f>D108+D109</f>
        <v>121.61270002505847</v>
      </c>
      <c r="E110" s="119">
        <f t="shared" si="7"/>
        <v>22200</v>
      </c>
      <c r="F110" s="441">
        <f t="shared" si="8"/>
        <v>56208</v>
      </c>
      <c r="G110" s="444">
        <f t="shared" si="4"/>
        <v>138160.86045228905</v>
      </c>
      <c r="H110" s="555">
        <f t="shared" si="9"/>
        <v>0.13816086045228906</v>
      </c>
      <c r="I110" s="558">
        <f t="shared" si="5"/>
        <v>52404.611479073414</v>
      </c>
      <c r="J110" s="427">
        <f t="shared" si="10"/>
        <v>5.2404611479073417E-2</v>
      </c>
      <c r="K110" s="426">
        <f t="shared" si="6"/>
        <v>2163.6190582311856</v>
      </c>
      <c r="L110" s="434">
        <f t="shared" si="11"/>
        <v>2.1636190582311858E-3</v>
      </c>
    </row>
    <row r="111" spans="1:12">
      <c r="A111" s="150" t="s">
        <v>84</v>
      </c>
      <c r="B111" s="161">
        <f>D52</f>
        <v>1.488</v>
      </c>
      <c r="C111" s="235">
        <f>E52</f>
        <v>0.34297471315153155</v>
      </c>
      <c r="D111" s="235">
        <f>F52</f>
        <v>1.1450252868484685</v>
      </c>
      <c r="E111" s="119">
        <f t="shared" si="7"/>
        <v>22200</v>
      </c>
      <c r="F111" s="441">
        <f t="shared" si="8"/>
        <v>56208</v>
      </c>
      <c r="G111" s="444">
        <f t="shared" si="4"/>
        <v>67.027027027027032</v>
      </c>
      <c r="H111" s="555">
        <f t="shared" si="9"/>
        <v>6.7027027027027027E-5</v>
      </c>
      <c r="I111" s="558">
        <f t="shared" si="5"/>
        <v>6.101884307421213</v>
      </c>
      <c r="J111" s="427">
        <f t="shared" si="10"/>
        <v>6.1018843074212133E-6</v>
      </c>
      <c r="K111" s="426">
        <f t="shared" si="6"/>
        <v>20.371215607181689</v>
      </c>
      <c r="L111" s="434">
        <f t="shared" si="11"/>
        <v>2.0371215607181691E-5</v>
      </c>
    </row>
    <row r="112" spans="1:12">
      <c r="A112" s="150" t="s">
        <v>631</v>
      </c>
      <c r="B112" s="161">
        <f>D53</f>
        <v>226.8</v>
      </c>
      <c r="C112" s="235">
        <v>0</v>
      </c>
      <c r="D112" s="235">
        <f>D53</f>
        <v>226.8</v>
      </c>
      <c r="E112" s="119">
        <f t="shared" si="7"/>
        <v>22200</v>
      </c>
      <c r="F112" s="441">
        <f t="shared" si="8"/>
        <v>56208</v>
      </c>
      <c r="G112" s="444">
        <f t="shared" si="4"/>
        <v>10216.216216216217</v>
      </c>
      <c r="H112" s="555">
        <f t="shared" si="9"/>
        <v>1.0216216216216217E-2</v>
      </c>
      <c r="I112" s="558">
        <f t="shared" si="5"/>
        <v>0</v>
      </c>
      <c r="J112" s="427">
        <f t="shared" si="10"/>
        <v>0</v>
      </c>
      <c r="K112" s="426">
        <f t="shared" si="6"/>
        <v>4035.0128095644745</v>
      </c>
      <c r="L112" s="434">
        <f t="shared" si="11"/>
        <v>4.0350128095644746E-3</v>
      </c>
    </row>
    <row r="113" spans="1:12">
      <c r="A113" s="150" t="s">
        <v>250</v>
      </c>
      <c r="B113" s="161">
        <f>$C$25*32/98</f>
        <v>1175.5102040816328</v>
      </c>
      <c r="C113" s="235">
        <v>0</v>
      </c>
      <c r="D113" s="235">
        <f>$C$25*32/98</f>
        <v>1175.5102040816328</v>
      </c>
      <c r="E113" s="119">
        <f t="shared" si="7"/>
        <v>22200</v>
      </c>
      <c r="F113" s="441">
        <f t="shared" si="8"/>
        <v>56208</v>
      </c>
      <c r="G113" s="444">
        <f t="shared" si="4"/>
        <v>52950.910093767241</v>
      </c>
      <c r="H113" s="555">
        <f t="shared" si="9"/>
        <v>5.2950910093767241E-2</v>
      </c>
      <c r="I113" s="558">
        <f t="shared" si="5"/>
        <v>0</v>
      </c>
      <c r="J113" s="427">
        <f t="shared" si="10"/>
        <v>0</v>
      </c>
      <c r="K113" s="426">
        <f t="shared" si="6"/>
        <v>20913.574652747524</v>
      </c>
      <c r="L113" s="434">
        <f t="shared" si="11"/>
        <v>2.0913574652747523E-2</v>
      </c>
    </row>
    <row r="114" spans="1:12">
      <c r="A114" s="150" t="s">
        <v>251</v>
      </c>
      <c r="B114" s="161">
        <f>B112+B113</f>
        <v>1402.3102040816327</v>
      </c>
      <c r="C114" s="235">
        <v>0</v>
      </c>
      <c r="D114" s="235">
        <f>D112+D113</f>
        <v>1402.3102040816327</v>
      </c>
      <c r="E114" s="119">
        <f t="shared" si="7"/>
        <v>22200</v>
      </c>
      <c r="F114" s="441">
        <f t="shared" si="8"/>
        <v>56208</v>
      </c>
      <c r="G114" s="444">
        <f t="shared" si="4"/>
        <v>63167.126309983461</v>
      </c>
      <c r="H114" s="555">
        <f t="shared" si="9"/>
        <v>6.316712630998346E-2</v>
      </c>
      <c r="I114" s="558">
        <f t="shared" si="5"/>
        <v>0</v>
      </c>
      <c r="J114" s="427">
        <f t="shared" si="10"/>
        <v>0</v>
      </c>
      <c r="K114" s="426">
        <f t="shared" si="6"/>
        <v>24948.587462311996</v>
      </c>
      <c r="L114" s="434">
        <f t="shared" si="11"/>
        <v>2.4948587462311995E-2</v>
      </c>
    </row>
    <row r="115" spans="1:12">
      <c r="A115" s="151" t="s">
        <v>238</v>
      </c>
      <c r="B115" s="161">
        <f>B114/32*96</f>
        <v>4206.9306122448979</v>
      </c>
      <c r="C115" s="235">
        <v>0</v>
      </c>
      <c r="D115" s="235">
        <f>D114/32*96</f>
        <v>4206.9306122448979</v>
      </c>
      <c r="E115" s="119">
        <f t="shared" si="7"/>
        <v>22200</v>
      </c>
      <c r="F115" s="441">
        <f t="shared" si="8"/>
        <v>56208</v>
      </c>
      <c r="G115" s="444">
        <f t="shared" si="4"/>
        <v>189501.37892995036</v>
      </c>
      <c r="H115" s="555">
        <f t="shared" si="9"/>
        <v>0.18950137892995036</v>
      </c>
      <c r="I115" s="558">
        <f t="shared" si="5"/>
        <v>0</v>
      </c>
      <c r="J115" s="427">
        <f t="shared" si="10"/>
        <v>0</v>
      </c>
      <c r="K115" s="426">
        <f t="shared" si="6"/>
        <v>74845.762386935996</v>
      </c>
      <c r="L115" s="434">
        <f t="shared" si="11"/>
        <v>7.4845762386935993E-2</v>
      </c>
    </row>
    <row r="116" spans="1:12">
      <c r="A116" s="151" t="s">
        <v>239</v>
      </c>
      <c r="B116" s="161">
        <f>B114/32*136</f>
        <v>5959.8183673469393</v>
      </c>
      <c r="C116" s="235">
        <v>0</v>
      </c>
      <c r="D116" s="235">
        <f>D114/32*136</f>
        <v>5959.8183673469393</v>
      </c>
      <c r="E116" s="119">
        <f t="shared" si="7"/>
        <v>22200</v>
      </c>
      <c r="F116" s="441">
        <f t="shared" si="8"/>
        <v>56208</v>
      </c>
      <c r="G116" s="444">
        <f t="shared" si="4"/>
        <v>268460.2868174297</v>
      </c>
      <c r="H116" s="555">
        <f t="shared" si="9"/>
        <v>0.26846028681742973</v>
      </c>
      <c r="I116" s="558">
        <f t="shared" si="5"/>
        <v>0</v>
      </c>
      <c r="J116" s="427">
        <f t="shared" si="10"/>
        <v>0</v>
      </c>
      <c r="K116" s="426">
        <f t="shared" si="6"/>
        <v>106031.49671482599</v>
      </c>
      <c r="L116" s="434">
        <f t="shared" si="11"/>
        <v>0.10603149671482599</v>
      </c>
    </row>
    <row r="117" spans="1:12" ht="14.65" thickBot="1">
      <c r="A117" s="152" t="s">
        <v>86</v>
      </c>
      <c r="B117" s="162">
        <f>D54</f>
        <v>28.236000000000001</v>
      </c>
      <c r="C117" s="236">
        <f>E54</f>
        <v>12.364389620715265</v>
      </c>
      <c r="D117" s="236">
        <f>F54</f>
        <v>15.871610379284736</v>
      </c>
      <c r="E117" s="135">
        <f t="shared" si="7"/>
        <v>22200</v>
      </c>
      <c r="F117" s="442">
        <f t="shared" si="8"/>
        <v>56208</v>
      </c>
      <c r="G117" s="445">
        <f t="shared" si="4"/>
        <v>1271.8918918918919</v>
      </c>
      <c r="H117" s="556">
        <f t="shared" si="9"/>
        <v>1.271891891891892E-3</v>
      </c>
      <c r="I117" s="559">
        <f t="shared" si="5"/>
        <v>219.97561949749618</v>
      </c>
      <c r="J117" s="438">
        <f t="shared" si="10"/>
        <v>2.1997561949749618E-4</v>
      </c>
      <c r="K117" s="437">
        <f t="shared" si="6"/>
        <v>282.3728006562186</v>
      </c>
      <c r="L117" s="439">
        <f t="shared" si="11"/>
        <v>2.823728006562186E-4</v>
      </c>
    </row>
    <row r="119" spans="1:12">
      <c r="A119" s="1" t="s">
        <v>98</v>
      </c>
      <c r="B119" s="1"/>
      <c r="C119" s="1"/>
    </row>
    <row r="120" spans="1:12" ht="14.65" thickBot="1">
      <c r="A120" s="79" t="s">
        <v>360</v>
      </c>
      <c r="B120" s="79"/>
      <c r="C120" s="79"/>
    </row>
    <row r="121" spans="1:12">
      <c r="A121" s="496" t="s">
        <v>100</v>
      </c>
      <c r="B121" s="493">
        <v>0.05</v>
      </c>
      <c r="C121" s="304" t="s">
        <v>101</v>
      </c>
    </row>
    <row r="122" spans="1:12">
      <c r="A122" s="392" t="s">
        <v>102</v>
      </c>
      <c r="B122" s="494">
        <v>1.86</v>
      </c>
      <c r="C122" s="72" t="s">
        <v>103</v>
      </c>
    </row>
    <row r="123" spans="1:12">
      <c r="A123" s="392" t="s">
        <v>104</v>
      </c>
      <c r="B123" s="494">
        <v>0.997</v>
      </c>
      <c r="C123" s="72" t="s">
        <v>103</v>
      </c>
    </row>
    <row r="124" spans="1:12">
      <c r="A124" s="392" t="s">
        <v>105</v>
      </c>
      <c r="B124" s="494">
        <v>1.0206786471090072</v>
      </c>
      <c r="C124" s="72" t="s">
        <v>103</v>
      </c>
    </row>
    <row r="125" spans="1:12" ht="14.65" thickBot="1">
      <c r="A125" s="393" t="s">
        <v>334</v>
      </c>
      <c r="B125" s="495">
        <v>0</v>
      </c>
      <c r="C125" s="76" t="s">
        <v>25</v>
      </c>
    </row>
    <row r="127" spans="1:12" ht="14.65" thickBot="1">
      <c r="A127" s="79" t="s">
        <v>271</v>
      </c>
    </row>
    <row r="128" spans="1:12" ht="14.65" thickBot="1">
      <c r="A128" s="103" t="s">
        <v>53</v>
      </c>
      <c r="B128" s="102" t="s">
        <v>18</v>
      </c>
      <c r="C128" s="17" t="s">
        <v>106</v>
      </c>
    </row>
    <row r="129" spans="1:3">
      <c r="A129" s="243" t="s">
        <v>4</v>
      </c>
      <c r="B129" s="269" t="s">
        <v>35</v>
      </c>
      <c r="C129" s="386">
        <f>C62</f>
        <v>56208</v>
      </c>
    </row>
    <row r="130" spans="1:3">
      <c r="A130" s="392" t="s">
        <v>107</v>
      </c>
      <c r="B130" s="105" t="s">
        <v>108</v>
      </c>
      <c r="C130" s="450">
        <v>1.3</v>
      </c>
    </row>
    <row r="131" spans="1:3">
      <c r="A131" s="257" t="s">
        <v>109</v>
      </c>
      <c r="B131" s="105" t="s">
        <v>110</v>
      </c>
      <c r="C131" s="84">
        <f>C129/C130</f>
        <v>43236.923076923078</v>
      </c>
    </row>
    <row r="132" spans="1:3">
      <c r="A132" s="281" t="s">
        <v>334</v>
      </c>
      <c r="B132" s="305" t="s">
        <v>25</v>
      </c>
      <c r="C132" s="306">
        <f>$B$125</f>
        <v>0</v>
      </c>
    </row>
    <row r="133" spans="1:3">
      <c r="A133" s="281" t="s">
        <v>111</v>
      </c>
      <c r="B133" s="278" t="s">
        <v>110</v>
      </c>
      <c r="C133" s="289">
        <f>C131*C132</f>
        <v>0</v>
      </c>
    </row>
    <row r="134" spans="1:3">
      <c r="A134" s="281" t="s">
        <v>112</v>
      </c>
      <c r="B134" s="278" t="s">
        <v>108</v>
      </c>
      <c r="C134" s="307">
        <f>B124</f>
        <v>1.0206786471090072</v>
      </c>
    </row>
    <row r="135" spans="1:3" ht="14.65" thickBot="1">
      <c r="A135" s="255" t="s">
        <v>334</v>
      </c>
      <c r="B135" s="271" t="s">
        <v>35</v>
      </c>
      <c r="C135" s="280">
        <v>0</v>
      </c>
    </row>
    <row r="136" spans="1:3">
      <c r="A136" s="79"/>
      <c r="B136" s="79"/>
      <c r="C136" s="79"/>
    </row>
    <row r="137" spans="1:3" ht="14.65" thickBot="1">
      <c r="A137" s="79" t="s">
        <v>119</v>
      </c>
    </row>
    <row r="138" spans="1:3" ht="14.65" thickBot="1">
      <c r="A138" s="905" t="s">
        <v>23</v>
      </c>
      <c r="B138" s="1070">
        <v>1.7</v>
      </c>
      <c r="C138" s="1071"/>
    </row>
    <row r="139" spans="1:3" ht="14.65" thickBot="1">
      <c r="A139" s="2"/>
      <c r="B139" s="1072" t="s">
        <v>120</v>
      </c>
      <c r="C139" s="1073"/>
    </row>
    <row r="140" spans="1:3">
      <c r="A140" s="703" t="s">
        <v>77</v>
      </c>
      <c r="B140" s="880" t="s">
        <v>157</v>
      </c>
      <c r="C140" s="906">
        <v>0.99</v>
      </c>
    </row>
    <row r="141" spans="1:3">
      <c r="A141" s="232" t="s">
        <v>73</v>
      </c>
      <c r="B141" s="881" t="s">
        <v>158</v>
      </c>
      <c r="C141" s="882">
        <v>0.9</v>
      </c>
    </row>
    <row r="142" spans="1:3">
      <c r="A142" s="232" t="s">
        <v>86</v>
      </c>
      <c r="B142" s="881" t="s">
        <v>159</v>
      </c>
      <c r="C142" s="882">
        <v>0.95</v>
      </c>
    </row>
    <row r="143" spans="1:3">
      <c r="A143" s="232" t="s">
        <v>82</v>
      </c>
      <c r="B143" s="881" t="s">
        <v>160</v>
      </c>
      <c r="C143" s="907">
        <v>2.5000000000000001E-2</v>
      </c>
    </row>
    <row r="144" spans="1:3">
      <c r="A144" s="232" t="s">
        <v>72</v>
      </c>
      <c r="B144" s="881" t="s">
        <v>160</v>
      </c>
      <c r="C144" s="907">
        <v>2.5000000000000001E-2</v>
      </c>
    </row>
    <row r="145" spans="1:4">
      <c r="A145" s="232" t="s">
        <v>78</v>
      </c>
      <c r="B145" s="881" t="s">
        <v>160</v>
      </c>
      <c r="C145" s="907">
        <v>2.5000000000000001E-2</v>
      </c>
    </row>
    <row r="146" spans="1:4">
      <c r="A146" s="232" t="s">
        <v>80</v>
      </c>
      <c r="B146" s="881" t="s">
        <v>160</v>
      </c>
      <c r="C146" s="907">
        <v>2.5000000000000001E-2</v>
      </c>
    </row>
    <row r="147" spans="1:4">
      <c r="A147" s="232" t="s">
        <v>83</v>
      </c>
      <c r="B147" s="881" t="s">
        <v>160</v>
      </c>
      <c r="C147" s="907">
        <v>2.5000000000000001E-2</v>
      </c>
    </row>
    <row r="148" spans="1:4">
      <c r="A148" s="232" t="s">
        <v>79</v>
      </c>
      <c r="B148" s="881" t="s">
        <v>160</v>
      </c>
      <c r="C148" s="907">
        <v>2.5000000000000001E-2</v>
      </c>
    </row>
    <row r="149" spans="1:4">
      <c r="A149" s="232" t="s">
        <v>75</v>
      </c>
      <c r="B149" s="881" t="s">
        <v>322</v>
      </c>
      <c r="C149" s="908">
        <v>2.5000000000000001E-2</v>
      </c>
    </row>
    <row r="150" spans="1:4" ht="14.65" thickBot="1">
      <c r="A150" s="233" t="s">
        <v>84</v>
      </c>
      <c r="B150" s="883" t="s">
        <v>323</v>
      </c>
      <c r="C150" s="909">
        <v>2.5000000000000001E-2</v>
      </c>
    </row>
    <row r="151" spans="1:4">
      <c r="A151" s="78"/>
      <c r="B151" s="97"/>
      <c r="C151" s="98"/>
    </row>
    <row r="152" spans="1:4" ht="14.65" thickBot="1">
      <c r="A152" s="79" t="s">
        <v>273</v>
      </c>
    </row>
    <row r="153" spans="1:4">
      <c r="A153" s="18"/>
      <c r="B153" s="266" t="s">
        <v>120</v>
      </c>
      <c r="C153" s="274" t="s">
        <v>243</v>
      </c>
      <c r="D153" s="275" t="s">
        <v>244</v>
      </c>
    </row>
    <row r="154" spans="1:4" ht="14.65" thickBot="1">
      <c r="A154" s="21"/>
      <c r="B154" s="451" t="s">
        <v>24</v>
      </c>
      <c r="C154" s="154" t="s">
        <v>35</v>
      </c>
      <c r="D154" s="155" t="s">
        <v>35</v>
      </c>
    </row>
    <row r="155" spans="1:4">
      <c r="A155" s="184" t="s">
        <v>72</v>
      </c>
      <c r="B155" s="399">
        <v>0</v>
      </c>
      <c r="C155" s="428">
        <f>E40</f>
        <v>304.85806576342503</v>
      </c>
      <c r="D155" s="122">
        <f>C155*B155</f>
        <v>0</v>
      </c>
    </row>
    <row r="156" spans="1:4">
      <c r="A156" s="185" t="s">
        <v>73</v>
      </c>
      <c r="B156" s="400">
        <v>0</v>
      </c>
      <c r="C156" s="235">
        <f>E41</f>
        <v>0.27508594065107606</v>
      </c>
      <c r="D156" s="87">
        <f>C156*B156</f>
        <v>0</v>
      </c>
    </row>
    <row r="157" spans="1:4">
      <c r="A157" s="185" t="s">
        <v>75</v>
      </c>
      <c r="B157" s="400">
        <v>0</v>
      </c>
      <c r="C157" s="235">
        <f>E43</f>
        <v>1.064646694279822E-2</v>
      </c>
      <c r="D157" s="739">
        <f t="shared" ref="D157:D173" si="12">C157*B157</f>
        <v>0</v>
      </c>
    </row>
    <row r="158" spans="1:4">
      <c r="A158" s="186" t="s">
        <v>77</v>
      </c>
      <c r="B158" s="400">
        <v>0</v>
      </c>
      <c r="C158" s="235">
        <f>E45</f>
        <v>1.8390803487070237</v>
      </c>
      <c r="D158" s="87">
        <f t="shared" si="12"/>
        <v>0</v>
      </c>
    </row>
    <row r="159" spans="1:4">
      <c r="A159" s="186" t="s">
        <v>78</v>
      </c>
      <c r="B159" s="400">
        <v>0</v>
      </c>
      <c r="C159" s="235">
        <f>E46</f>
        <v>533.71177228080182</v>
      </c>
      <c r="D159" s="87">
        <f t="shared" si="12"/>
        <v>0</v>
      </c>
    </row>
    <row r="160" spans="1:4">
      <c r="A160" s="186" t="s">
        <v>79</v>
      </c>
      <c r="B160" s="400">
        <v>0</v>
      </c>
      <c r="C160" s="235">
        <f>E47</f>
        <v>75.142018303578496</v>
      </c>
      <c r="D160" s="87">
        <f t="shared" si="12"/>
        <v>0</v>
      </c>
    </row>
    <row r="161" spans="1:4">
      <c r="A161" s="186" t="s">
        <v>80</v>
      </c>
      <c r="B161" s="400">
        <v>0</v>
      </c>
      <c r="C161" s="235">
        <f>E48</f>
        <v>119.7533603478813</v>
      </c>
      <c r="D161" s="87">
        <f t="shared" si="12"/>
        <v>0</v>
      </c>
    </row>
    <row r="162" spans="1:4">
      <c r="A162" s="186" t="s">
        <v>82</v>
      </c>
      <c r="B162" s="400">
        <v>0</v>
      </c>
      <c r="C162" s="235">
        <f>E50</f>
        <v>0.65365297004069856</v>
      </c>
      <c r="D162" s="87">
        <f t="shared" si="12"/>
        <v>0</v>
      </c>
    </row>
    <row r="163" spans="1:4">
      <c r="A163" s="186" t="s">
        <v>630</v>
      </c>
      <c r="B163" s="400">
        <v>0</v>
      </c>
      <c r="C163" s="235">
        <f>E51</f>
        <v>857.80329997494152</v>
      </c>
      <c r="D163" s="87">
        <f t="shared" si="12"/>
        <v>0</v>
      </c>
    </row>
    <row r="164" spans="1:4">
      <c r="A164" s="406" t="s">
        <v>96</v>
      </c>
      <c r="B164" s="400">
        <v>0</v>
      </c>
      <c r="C164" s="235">
        <f>B109</f>
        <v>2087.7551020408168</v>
      </c>
      <c r="D164" s="87">
        <f t="shared" si="12"/>
        <v>0</v>
      </c>
    </row>
    <row r="165" spans="1:4">
      <c r="A165" s="406" t="s">
        <v>274</v>
      </c>
      <c r="B165" s="400">
        <v>0</v>
      </c>
      <c r="C165" s="235">
        <f>C163+C164</f>
        <v>2945.5584020157585</v>
      </c>
      <c r="D165" s="87">
        <f t="shared" si="12"/>
        <v>0</v>
      </c>
    </row>
    <row r="166" spans="1:4">
      <c r="A166" s="406" t="s">
        <v>84</v>
      </c>
      <c r="B166" s="400">
        <v>0</v>
      </c>
      <c r="C166" s="235">
        <f>E52</f>
        <v>0.34297471315153155</v>
      </c>
      <c r="D166" s="87">
        <f t="shared" si="12"/>
        <v>0</v>
      </c>
    </row>
    <row r="167" spans="1:4">
      <c r="A167" s="186" t="s">
        <v>631</v>
      </c>
      <c r="B167" s="402">
        <v>1</v>
      </c>
      <c r="C167" s="235">
        <f>B112</f>
        <v>226.8</v>
      </c>
      <c r="D167" s="87">
        <f t="shared" si="12"/>
        <v>226.8</v>
      </c>
    </row>
    <row r="168" spans="1:4">
      <c r="A168" s="186" t="s">
        <v>250</v>
      </c>
      <c r="B168" s="396">
        <v>1</v>
      </c>
      <c r="C168" s="235">
        <f>B113</f>
        <v>1175.5102040816328</v>
      </c>
      <c r="D168" s="87">
        <f t="shared" si="12"/>
        <v>1175.5102040816328</v>
      </c>
    </row>
    <row r="169" spans="1:4">
      <c r="A169" s="186" t="s">
        <v>251</v>
      </c>
      <c r="B169" s="396">
        <v>1</v>
      </c>
      <c r="C169" s="235">
        <f>C167+C168</f>
        <v>1402.3102040816327</v>
      </c>
      <c r="D169" s="87">
        <f>C169*B169</f>
        <v>1402.3102040816327</v>
      </c>
    </row>
    <row r="170" spans="1:4">
      <c r="A170" s="406" t="s">
        <v>238</v>
      </c>
      <c r="B170" s="396">
        <v>1</v>
      </c>
      <c r="C170" s="235">
        <f>C169/32*96</f>
        <v>4206.9306122448979</v>
      </c>
      <c r="D170" s="87">
        <f>C170*B170</f>
        <v>4206.9306122448979</v>
      </c>
    </row>
    <row r="171" spans="1:4">
      <c r="A171" s="406" t="s">
        <v>239</v>
      </c>
      <c r="B171" s="396">
        <v>1</v>
      </c>
      <c r="C171" s="235">
        <f>C169/32*136</f>
        <v>5959.8183673469393</v>
      </c>
      <c r="D171" s="87">
        <f>C171*B171</f>
        <v>5959.8183673469393</v>
      </c>
    </row>
    <row r="172" spans="1:4">
      <c r="A172" s="406" t="s">
        <v>248</v>
      </c>
      <c r="B172" s="396">
        <v>1</v>
      </c>
      <c r="C172" s="235">
        <f>C135*B121*32/78</f>
        <v>0</v>
      </c>
      <c r="D172" s="87">
        <f>C172*B172</f>
        <v>0</v>
      </c>
    </row>
    <row r="173" spans="1:4" ht="14.65" thickBot="1">
      <c r="A173" s="187" t="s">
        <v>86</v>
      </c>
      <c r="B173" s="751">
        <v>0</v>
      </c>
      <c r="C173" s="236">
        <f>E54</f>
        <v>12.364389620715265</v>
      </c>
      <c r="D173" s="88">
        <f t="shared" si="12"/>
        <v>0</v>
      </c>
    </row>
    <row r="175" spans="1:4" ht="14.65" thickBot="1">
      <c r="A175" s="79" t="s">
        <v>272</v>
      </c>
      <c r="D175" s="99"/>
    </row>
    <row r="176" spans="1:4" ht="14.65" thickBot="1">
      <c r="A176" s="103" t="s">
        <v>90</v>
      </c>
      <c r="B176" s="102" t="s">
        <v>18</v>
      </c>
      <c r="C176" s="17" t="s">
        <v>91</v>
      </c>
    </row>
    <row r="177" spans="1:4">
      <c r="A177" s="276" t="s">
        <v>4</v>
      </c>
      <c r="B177" s="296" t="s">
        <v>35</v>
      </c>
      <c r="C177" s="286">
        <f>C129</f>
        <v>56208</v>
      </c>
    </row>
    <row r="178" spans="1:4">
      <c r="A178" s="281" t="s">
        <v>334</v>
      </c>
      <c r="B178" s="278" t="s">
        <v>35</v>
      </c>
      <c r="C178" s="289">
        <f>C135</f>
        <v>0</v>
      </c>
    </row>
    <row r="179" spans="1:4" ht="14.65" thickBot="1">
      <c r="A179" s="255" t="s">
        <v>6</v>
      </c>
      <c r="B179" s="271" t="s">
        <v>35</v>
      </c>
      <c r="C179" s="280">
        <f>C177+C178</f>
        <v>56208</v>
      </c>
    </row>
    <row r="180" spans="1:4">
      <c r="B180" s="77"/>
      <c r="C180" s="83"/>
    </row>
    <row r="181" spans="1:4" ht="14.65" thickBot="1">
      <c r="A181" s="79" t="s">
        <v>279</v>
      </c>
      <c r="B181" s="79"/>
      <c r="C181" s="79"/>
      <c r="D181" s="99"/>
    </row>
    <row r="182" spans="1:4" ht="14.65" thickBot="1">
      <c r="A182" s="3" t="s">
        <v>90</v>
      </c>
      <c r="B182" s="14" t="s">
        <v>18</v>
      </c>
      <c r="C182" s="15" t="s">
        <v>91</v>
      </c>
      <c r="D182" s="99"/>
    </row>
    <row r="183" spans="1:4">
      <c r="A183" s="308" t="s">
        <v>623</v>
      </c>
      <c r="B183" s="309" t="s">
        <v>35</v>
      </c>
      <c r="C183" s="294">
        <f>C22</f>
        <v>12000</v>
      </c>
      <c r="D183" s="99"/>
    </row>
    <row r="184" spans="1:4">
      <c r="A184" s="282" t="s">
        <v>329</v>
      </c>
      <c r="B184" s="288" t="s">
        <v>35</v>
      </c>
      <c r="C184" s="295">
        <f>C25</f>
        <v>3600</v>
      </c>
      <c r="D184" s="99"/>
    </row>
    <row r="185" spans="1:4">
      <c r="A185" s="282" t="s">
        <v>428</v>
      </c>
      <c r="B185" s="288" t="s">
        <v>35</v>
      </c>
      <c r="C185" s="295">
        <f>C30</f>
        <v>6600.0000000000009</v>
      </c>
      <c r="D185" s="99"/>
    </row>
    <row r="186" spans="1:4">
      <c r="A186" s="282" t="s">
        <v>115</v>
      </c>
      <c r="B186" s="288" t="s">
        <v>24</v>
      </c>
      <c r="C186" s="312">
        <f>$B$121</f>
        <v>0.05</v>
      </c>
      <c r="D186" s="99"/>
    </row>
    <row r="187" spans="1:4">
      <c r="A187" s="282" t="s">
        <v>334</v>
      </c>
      <c r="B187" s="288" t="s">
        <v>35</v>
      </c>
      <c r="C187" s="295">
        <f>C135</f>
        <v>0</v>
      </c>
      <c r="D187" s="99"/>
    </row>
    <row r="188" spans="1:4">
      <c r="A188" s="282" t="s">
        <v>429</v>
      </c>
      <c r="B188" s="288" t="s">
        <v>35</v>
      </c>
      <c r="C188" s="295">
        <f>C187*C186</f>
        <v>0</v>
      </c>
      <c r="D188" s="99"/>
    </row>
    <row r="189" spans="1:4">
      <c r="A189" s="282" t="s">
        <v>337</v>
      </c>
      <c r="B189" s="288" t="s">
        <v>35</v>
      </c>
      <c r="C189" s="279">
        <f>C183+C184+C185+C188</f>
        <v>22200</v>
      </c>
      <c r="D189" s="99"/>
    </row>
    <row r="190" spans="1:4">
      <c r="A190" s="282" t="s">
        <v>6</v>
      </c>
      <c r="B190" s="288" t="s">
        <v>35</v>
      </c>
      <c r="C190" s="289">
        <f>C179</f>
        <v>56208</v>
      </c>
    </row>
    <row r="191" spans="1:4">
      <c r="A191" s="310" t="s">
        <v>64</v>
      </c>
      <c r="B191" s="283" t="s">
        <v>24</v>
      </c>
      <c r="C191" s="300">
        <f>C189/C190</f>
        <v>0.39496157130657555</v>
      </c>
    </row>
    <row r="192" spans="1:4">
      <c r="A192" s="282" t="s">
        <v>366</v>
      </c>
      <c r="B192" s="288" t="s">
        <v>35</v>
      </c>
      <c r="C192" s="279">
        <f>C24</f>
        <v>34008</v>
      </c>
    </row>
    <row r="193" spans="1:12">
      <c r="A193" s="282" t="s">
        <v>117</v>
      </c>
      <c r="B193" s="288" t="s">
        <v>24</v>
      </c>
      <c r="C193" s="312">
        <f>1-$B$121</f>
        <v>0.95</v>
      </c>
    </row>
    <row r="194" spans="1:12">
      <c r="A194" s="282" t="s">
        <v>334</v>
      </c>
      <c r="B194" s="288" t="s">
        <v>35</v>
      </c>
      <c r="C194" s="295">
        <f>C135</f>
        <v>0</v>
      </c>
    </row>
    <row r="195" spans="1:12">
      <c r="A195" s="282" t="s">
        <v>356</v>
      </c>
      <c r="B195" s="288" t="s">
        <v>35</v>
      </c>
      <c r="C195" s="279">
        <f>C193*C194</f>
        <v>0</v>
      </c>
    </row>
    <row r="196" spans="1:12">
      <c r="A196" s="282" t="s">
        <v>335</v>
      </c>
      <c r="B196" s="288" t="s">
        <v>35</v>
      </c>
      <c r="C196" s="279">
        <f>C192+C195</f>
        <v>34008</v>
      </c>
    </row>
    <row r="197" spans="1:12">
      <c r="A197" s="282" t="s">
        <v>6</v>
      </c>
      <c r="B197" s="288" t="s">
        <v>35</v>
      </c>
      <c r="C197" s="289">
        <f>C179</f>
        <v>56208</v>
      </c>
    </row>
    <row r="198" spans="1:12" ht="14.65" thickBot="1">
      <c r="A198" s="311" t="s">
        <v>66</v>
      </c>
      <c r="B198" s="284" t="s">
        <v>24</v>
      </c>
      <c r="C198" s="303">
        <f>C196/C197</f>
        <v>0.60503842869342439</v>
      </c>
    </row>
    <row r="199" spans="1:12">
      <c r="A199" s="83"/>
      <c r="B199" s="77"/>
      <c r="C199" s="96"/>
    </row>
    <row r="200" spans="1:12" ht="14.65" thickBot="1">
      <c r="A200" s="79" t="s">
        <v>124</v>
      </c>
    </row>
    <row r="201" spans="1:12" ht="14.65" thickBot="1">
      <c r="A201" s="419"/>
      <c r="B201" s="1062" t="s">
        <v>262</v>
      </c>
      <c r="C201" s="1063"/>
      <c r="D201" s="1063"/>
      <c r="E201" s="1063"/>
      <c r="F201" s="1064"/>
      <c r="G201" s="1062" t="s">
        <v>263</v>
      </c>
      <c r="H201" s="1063"/>
      <c r="I201" s="1063"/>
      <c r="J201" s="1063"/>
      <c r="K201" s="1063"/>
      <c r="L201" s="1066"/>
    </row>
    <row r="202" spans="1:12">
      <c r="A202" s="452"/>
      <c r="B202" s="1024" t="s">
        <v>275</v>
      </c>
      <c r="C202" s="1041" t="s">
        <v>243</v>
      </c>
      <c r="D202" s="1041" t="s">
        <v>256</v>
      </c>
      <c r="E202" s="1041" t="s">
        <v>337</v>
      </c>
      <c r="F202" s="1041" t="s">
        <v>276</v>
      </c>
      <c r="G202" s="1032" t="s">
        <v>269</v>
      </c>
      <c r="H202" s="1054"/>
      <c r="I202" s="1022" t="s">
        <v>277</v>
      </c>
      <c r="J202" s="1032"/>
      <c r="K202" s="1032"/>
      <c r="L202" s="1023"/>
    </row>
    <row r="203" spans="1:12">
      <c r="A203" s="219" t="s">
        <v>93</v>
      </c>
      <c r="B203" s="1067"/>
      <c r="C203" s="1042"/>
      <c r="D203" s="1042"/>
      <c r="E203" s="1042"/>
      <c r="F203" s="1042"/>
      <c r="G203" s="1034"/>
      <c r="H203" s="1046"/>
      <c r="I203" s="1033" t="s">
        <v>243</v>
      </c>
      <c r="J203" s="1034"/>
      <c r="K203" s="1034" t="s">
        <v>256</v>
      </c>
      <c r="L203" s="1035"/>
    </row>
    <row r="204" spans="1:12" ht="14.65" thickBot="1">
      <c r="A204" s="220" t="s">
        <v>18</v>
      </c>
      <c r="B204" s="403" t="s">
        <v>35</v>
      </c>
      <c r="C204" s="154" t="s">
        <v>35</v>
      </c>
      <c r="D204" s="154" t="s">
        <v>35</v>
      </c>
      <c r="E204" s="154" t="s">
        <v>35</v>
      </c>
      <c r="F204" s="154" t="s">
        <v>35</v>
      </c>
      <c r="G204" s="154" t="s">
        <v>257</v>
      </c>
      <c r="H204" s="423" t="s">
        <v>237</v>
      </c>
      <c r="I204" s="403" t="s">
        <v>70</v>
      </c>
      <c r="J204" s="154" t="s">
        <v>237</v>
      </c>
      <c r="K204" s="154" t="s">
        <v>70</v>
      </c>
      <c r="L204" s="155" t="s">
        <v>237</v>
      </c>
    </row>
    <row r="205" spans="1:12">
      <c r="A205" s="222" t="s">
        <v>72</v>
      </c>
      <c r="B205" s="159">
        <f>B97</f>
        <v>468.024</v>
      </c>
      <c r="C205" s="429">
        <f>B205-D205</f>
        <v>304.85806576342497</v>
      </c>
      <c r="D205" s="428">
        <f>D97+D155</f>
        <v>163.165934236575</v>
      </c>
      <c r="E205" s="160">
        <f>$C$189</f>
        <v>22200</v>
      </c>
      <c r="F205" s="429">
        <f>$C$179</f>
        <v>56208</v>
      </c>
      <c r="G205" s="404">
        <f t="shared" ref="G205:G224" si="13">B205/E205*1000000</f>
        <v>21082.162162162163</v>
      </c>
      <c r="H205" s="560">
        <f>G205/1000000</f>
        <v>2.1082162162162164E-2</v>
      </c>
      <c r="I205" s="557">
        <f>C205/F205*1000000</f>
        <v>5423.7486792525087</v>
      </c>
      <c r="J205" s="430">
        <f>I205/1000000</f>
        <v>5.4237486792525083E-3</v>
      </c>
      <c r="K205" s="431">
        <f>D205/F205*1000000</f>
        <v>2902.8952148550916</v>
      </c>
      <c r="L205" s="433">
        <f>K205/1000000</f>
        <v>2.9028952148550916E-3</v>
      </c>
    </row>
    <row r="206" spans="1:12">
      <c r="A206" s="149" t="s">
        <v>73</v>
      </c>
      <c r="B206" s="161">
        <f>B98</f>
        <v>0.34320000000000001</v>
      </c>
      <c r="C206" s="424">
        <f t="shared" ref="C206:C226" si="14">B206-D206</f>
        <v>0.27508594065107606</v>
      </c>
      <c r="D206" s="235">
        <f>D98+D156</f>
        <v>6.8114059348923964E-2</v>
      </c>
      <c r="E206" s="119">
        <f t="shared" ref="E206:E226" si="15">$C$189</f>
        <v>22200</v>
      </c>
      <c r="F206" s="424">
        <f t="shared" ref="F206:F226" si="16">$C$179</f>
        <v>56208</v>
      </c>
      <c r="G206" s="395">
        <f t="shared" si="13"/>
        <v>15.459459459459461</v>
      </c>
      <c r="H206" s="561">
        <f t="shared" ref="H206:H226" si="17">G206/1000000</f>
        <v>1.5459459459459461E-5</v>
      </c>
      <c r="I206" s="558">
        <f t="shared" ref="I206:I226" si="18">C206/F206*1000000</f>
        <v>4.8940709623376755</v>
      </c>
      <c r="J206" s="425">
        <f t="shared" ref="J206:J226" si="19">I206/1000000</f>
        <v>4.8940709623376754E-6</v>
      </c>
      <c r="K206" s="426">
        <f t="shared" ref="K206:K226" si="20">D206/F206*1000000</f>
        <v>1.2118214373207365</v>
      </c>
      <c r="L206" s="434">
        <f t="shared" ref="L206:L226" si="21">K206/1000000</f>
        <v>1.2118214373207366E-6</v>
      </c>
    </row>
    <row r="207" spans="1:12">
      <c r="A207" s="149" t="s">
        <v>74</v>
      </c>
      <c r="B207" s="161">
        <f>B99</f>
        <v>1908</v>
      </c>
      <c r="C207" s="424">
        <f t="shared" si="14"/>
        <v>301.91686339228249</v>
      </c>
      <c r="D207" s="235">
        <f>D99</f>
        <v>1606.0831366077175</v>
      </c>
      <c r="E207" s="119">
        <f t="shared" si="15"/>
        <v>22200</v>
      </c>
      <c r="F207" s="424">
        <f t="shared" si="16"/>
        <v>56208</v>
      </c>
      <c r="G207" s="395">
        <f t="shared" si="13"/>
        <v>85945.945945945947</v>
      </c>
      <c r="H207" s="561">
        <f t="shared" si="17"/>
        <v>8.5945945945945942E-2</v>
      </c>
      <c r="I207" s="558">
        <f t="shared" si="18"/>
        <v>5371.4215661877761</v>
      </c>
      <c r="J207" s="425">
        <f t="shared" si="19"/>
        <v>5.3714215661877758E-3</v>
      </c>
      <c r="K207" s="426">
        <f t="shared" si="20"/>
        <v>28573.924292053045</v>
      </c>
      <c r="L207" s="434">
        <f t="shared" si="21"/>
        <v>2.8573924292053045E-2</v>
      </c>
    </row>
    <row r="208" spans="1:12">
      <c r="A208" s="149" t="s">
        <v>75</v>
      </c>
      <c r="B208" s="161">
        <f>B100</f>
        <v>4.2000000000000003E-2</v>
      </c>
      <c r="C208" s="424">
        <f t="shared" si="14"/>
        <v>1.0646466942798222E-2</v>
      </c>
      <c r="D208" s="235">
        <f>D157+D100</f>
        <v>3.1353533057201781E-2</v>
      </c>
      <c r="E208" s="119">
        <f t="shared" si="15"/>
        <v>22200</v>
      </c>
      <c r="F208" s="424">
        <f t="shared" si="16"/>
        <v>56208</v>
      </c>
      <c r="G208" s="395">
        <f t="shared" si="13"/>
        <v>1.8918918918918919</v>
      </c>
      <c r="H208" s="561">
        <f t="shared" si="17"/>
        <v>1.891891891891892E-6</v>
      </c>
      <c r="I208" s="558">
        <f t="shared" si="18"/>
        <v>0.1894119510176171</v>
      </c>
      <c r="J208" s="425">
        <f t="shared" si="19"/>
        <v>1.894119510176171E-7</v>
      </c>
      <c r="K208" s="426">
        <f t="shared" si="20"/>
        <v>0.55781264334617464</v>
      </c>
      <c r="L208" s="434">
        <f t="shared" si="21"/>
        <v>5.5781264334617463E-7</v>
      </c>
    </row>
    <row r="209" spans="1:12">
      <c r="A209" s="149" t="s">
        <v>76</v>
      </c>
      <c r="B209" s="161">
        <f>B101</f>
        <v>1.6319999999999999</v>
      </c>
      <c r="C209" s="424">
        <f t="shared" si="14"/>
        <v>0.65861882563119145</v>
      </c>
      <c r="D209" s="235">
        <f>D101</f>
        <v>0.97338117436880844</v>
      </c>
      <c r="E209" s="119">
        <f t="shared" si="15"/>
        <v>22200</v>
      </c>
      <c r="F209" s="424">
        <f t="shared" si="16"/>
        <v>56208</v>
      </c>
      <c r="G209" s="395">
        <f t="shared" si="13"/>
        <v>73.513513513513502</v>
      </c>
      <c r="H209" s="561">
        <f t="shared" si="17"/>
        <v>7.3513513513513503E-5</v>
      </c>
      <c r="I209" s="558">
        <f t="shared" si="18"/>
        <v>11.717528210062472</v>
      </c>
      <c r="J209" s="425">
        <f t="shared" si="19"/>
        <v>1.1717528210062473E-5</v>
      </c>
      <c r="K209" s="426">
        <f t="shared" si="20"/>
        <v>17.317484599501999</v>
      </c>
      <c r="L209" s="434">
        <f t="shared" si="21"/>
        <v>1.7317484599502E-5</v>
      </c>
    </row>
    <row r="210" spans="1:12">
      <c r="A210" s="150" t="s">
        <v>77</v>
      </c>
      <c r="B210" s="161">
        <f>B102</f>
        <v>7.8719999999999999</v>
      </c>
      <c r="C210" s="424">
        <f t="shared" si="14"/>
        <v>1.8390803487070242</v>
      </c>
      <c r="D210" s="235">
        <f>D102+D158</f>
        <v>6.0329196512929757</v>
      </c>
      <c r="E210" s="119">
        <f t="shared" si="15"/>
        <v>22200</v>
      </c>
      <c r="F210" s="424">
        <f t="shared" si="16"/>
        <v>56208</v>
      </c>
      <c r="G210" s="395">
        <f t="shared" si="13"/>
        <v>354.59459459459458</v>
      </c>
      <c r="H210" s="561">
        <f t="shared" si="17"/>
        <v>3.545945945945946E-4</v>
      </c>
      <c r="I210" s="558">
        <f t="shared" si="18"/>
        <v>32.719192084881584</v>
      </c>
      <c r="J210" s="425">
        <f t="shared" si="19"/>
        <v>3.2719192084881587E-5</v>
      </c>
      <c r="K210" s="426">
        <f t="shared" si="20"/>
        <v>107.33204617301764</v>
      </c>
      <c r="L210" s="434">
        <f t="shared" si="21"/>
        <v>1.0733204617301765E-4</v>
      </c>
    </row>
    <row r="211" spans="1:12">
      <c r="A211" s="150" t="s">
        <v>78</v>
      </c>
      <c r="B211" s="161">
        <f>B103</f>
        <v>1050.924</v>
      </c>
      <c r="C211" s="424">
        <f t="shared" si="14"/>
        <v>533.71177228080182</v>
      </c>
      <c r="D211" s="235">
        <f>D103+D159</f>
        <v>517.21222771919815</v>
      </c>
      <c r="E211" s="119">
        <f t="shared" si="15"/>
        <v>22200</v>
      </c>
      <c r="F211" s="424">
        <f t="shared" si="16"/>
        <v>56208</v>
      </c>
      <c r="G211" s="395">
        <f t="shared" si="13"/>
        <v>47338.91891891892</v>
      </c>
      <c r="H211" s="561">
        <f t="shared" si="17"/>
        <v>4.7338918918918921E-2</v>
      </c>
      <c r="I211" s="558">
        <f t="shared" si="18"/>
        <v>9495.2991083262496</v>
      </c>
      <c r="J211" s="425">
        <f t="shared" si="19"/>
        <v>9.4952991083262495E-3</v>
      </c>
      <c r="K211" s="426">
        <f t="shared" si="20"/>
        <v>9201.7546918445441</v>
      </c>
      <c r="L211" s="434">
        <f t="shared" si="21"/>
        <v>9.2017546918445447E-3</v>
      </c>
    </row>
    <row r="212" spans="1:12">
      <c r="A212" s="150" t="s">
        <v>79</v>
      </c>
      <c r="B212" s="161">
        <f>B104</f>
        <v>98.76</v>
      </c>
      <c r="C212" s="424">
        <f t="shared" si="14"/>
        <v>75.142018303578496</v>
      </c>
      <c r="D212" s="235">
        <f>D104+D160</f>
        <v>23.617981696421509</v>
      </c>
      <c r="E212" s="119">
        <f t="shared" si="15"/>
        <v>22200</v>
      </c>
      <c r="F212" s="424">
        <f t="shared" si="16"/>
        <v>56208</v>
      </c>
      <c r="G212" s="395">
        <f t="shared" si="13"/>
        <v>4448.6486486486492</v>
      </c>
      <c r="H212" s="561">
        <f t="shared" si="17"/>
        <v>4.448648648648649E-3</v>
      </c>
      <c r="I212" s="558">
        <f t="shared" si="18"/>
        <v>1336.8562892040013</v>
      </c>
      <c r="J212" s="425">
        <f t="shared" si="19"/>
        <v>1.3368562892040012E-3</v>
      </c>
      <c r="K212" s="426">
        <f t="shared" si="20"/>
        <v>420.18897125714329</v>
      </c>
      <c r="L212" s="434">
        <f t="shared" si="21"/>
        <v>4.2018897125714328E-4</v>
      </c>
    </row>
    <row r="213" spans="1:12">
      <c r="A213" s="150" t="s">
        <v>80</v>
      </c>
      <c r="B213" s="161">
        <f>B105</f>
        <v>154.80000000000001</v>
      </c>
      <c r="C213" s="424">
        <f t="shared" si="14"/>
        <v>119.75336034788128</v>
      </c>
      <c r="D213" s="235">
        <f>D105+D161</f>
        <v>35.046639652118721</v>
      </c>
      <c r="E213" s="119">
        <f t="shared" si="15"/>
        <v>22200</v>
      </c>
      <c r="F213" s="424">
        <f t="shared" si="16"/>
        <v>56208</v>
      </c>
      <c r="G213" s="395">
        <f t="shared" si="13"/>
        <v>6972.9729729729743</v>
      </c>
      <c r="H213" s="561">
        <f t="shared" si="17"/>
        <v>6.9729729729729739E-3</v>
      </c>
      <c r="I213" s="558">
        <f t="shared" si="18"/>
        <v>2130.539431182061</v>
      </c>
      <c r="J213" s="425">
        <f t="shared" si="19"/>
        <v>2.1305394311820608E-3</v>
      </c>
      <c r="K213" s="426">
        <f t="shared" si="20"/>
        <v>623.51693090162826</v>
      </c>
      <c r="L213" s="434">
        <f t="shared" si="21"/>
        <v>6.2351693090162831E-4</v>
      </c>
    </row>
    <row r="214" spans="1:12">
      <c r="A214" s="150" t="s">
        <v>81</v>
      </c>
      <c r="B214" s="161">
        <f>B106+C135*B121*46/78</f>
        <v>97.2</v>
      </c>
      <c r="C214" s="424">
        <f t="shared" si="14"/>
        <v>79.757761095277999</v>
      </c>
      <c r="D214" s="235">
        <f>D106</f>
        <v>17.442238904721997</v>
      </c>
      <c r="E214" s="119">
        <f t="shared" si="15"/>
        <v>22200</v>
      </c>
      <c r="F214" s="424">
        <f t="shared" si="16"/>
        <v>56208</v>
      </c>
      <c r="G214" s="395">
        <f t="shared" si="13"/>
        <v>4378.3783783783783</v>
      </c>
      <c r="H214" s="561">
        <f t="shared" si="17"/>
        <v>4.3783783783783786E-3</v>
      </c>
      <c r="I214" s="558">
        <f t="shared" si="18"/>
        <v>1418.9752543281738</v>
      </c>
      <c r="J214" s="425">
        <f t="shared" si="19"/>
        <v>1.4189752543281738E-3</v>
      </c>
      <c r="K214" s="426">
        <f t="shared" si="20"/>
        <v>310.31594977088662</v>
      </c>
      <c r="L214" s="434">
        <f t="shared" si="21"/>
        <v>3.1031594977088664E-4</v>
      </c>
    </row>
    <row r="215" spans="1:12">
      <c r="A215" s="150" t="s">
        <v>82</v>
      </c>
      <c r="B215" s="161">
        <f>B107</f>
        <v>1.5</v>
      </c>
      <c r="C215" s="424">
        <f t="shared" si="14"/>
        <v>0.65365297004069856</v>
      </c>
      <c r="D215" s="235">
        <f>D107+D162</f>
        <v>0.84634702995930144</v>
      </c>
      <c r="E215" s="119">
        <f t="shared" si="15"/>
        <v>22200</v>
      </c>
      <c r="F215" s="424">
        <f t="shared" si="16"/>
        <v>56208</v>
      </c>
      <c r="G215" s="395">
        <f t="shared" si="13"/>
        <v>67.567567567567565</v>
      </c>
      <c r="H215" s="561">
        <f t="shared" si="17"/>
        <v>6.7567567567567569E-5</v>
      </c>
      <c r="I215" s="558">
        <f t="shared" si="18"/>
        <v>11.629180366508301</v>
      </c>
      <c r="J215" s="425">
        <f t="shared" si="19"/>
        <v>1.1629180366508301E-5</v>
      </c>
      <c r="K215" s="426">
        <f t="shared" si="20"/>
        <v>15.0574122893414</v>
      </c>
      <c r="L215" s="434">
        <f t="shared" si="21"/>
        <v>1.50574122893414E-5</v>
      </c>
    </row>
    <row r="216" spans="1:12">
      <c r="A216" s="150" t="s">
        <v>630</v>
      </c>
      <c r="B216" s="161">
        <f>B108</f>
        <v>979.41600000000005</v>
      </c>
      <c r="C216" s="424">
        <f t="shared" si="14"/>
        <v>857.80329997494164</v>
      </c>
      <c r="D216" s="235">
        <f>D108+D163</f>
        <v>121.61270002505847</v>
      </c>
      <c r="E216" s="119">
        <f t="shared" si="15"/>
        <v>22200</v>
      </c>
      <c r="F216" s="424">
        <f t="shared" si="16"/>
        <v>56208</v>
      </c>
      <c r="G216" s="395">
        <f t="shared" si="13"/>
        <v>44117.83783783784</v>
      </c>
      <c r="H216" s="561">
        <f t="shared" si="17"/>
        <v>4.4117837837837841E-2</v>
      </c>
      <c r="I216" s="558">
        <f t="shared" si="18"/>
        <v>15261.231496849943</v>
      </c>
      <c r="J216" s="425">
        <f t="shared" si="19"/>
        <v>1.5261231496849943E-2</v>
      </c>
      <c r="K216" s="426">
        <f t="shared" si="20"/>
        <v>2163.6190582311856</v>
      </c>
      <c r="L216" s="434">
        <f t="shared" si="21"/>
        <v>2.1636190582311858E-3</v>
      </c>
    </row>
    <row r="217" spans="1:12">
      <c r="A217" s="150" t="s">
        <v>96</v>
      </c>
      <c r="B217" s="161">
        <f>B109</f>
        <v>2087.7551020408168</v>
      </c>
      <c r="C217" s="424">
        <f t="shared" si="14"/>
        <v>2087.7551020408168</v>
      </c>
      <c r="D217" s="235">
        <f>D109+D164</f>
        <v>0</v>
      </c>
      <c r="E217" s="119">
        <f t="shared" si="15"/>
        <v>22200</v>
      </c>
      <c r="F217" s="424">
        <f t="shared" si="16"/>
        <v>56208</v>
      </c>
      <c r="G217" s="395">
        <f t="shared" si="13"/>
        <v>94043.022614451198</v>
      </c>
      <c r="H217" s="561">
        <f t="shared" si="17"/>
        <v>9.4043022614451202E-2</v>
      </c>
      <c r="I217" s="558">
        <f t="shared" si="18"/>
        <v>37143.379982223472</v>
      </c>
      <c r="J217" s="425">
        <f t="shared" si="19"/>
        <v>3.7143379982223473E-2</v>
      </c>
      <c r="K217" s="426">
        <f t="shared" si="20"/>
        <v>0</v>
      </c>
      <c r="L217" s="434">
        <f t="shared" si="21"/>
        <v>0</v>
      </c>
    </row>
    <row r="218" spans="1:12">
      <c r="A218" s="150" t="s">
        <v>97</v>
      </c>
      <c r="B218" s="161">
        <f>B110</f>
        <v>3067.171102040817</v>
      </c>
      <c r="C218" s="424">
        <f t="shared" si="14"/>
        <v>2945.5584020157585</v>
      </c>
      <c r="D218" s="235">
        <f>D110+D165</f>
        <v>121.61270002505847</v>
      </c>
      <c r="E218" s="119">
        <f t="shared" si="15"/>
        <v>22200</v>
      </c>
      <c r="F218" s="424">
        <f t="shared" si="16"/>
        <v>56208</v>
      </c>
      <c r="G218" s="395">
        <f t="shared" si="13"/>
        <v>138160.86045228905</v>
      </c>
      <c r="H218" s="561">
        <f t="shared" si="17"/>
        <v>0.13816086045228906</v>
      </c>
      <c r="I218" s="558">
        <f t="shared" si="18"/>
        <v>52404.611479073414</v>
      </c>
      <c r="J218" s="425">
        <f t="shared" si="19"/>
        <v>5.2404611479073417E-2</v>
      </c>
      <c r="K218" s="426">
        <f t="shared" si="20"/>
        <v>2163.6190582311856</v>
      </c>
      <c r="L218" s="434">
        <f t="shared" si="21"/>
        <v>2.1636190582311858E-3</v>
      </c>
    </row>
    <row r="219" spans="1:12">
      <c r="A219" s="150" t="s">
        <v>84</v>
      </c>
      <c r="B219" s="161">
        <f>B111</f>
        <v>1.488</v>
      </c>
      <c r="C219" s="424">
        <f t="shared" si="14"/>
        <v>0.3429747131515315</v>
      </c>
      <c r="D219" s="235">
        <f>D166+D111</f>
        <v>1.1450252868484685</v>
      </c>
      <c r="E219" s="119">
        <f t="shared" si="15"/>
        <v>22200</v>
      </c>
      <c r="F219" s="424">
        <f t="shared" si="16"/>
        <v>56208</v>
      </c>
      <c r="G219" s="395">
        <f t="shared" si="13"/>
        <v>67.027027027027032</v>
      </c>
      <c r="H219" s="561">
        <f t="shared" si="17"/>
        <v>6.7027027027027027E-5</v>
      </c>
      <c r="I219" s="558">
        <f t="shared" si="18"/>
        <v>6.1018843074212121</v>
      </c>
      <c r="J219" s="425">
        <f t="shared" si="19"/>
        <v>6.1018843074212124E-6</v>
      </c>
      <c r="K219" s="426">
        <f t="shared" si="20"/>
        <v>20.371215607181689</v>
      </c>
      <c r="L219" s="434">
        <f t="shared" si="21"/>
        <v>2.0371215607181691E-5</v>
      </c>
    </row>
    <row r="220" spans="1:12">
      <c r="A220" s="150" t="s">
        <v>631</v>
      </c>
      <c r="B220" s="161">
        <f>B112</f>
        <v>226.8</v>
      </c>
      <c r="C220" s="424">
        <f t="shared" si="14"/>
        <v>0</v>
      </c>
      <c r="D220" s="235">
        <f>D167</f>
        <v>226.8</v>
      </c>
      <c r="E220" s="119">
        <f t="shared" si="15"/>
        <v>22200</v>
      </c>
      <c r="F220" s="424">
        <f t="shared" si="16"/>
        <v>56208</v>
      </c>
      <c r="G220" s="395">
        <f t="shared" si="13"/>
        <v>10216.216216216217</v>
      </c>
      <c r="H220" s="561">
        <f t="shared" si="17"/>
        <v>1.0216216216216217E-2</v>
      </c>
      <c r="I220" s="558">
        <f t="shared" si="18"/>
        <v>0</v>
      </c>
      <c r="J220" s="425">
        <f t="shared" si="19"/>
        <v>0</v>
      </c>
      <c r="K220" s="426">
        <f t="shared" si="20"/>
        <v>4035.0128095644745</v>
      </c>
      <c r="L220" s="434">
        <f t="shared" si="21"/>
        <v>4.0350128095644746E-3</v>
      </c>
    </row>
    <row r="221" spans="1:12">
      <c r="A221" s="150" t="s">
        <v>250</v>
      </c>
      <c r="B221" s="161">
        <f>B113</f>
        <v>1175.5102040816328</v>
      </c>
      <c r="C221" s="424">
        <f t="shared" si="14"/>
        <v>0</v>
      </c>
      <c r="D221" s="235">
        <f>D168</f>
        <v>1175.5102040816328</v>
      </c>
      <c r="E221" s="119">
        <f t="shared" si="15"/>
        <v>22200</v>
      </c>
      <c r="F221" s="424">
        <f t="shared" si="16"/>
        <v>56208</v>
      </c>
      <c r="G221" s="395">
        <f t="shared" si="13"/>
        <v>52950.910093767241</v>
      </c>
      <c r="H221" s="561">
        <f t="shared" si="17"/>
        <v>5.2950910093767241E-2</v>
      </c>
      <c r="I221" s="558">
        <f t="shared" si="18"/>
        <v>0</v>
      </c>
      <c r="J221" s="425">
        <f t="shared" si="19"/>
        <v>0</v>
      </c>
      <c r="K221" s="426">
        <f t="shared" si="20"/>
        <v>20913.574652747524</v>
      </c>
      <c r="L221" s="434">
        <f t="shared" si="21"/>
        <v>2.0913574652747523E-2</v>
      </c>
    </row>
    <row r="222" spans="1:12">
      <c r="A222" s="150" t="s">
        <v>251</v>
      </c>
      <c r="B222" s="161">
        <f>B220+B221</f>
        <v>1402.3102040816327</v>
      </c>
      <c r="C222" s="424">
        <f>B222-D222</f>
        <v>0</v>
      </c>
      <c r="D222" s="235">
        <f>D169</f>
        <v>1402.3102040816327</v>
      </c>
      <c r="E222" s="119">
        <f t="shared" si="15"/>
        <v>22200</v>
      </c>
      <c r="F222" s="424">
        <f t="shared" si="16"/>
        <v>56208</v>
      </c>
      <c r="G222" s="395">
        <f t="shared" si="13"/>
        <v>63167.126309983461</v>
      </c>
      <c r="H222" s="561">
        <f t="shared" si="17"/>
        <v>6.316712630998346E-2</v>
      </c>
      <c r="I222" s="558">
        <f>C222/F222*1000000</f>
        <v>0</v>
      </c>
      <c r="J222" s="425">
        <f>I222/1000000</f>
        <v>0</v>
      </c>
      <c r="K222" s="426">
        <f>D222/F222*1000000</f>
        <v>24948.587462311996</v>
      </c>
      <c r="L222" s="434">
        <f>K222/1000000</f>
        <v>2.4948587462311995E-2</v>
      </c>
    </row>
    <row r="223" spans="1:12">
      <c r="A223" s="151" t="s">
        <v>238</v>
      </c>
      <c r="B223" s="161">
        <f>B222/32*96</f>
        <v>4206.9306122448979</v>
      </c>
      <c r="C223" s="424">
        <f>B223-D223</f>
        <v>0</v>
      </c>
      <c r="D223" s="235">
        <f>D170</f>
        <v>4206.9306122448979</v>
      </c>
      <c r="E223" s="119">
        <f t="shared" si="15"/>
        <v>22200</v>
      </c>
      <c r="F223" s="424">
        <f t="shared" si="16"/>
        <v>56208</v>
      </c>
      <c r="G223" s="395">
        <f t="shared" si="13"/>
        <v>189501.37892995036</v>
      </c>
      <c r="H223" s="561">
        <f t="shared" si="17"/>
        <v>0.18950137892995036</v>
      </c>
      <c r="I223" s="558">
        <f>C223/F223*1000000</f>
        <v>0</v>
      </c>
      <c r="J223" s="425">
        <f>I223/1000000</f>
        <v>0</v>
      </c>
      <c r="K223" s="426">
        <f>D223/F223*1000000</f>
        <v>74845.762386935996</v>
      </c>
      <c r="L223" s="434">
        <f>K223/1000000</f>
        <v>7.4845762386935993E-2</v>
      </c>
    </row>
    <row r="224" spans="1:12">
      <c r="A224" s="151" t="s">
        <v>239</v>
      </c>
      <c r="B224" s="161">
        <f>B222/32*136</f>
        <v>5959.8183673469393</v>
      </c>
      <c r="C224" s="424">
        <f>B224-D224</f>
        <v>0</v>
      </c>
      <c r="D224" s="235">
        <f>D171</f>
        <v>5959.8183673469393</v>
      </c>
      <c r="E224" s="119">
        <f t="shared" si="15"/>
        <v>22200</v>
      </c>
      <c r="F224" s="424">
        <f t="shared" si="16"/>
        <v>56208</v>
      </c>
      <c r="G224" s="395">
        <f t="shared" si="13"/>
        <v>268460.2868174297</v>
      </c>
      <c r="H224" s="561">
        <f t="shared" si="17"/>
        <v>0.26846028681742973</v>
      </c>
      <c r="I224" s="558">
        <f>C224/F224*1000000</f>
        <v>0</v>
      </c>
      <c r="J224" s="425">
        <f>I224/1000000</f>
        <v>0</v>
      </c>
      <c r="K224" s="426">
        <f>D224/F224*1000000</f>
        <v>106031.49671482599</v>
      </c>
      <c r="L224" s="434">
        <f>K224/1000000</f>
        <v>0.10603149671482599</v>
      </c>
    </row>
    <row r="225" spans="1:12">
      <c r="A225" s="151" t="s">
        <v>248</v>
      </c>
      <c r="B225" s="161">
        <f>C172</f>
        <v>0</v>
      </c>
      <c r="C225" s="424">
        <f>B225-D225</f>
        <v>0</v>
      </c>
      <c r="D225" s="235">
        <f>D172</f>
        <v>0</v>
      </c>
      <c r="E225" s="119">
        <f t="shared" si="15"/>
        <v>22200</v>
      </c>
      <c r="F225" s="424">
        <f t="shared" si="16"/>
        <v>56208</v>
      </c>
      <c r="G225" s="395">
        <f>B225/E225*1000000</f>
        <v>0</v>
      </c>
      <c r="H225" s="561">
        <f t="shared" si="17"/>
        <v>0</v>
      </c>
      <c r="I225" s="558">
        <f>C225/F225*1000000</f>
        <v>0</v>
      </c>
      <c r="J225" s="425">
        <f>I225/1000000</f>
        <v>0</v>
      </c>
      <c r="K225" s="426">
        <f>D225/F225*1000000</f>
        <v>0</v>
      </c>
      <c r="L225" s="434">
        <f>K225/1000000</f>
        <v>0</v>
      </c>
    </row>
    <row r="226" spans="1:12" ht="14.65" thickBot="1">
      <c r="A226" s="152" t="s">
        <v>86</v>
      </c>
      <c r="B226" s="162">
        <f>B117</f>
        <v>28.236000000000001</v>
      </c>
      <c r="C226" s="435">
        <f t="shared" si="14"/>
        <v>12.364389620715265</v>
      </c>
      <c r="D226" s="236">
        <f>D117+D173</f>
        <v>15.871610379284736</v>
      </c>
      <c r="E226" s="135">
        <f t="shared" si="15"/>
        <v>22200</v>
      </c>
      <c r="F226" s="435">
        <f t="shared" si="16"/>
        <v>56208</v>
      </c>
      <c r="G226" s="405">
        <f>B226/E226*1000000</f>
        <v>1271.8918918918919</v>
      </c>
      <c r="H226" s="562">
        <f t="shared" si="17"/>
        <v>1.271891891891892E-3</v>
      </c>
      <c r="I226" s="559">
        <f t="shared" si="18"/>
        <v>219.97561949749618</v>
      </c>
      <c r="J226" s="436">
        <f t="shared" si="19"/>
        <v>2.1997561949749618E-4</v>
      </c>
      <c r="K226" s="437">
        <f t="shared" si="20"/>
        <v>282.3728006562186</v>
      </c>
      <c r="L226" s="439">
        <f t="shared" si="21"/>
        <v>2.823728006562186E-4</v>
      </c>
    </row>
    <row r="228" spans="1:12">
      <c r="A228" s="1" t="s">
        <v>125</v>
      </c>
      <c r="B228" s="1"/>
      <c r="C228" s="1"/>
    </row>
    <row r="229" spans="1:12" ht="14.65" thickBot="1">
      <c r="A229" s="79" t="s">
        <v>361</v>
      </c>
    </row>
    <row r="230" spans="1:12" ht="14.65" thickBot="1">
      <c r="A230" s="453" t="s">
        <v>26</v>
      </c>
      <c r="B230" s="454" t="s">
        <v>27</v>
      </c>
      <c r="C230" s="455" t="s">
        <v>355</v>
      </c>
    </row>
    <row r="231" spans="1:12" ht="14.65" thickBot="1">
      <c r="A231" s="456">
        <v>0.62634496250407568</v>
      </c>
      <c r="B231" s="457">
        <v>0.37365503749592438</v>
      </c>
      <c r="C231" s="458">
        <v>0.4094383112944317</v>
      </c>
    </row>
    <row r="233" spans="1:12" ht="14.65" thickBot="1">
      <c r="A233" s="79" t="s">
        <v>287</v>
      </c>
    </row>
    <row r="234" spans="1:12" ht="14.65" thickBot="1">
      <c r="A234" s="103" t="s">
        <v>53</v>
      </c>
      <c r="B234" s="102" t="s">
        <v>18</v>
      </c>
      <c r="C234" s="17" t="s">
        <v>106</v>
      </c>
    </row>
    <row r="235" spans="1:12">
      <c r="A235" s="243" t="s">
        <v>6</v>
      </c>
      <c r="B235" s="269" t="s">
        <v>35</v>
      </c>
      <c r="C235" s="386">
        <f>C179</f>
        <v>56208</v>
      </c>
    </row>
    <row r="236" spans="1:12">
      <c r="A236" s="415" t="s">
        <v>338</v>
      </c>
      <c r="B236" s="37" t="s">
        <v>52</v>
      </c>
      <c r="C236" s="631">
        <v>1.5</v>
      </c>
    </row>
    <row r="237" spans="1:12">
      <c r="A237" s="257" t="s">
        <v>623</v>
      </c>
      <c r="B237" s="278" t="s">
        <v>35</v>
      </c>
      <c r="C237" s="279">
        <f>C22</f>
        <v>12000</v>
      </c>
    </row>
    <row r="238" spans="1:12" ht="14.65" thickBot="1">
      <c r="A238" s="255" t="s">
        <v>338</v>
      </c>
      <c r="B238" s="271" t="s">
        <v>35</v>
      </c>
      <c r="C238" s="256">
        <f>WWK*C237</f>
        <v>18000</v>
      </c>
    </row>
    <row r="239" spans="1:12">
      <c r="A239" s="83"/>
      <c r="B239" s="77"/>
      <c r="C239" s="95"/>
    </row>
    <row r="240" spans="1:12" ht="14.65" thickBot="1">
      <c r="A240" s="79" t="s">
        <v>288</v>
      </c>
    </row>
    <row r="241" spans="1:3" ht="14.65" thickBot="1">
      <c r="A241" s="103" t="s">
        <v>90</v>
      </c>
      <c r="B241" s="102" t="s">
        <v>18</v>
      </c>
      <c r="C241" s="17" t="s">
        <v>91</v>
      </c>
    </row>
    <row r="242" spans="1:3">
      <c r="A242" s="276" t="s">
        <v>6</v>
      </c>
      <c r="B242" s="296" t="s">
        <v>35</v>
      </c>
      <c r="C242" s="286">
        <f>C235</f>
        <v>56208</v>
      </c>
    </row>
    <row r="243" spans="1:3">
      <c r="A243" s="257" t="s">
        <v>338</v>
      </c>
      <c r="B243" s="278" t="s">
        <v>35</v>
      </c>
      <c r="C243" s="279">
        <f>C238</f>
        <v>18000</v>
      </c>
    </row>
    <row r="244" spans="1:3">
      <c r="A244" s="257" t="s">
        <v>339</v>
      </c>
      <c r="B244" s="278" t="s">
        <v>35</v>
      </c>
      <c r="C244" s="279">
        <f>C242+C243</f>
        <v>74208</v>
      </c>
    </row>
    <row r="245" spans="1:3">
      <c r="A245" s="257" t="s">
        <v>130</v>
      </c>
      <c r="B245" s="278" t="s">
        <v>24</v>
      </c>
      <c r="C245" s="314">
        <f>A231</f>
        <v>0.62634496250407568</v>
      </c>
    </row>
    <row r="246" spans="1:3">
      <c r="A246" s="253" t="s">
        <v>9</v>
      </c>
      <c r="B246" s="270" t="s">
        <v>35</v>
      </c>
      <c r="C246" s="254">
        <f>C244*C245</f>
        <v>46479.806977502449</v>
      </c>
    </row>
    <row r="247" spans="1:3">
      <c r="A247" s="257" t="s">
        <v>131</v>
      </c>
      <c r="B247" s="278" t="s">
        <v>24</v>
      </c>
      <c r="C247" s="314">
        <f>B231</f>
        <v>0.37365503749592438</v>
      </c>
    </row>
    <row r="248" spans="1:3">
      <c r="A248" s="253" t="s">
        <v>11</v>
      </c>
      <c r="B248" s="270" t="s">
        <v>35</v>
      </c>
      <c r="C248" s="322">
        <f>C244*C247</f>
        <v>27728.193022497555</v>
      </c>
    </row>
    <row r="249" spans="1:3">
      <c r="A249" s="281" t="s">
        <v>355</v>
      </c>
      <c r="B249" s="278" t="s">
        <v>24</v>
      </c>
      <c r="C249" s="318">
        <f>C231</f>
        <v>0.4094383112944317</v>
      </c>
    </row>
    <row r="250" spans="1:3">
      <c r="A250" s="281" t="s">
        <v>421</v>
      </c>
      <c r="B250" s="278" t="s">
        <v>35</v>
      </c>
      <c r="C250" s="289">
        <f>C248*C249</f>
        <v>11352.984526377442</v>
      </c>
    </row>
    <row r="251" spans="1:3">
      <c r="A251" s="281" t="s">
        <v>132</v>
      </c>
      <c r="B251" s="278" t="s">
        <v>24</v>
      </c>
      <c r="C251" s="318">
        <f>1-C249</f>
        <v>0.59056168870556824</v>
      </c>
    </row>
    <row r="252" spans="1:3" ht="14.65" thickBot="1">
      <c r="A252" s="319" t="s">
        <v>340</v>
      </c>
      <c r="B252" s="320" t="s">
        <v>35</v>
      </c>
      <c r="C252" s="321">
        <f>C248*C251</f>
        <v>16375.208496120111</v>
      </c>
    </row>
    <row r="253" spans="1:3">
      <c r="A253" s="77"/>
      <c r="B253" s="77"/>
      <c r="C253" s="117"/>
    </row>
    <row r="254" spans="1:3" ht="14.65" thickBot="1">
      <c r="A254" s="79" t="s">
        <v>133</v>
      </c>
      <c r="B254" s="79"/>
      <c r="C254" s="79"/>
    </row>
    <row r="255" spans="1:3" ht="14.65" thickBot="1">
      <c r="A255" s="103" t="s">
        <v>90</v>
      </c>
      <c r="B255" s="102" t="s">
        <v>18</v>
      </c>
      <c r="C255" s="17" t="s">
        <v>106</v>
      </c>
    </row>
    <row r="256" spans="1:3">
      <c r="A256" s="272" t="s">
        <v>623</v>
      </c>
      <c r="B256" s="296" t="s">
        <v>35</v>
      </c>
      <c r="C256" s="297">
        <f>$C$22</f>
        <v>12000</v>
      </c>
    </row>
    <row r="257" spans="1:3">
      <c r="A257" s="257" t="s">
        <v>329</v>
      </c>
      <c r="B257" s="278" t="s">
        <v>35</v>
      </c>
      <c r="C257" s="295">
        <f>$C$25</f>
        <v>3600</v>
      </c>
    </row>
    <row r="258" spans="1:3">
      <c r="A258" s="257" t="s">
        <v>428</v>
      </c>
      <c r="B258" s="278" t="s">
        <v>35</v>
      </c>
      <c r="C258" s="295">
        <f>$C$30</f>
        <v>6600.0000000000009</v>
      </c>
    </row>
    <row r="259" spans="1:3">
      <c r="A259" s="257" t="s">
        <v>115</v>
      </c>
      <c r="B259" s="278" t="s">
        <v>24</v>
      </c>
      <c r="C259" s="312">
        <f>$B$121</f>
        <v>0.05</v>
      </c>
    </row>
    <row r="260" spans="1:3">
      <c r="A260" s="257" t="s">
        <v>334</v>
      </c>
      <c r="B260" s="278" t="s">
        <v>35</v>
      </c>
      <c r="C260" s="295">
        <f>$C$135</f>
        <v>0</v>
      </c>
    </row>
    <row r="261" spans="1:3">
      <c r="A261" s="257" t="s">
        <v>429</v>
      </c>
      <c r="B261" s="278" t="s">
        <v>35</v>
      </c>
      <c r="C261" s="295">
        <f>C260*C259</f>
        <v>0</v>
      </c>
    </row>
    <row r="262" spans="1:3">
      <c r="A262" s="281" t="s">
        <v>421</v>
      </c>
      <c r="B262" s="278" t="s">
        <v>35</v>
      </c>
      <c r="C262" s="289">
        <f>$C$250</f>
        <v>11352.984526377442</v>
      </c>
    </row>
    <row r="263" spans="1:3">
      <c r="A263" s="257" t="s">
        <v>341</v>
      </c>
      <c r="B263" s="278" t="s">
        <v>35</v>
      </c>
      <c r="C263" s="279">
        <f>C256+C257+C258+C261-C262</f>
        <v>10847.015473622558</v>
      </c>
    </row>
    <row r="264" spans="1:3">
      <c r="A264" s="257" t="s">
        <v>9</v>
      </c>
      <c r="B264" s="278" t="s">
        <v>35</v>
      </c>
      <c r="C264" s="279">
        <f>$C$246</f>
        <v>46479.806977502449</v>
      </c>
    </row>
    <row r="265" spans="1:3">
      <c r="A265" s="299" t="s">
        <v>64</v>
      </c>
      <c r="B265" s="260" t="s">
        <v>24</v>
      </c>
      <c r="C265" s="300">
        <f>C263/C264</f>
        <v>0.23337049310193611</v>
      </c>
    </row>
    <row r="266" spans="1:3">
      <c r="A266" s="257" t="s">
        <v>366</v>
      </c>
      <c r="B266" s="278" t="s">
        <v>35</v>
      </c>
      <c r="C266" s="279">
        <f>$C$24</f>
        <v>34008</v>
      </c>
    </row>
    <row r="267" spans="1:3">
      <c r="A267" s="257" t="s">
        <v>117</v>
      </c>
      <c r="B267" s="278" t="s">
        <v>24</v>
      </c>
      <c r="C267" s="312">
        <f>1-$B$121</f>
        <v>0.95</v>
      </c>
    </row>
    <row r="268" spans="1:3">
      <c r="A268" s="257" t="s">
        <v>334</v>
      </c>
      <c r="B268" s="278" t="s">
        <v>35</v>
      </c>
      <c r="C268" s="295">
        <f>$C$135</f>
        <v>0</v>
      </c>
    </row>
    <row r="269" spans="1:3">
      <c r="A269" s="257" t="s">
        <v>356</v>
      </c>
      <c r="B269" s="278" t="s">
        <v>35</v>
      </c>
      <c r="C269" s="279">
        <f>C267*C268</f>
        <v>0</v>
      </c>
    </row>
    <row r="270" spans="1:3">
      <c r="A270" s="257" t="s">
        <v>338</v>
      </c>
      <c r="B270" s="278" t="s">
        <v>35</v>
      </c>
      <c r="C270" s="279">
        <f>$C$238</f>
        <v>18000</v>
      </c>
    </row>
    <row r="271" spans="1:3">
      <c r="A271" s="281" t="s">
        <v>340</v>
      </c>
      <c r="B271" s="278" t="s">
        <v>35</v>
      </c>
      <c r="C271" s="289">
        <f>$C$252</f>
        <v>16375.208496120111</v>
      </c>
    </row>
    <row r="272" spans="1:3">
      <c r="A272" s="257" t="s">
        <v>342</v>
      </c>
      <c r="B272" s="278" t="s">
        <v>35</v>
      </c>
      <c r="C272" s="279">
        <f>C266+C269+C270-C271</f>
        <v>35632.791503879889</v>
      </c>
    </row>
    <row r="273" spans="1:8">
      <c r="A273" s="257" t="s">
        <v>9</v>
      </c>
      <c r="B273" s="278" t="s">
        <v>35</v>
      </c>
      <c r="C273" s="279">
        <f>$C$246</f>
        <v>46479.806977502449</v>
      </c>
    </row>
    <row r="274" spans="1:8" ht="14.65" thickBot="1">
      <c r="A274" s="301" t="s">
        <v>66</v>
      </c>
      <c r="B274" s="277" t="s">
        <v>24</v>
      </c>
      <c r="C274" s="303">
        <f>C272/C273</f>
        <v>0.76662950689806386</v>
      </c>
    </row>
    <row r="275" spans="1:8">
      <c r="A275" s="77"/>
      <c r="B275" s="77"/>
      <c r="C275" s="117"/>
    </row>
    <row r="276" spans="1:8" ht="14.65" thickBot="1">
      <c r="A276" s="79" t="s">
        <v>135</v>
      </c>
    </row>
    <row r="277" spans="1:8" ht="14.65" thickBot="1">
      <c r="A277" s="419"/>
      <c r="B277" s="1028" t="s">
        <v>262</v>
      </c>
      <c r="C277" s="1029"/>
      <c r="D277" s="1031"/>
      <c r="E277" s="1065" t="s">
        <v>263</v>
      </c>
      <c r="F277" s="1061"/>
      <c r="G277" s="1061"/>
      <c r="H277" s="1009"/>
    </row>
    <row r="278" spans="1:8">
      <c r="A278" s="92" t="s">
        <v>93</v>
      </c>
      <c r="B278" s="377" t="s">
        <v>243</v>
      </c>
      <c r="C278" s="491" t="s">
        <v>341</v>
      </c>
      <c r="D278" s="492" t="s">
        <v>281</v>
      </c>
      <c r="E278" s="1039" t="s">
        <v>269</v>
      </c>
      <c r="F278" s="1040"/>
      <c r="G278" s="1022" t="s">
        <v>282</v>
      </c>
      <c r="H278" s="1023"/>
    </row>
    <row r="279" spans="1:8" ht="14.65" thickBot="1">
      <c r="A279" s="93" t="s">
        <v>18</v>
      </c>
      <c r="B279" s="403" t="s">
        <v>35</v>
      </c>
      <c r="C279" s="154" t="s">
        <v>35</v>
      </c>
      <c r="D279" s="155" t="s">
        <v>35</v>
      </c>
      <c r="E279" s="153" t="s">
        <v>257</v>
      </c>
      <c r="F279" s="423" t="s">
        <v>237</v>
      </c>
      <c r="G279" s="403" t="s">
        <v>71</v>
      </c>
      <c r="H279" s="155" t="s">
        <v>237</v>
      </c>
    </row>
    <row r="280" spans="1:8">
      <c r="A280" s="111" t="s">
        <v>72</v>
      </c>
      <c r="B280" s="459">
        <f>C205</f>
        <v>304.85806576342497</v>
      </c>
      <c r="C280" s="160">
        <f>$C$263</f>
        <v>10847.015473622558</v>
      </c>
      <c r="D280" s="467">
        <f>$C$246</f>
        <v>46479.806977502449</v>
      </c>
      <c r="E280" s="465">
        <f>B280/C280*1000000</f>
        <v>28105.248536315776</v>
      </c>
      <c r="F280" s="560">
        <f>E280/1000000</f>
        <v>2.8105248536315776E-2</v>
      </c>
      <c r="G280" s="443">
        <f>B280/D280*1000000</f>
        <v>6558.9357096724816</v>
      </c>
      <c r="H280" s="460">
        <f>G280/1000000</f>
        <v>6.5589357096724815E-3</v>
      </c>
    </row>
    <row r="281" spans="1:8">
      <c r="A281" s="112" t="s">
        <v>73</v>
      </c>
      <c r="B281" s="461">
        <f>C206</f>
        <v>0.27508594065107606</v>
      </c>
      <c r="C281" s="119">
        <f t="shared" ref="C281:C301" si="22">$C$263</f>
        <v>10847.015473622558</v>
      </c>
      <c r="D281" s="468">
        <f t="shared" ref="D281:D301" si="23">$C$246</f>
        <v>46479.806977502449</v>
      </c>
      <c r="E281" s="331">
        <f t="shared" ref="E281:E301" si="24">B281/C281*1000000</f>
        <v>25.360518874525596</v>
      </c>
      <c r="F281" s="561">
        <f t="shared" ref="F281:F301" si="25">E281/1000000</f>
        <v>2.5360518874525595E-5</v>
      </c>
      <c r="G281" s="444">
        <f t="shared" ref="G281:G301" si="26">B281/D281*1000000</f>
        <v>5.918396795068996</v>
      </c>
      <c r="H281" s="462">
        <f t="shared" ref="H281:H301" si="27">G281/1000000</f>
        <v>5.9183967950689962E-6</v>
      </c>
    </row>
    <row r="282" spans="1:8">
      <c r="A282" s="112" t="s">
        <v>74</v>
      </c>
      <c r="B282" s="461">
        <f>C207</f>
        <v>301.91686339228249</v>
      </c>
      <c r="C282" s="119">
        <f t="shared" si="22"/>
        <v>10847.015473622558</v>
      </c>
      <c r="D282" s="468">
        <f t="shared" si="23"/>
        <v>46479.806977502449</v>
      </c>
      <c r="E282" s="331">
        <f t="shared" si="24"/>
        <v>27834.095390245802</v>
      </c>
      <c r="F282" s="561">
        <f t="shared" si="25"/>
        <v>2.7834095390245801E-2</v>
      </c>
      <c r="G282" s="444">
        <f t="shared" si="26"/>
        <v>6495.6565662679895</v>
      </c>
      <c r="H282" s="462">
        <f t="shared" si="27"/>
        <v>6.4956565662679898E-3</v>
      </c>
    </row>
    <row r="283" spans="1:8">
      <c r="A283" s="112" t="s">
        <v>75</v>
      </c>
      <c r="B283" s="461">
        <f>C208</f>
        <v>1.0646466942798222E-2</v>
      </c>
      <c r="C283" s="119">
        <f t="shared" si="22"/>
        <v>10847.015473622558</v>
      </c>
      <c r="D283" s="468">
        <f t="shared" si="23"/>
        <v>46479.806977502449</v>
      </c>
      <c r="E283" s="331">
        <f t="shared" si="24"/>
        <v>0.98151117869131621</v>
      </c>
      <c r="F283" s="561">
        <f t="shared" si="25"/>
        <v>9.8151117869131625E-7</v>
      </c>
      <c r="G283" s="444">
        <f t="shared" si="26"/>
        <v>0.22905574775625498</v>
      </c>
      <c r="H283" s="462">
        <f t="shared" si="27"/>
        <v>2.2905574775625499E-7</v>
      </c>
    </row>
    <row r="284" spans="1:8">
      <c r="A284" s="112" t="s">
        <v>76</v>
      </c>
      <c r="B284" s="461">
        <f>C209</f>
        <v>0.65861882563119145</v>
      </c>
      <c r="C284" s="119">
        <f t="shared" si="22"/>
        <v>10847.015473622558</v>
      </c>
      <c r="D284" s="468">
        <f t="shared" si="23"/>
        <v>46479.806977502449</v>
      </c>
      <c r="E284" s="331">
        <f t="shared" si="24"/>
        <v>60.718897952418402</v>
      </c>
      <c r="F284" s="561">
        <f t="shared" si="25"/>
        <v>6.0718897952418399E-5</v>
      </c>
      <c r="G284" s="444">
        <f t="shared" si="26"/>
        <v>14.169999155762023</v>
      </c>
      <c r="H284" s="462">
        <f t="shared" si="27"/>
        <v>1.4169999155762022E-5</v>
      </c>
    </row>
    <row r="285" spans="1:8">
      <c r="A285" s="113" t="s">
        <v>77</v>
      </c>
      <c r="B285" s="461">
        <f>C210</f>
        <v>1.8390803487070242</v>
      </c>
      <c r="C285" s="119">
        <f t="shared" si="22"/>
        <v>10847.015473622558</v>
      </c>
      <c r="D285" s="468">
        <f t="shared" si="23"/>
        <v>46479.806977502449</v>
      </c>
      <c r="E285" s="331">
        <f t="shared" si="24"/>
        <v>169.54713056132758</v>
      </c>
      <c r="F285" s="561">
        <f t="shared" si="25"/>
        <v>1.6954713056132757E-4</v>
      </c>
      <c r="G285" s="444">
        <f t="shared" si="26"/>
        <v>39.567297463115359</v>
      </c>
      <c r="H285" s="462">
        <f t="shared" si="27"/>
        <v>3.956729746311536E-5</v>
      </c>
    </row>
    <row r="286" spans="1:8">
      <c r="A286" s="113" t="s">
        <v>78</v>
      </c>
      <c r="B286" s="461">
        <f>C211</f>
        <v>533.71177228080182</v>
      </c>
      <c r="C286" s="119">
        <f t="shared" si="22"/>
        <v>10847.015473622558</v>
      </c>
      <c r="D286" s="468">
        <f t="shared" si="23"/>
        <v>46479.806977502449</v>
      </c>
      <c r="E286" s="331">
        <f t="shared" si="24"/>
        <v>49203.559594679835</v>
      </c>
      <c r="F286" s="561">
        <f t="shared" si="25"/>
        <v>4.9203559594679834E-2</v>
      </c>
      <c r="G286" s="444">
        <f t="shared" si="26"/>
        <v>11482.658964980934</v>
      </c>
      <c r="H286" s="462">
        <f t="shared" si="27"/>
        <v>1.1482658964980933E-2</v>
      </c>
    </row>
    <row r="287" spans="1:8">
      <c r="A287" s="113" t="s">
        <v>79</v>
      </c>
      <c r="B287" s="461">
        <f>C212</f>
        <v>75.142018303578496</v>
      </c>
      <c r="C287" s="119">
        <f t="shared" si="22"/>
        <v>10847.015473622558</v>
      </c>
      <c r="D287" s="468">
        <f t="shared" si="23"/>
        <v>46479.806977502449</v>
      </c>
      <c r="E287" s="331">
        <f t="shared" si="24"/>
        <v>6927.4371818042091</v>
      </c>
      <c r="F287" s="561">
        <f t="shared" si="25"/>
        <v>6.9274371818042087E-3</v>
      </c>
      <c r="G287" s="444">
        <f t="shared" si="26"/>
        <v>1616.6594310503349</v>
      </c>
      <c r="H287" s="462">
        <f t="shared" si="27"/>
        <v>1.6166594310503349E-3</v>
      </c>
    </row>
    <row r="288" spans="1:8">
      <c r="A288" s="113" t="s">
        <v>80</v>
      </c>
      <c r="B288" s="461">
        <f>C213</f>
        <v>119.75336034788128</v>
      </c>
      <c r="C288" s="119">
        <f t="shared" si="22"/>
        <v>10847.015473622558</v>
      </c>
      <c r="D288" s="468">
        <f t="shared" si="23"/>
        <v>46479.806977502449</v>
      </c>
      <c r="E288" s="331">
        <f t="shared" si="24"/>
        <v>11040.212917469682</v>
      </c>
      <c r="F288" s="561">
        <f t="shared" si="25"/>
        <v>1.1040212917469682E-2</v>
      </c>
      <c r="G288" s="444">
        <f t="shared" si="26"/>
        <v>2576.4599325002646</v>
      </c>
      <c r="H288" s="462">
        <f t="shared" si="27"/>
        <v>2.5764599325002646E-3</v>
      </c>
    </row>
    <row r="289" spans="1:8">
      <c r="A289" s="113" t="s">
        <v>81</v>
      </c>
      <c r="B289" s="461">
        <f>C214</f>
        <v>79.757761095277999</v>
      </c>
      <c r="C289" s="119">
        <f t="shared" si="22"/>
        <v>10847.015473622558</v>
      </c>
      <c r="D289" s="468">
        <f t="shared" si="23"/>
        <v>46479.806977502449</v>
      </c>
      <c r="E289" s="331">
        <f t="shared" si="24"/>
        <v>7352.9683154993645</v>
      </c>
      <c r="F289" s="561">
        <f t="shared" si="25"/>
        <v>7.3529683154993641E-3</v>
      </c>
      <c r="G289" s="444">
        <f t="shared" si="26"/>
        <v>1715.9658415509994</v>
      </c>
      <c r="H289" s="462">
        <f t="shared" si="27"/>
        <v>1.7159658415509993E-3</v>
      </c>
    </row>
    <row r="290" spans="1:8">
      <c r="A290" s="113" t="s">
        <v>82</v>
      </c>
      <c r="B290" s="461">
        <f>C215</f>
        <v>0.65365297004069856</v>
      </c>
      <c r="C290" s="119">
        <f t="shared" si="22"/>
        <v>10847.015473622558</v>
      </c>
      <c r="D290" s="468">
        <f t="shared" si="23"/>
        <v>46479.806977502449</v>
      </c>
      <c r="E290" s="331">
        <f t="shared" si="24"/>
        <v>60.261089479427035</v>
      </c>
      <c r="F290" s="561">
        <f t="shared" si="25"/>
        <v>6.0261089479427033E-5</v>
      </c>
      <c r="G290" s="444">
        <f t="shared" si="26"/>
        <v>14.063160166673782</v>
      </c>
      <c r="H290" s="462">
        <f t="shared" si="27"/>
        <v>1.4063160166673782E-5</v>
      </c>
    </row>
    <row r="291" spans="1:8">
      <c r="A291" s="113" t="s">
        <v>630</v>
      </c>
      <c r="B291" s="461">
        <f>C216</f>
        <v>857.80329997494164</v>
      </c>
      <c r="C291" s="119">
        <f t="shared" si="22"/>
        <v>10847.015473622558</v>
      </c>
      <c r="D291" s="468">
        <f t="shared" si="23"/>
        <v>46479.806977502449</v>
      </c>
      <c r="E291" s="331">
        <f t="shared" si="24"/>
        <v>79081.965178432874</v>
      </c>
      <c r="F291" s="561">
        <f t="shared" si="25"/>
        <v>7.908196517843287E-2</v>
      </c>
      <c r="G291" s="444">
        <f t="shared" si="26"/>
        <v>18455.397209161019</v>
      </c>
      <c r="H291" s="462">
        <f t="shared" si="27"/>
        <v>1.845539720916102E-2</v>
      </c>
    </row>
    <row r="292" spans="1:8">
      <c r="A292" s="113" t="s">
        <v>96</v>
      </c>
      <c r="B292" s="461">
        <f>C217</f>
        <v>2087.7551020408168</v>
      </c>
      <c r="C292" s="119">
        <f t="shared" si="22"/>
        <v>10847.015473622558</v>
      </c>
      <c r="D292" s="468">
        <f t="shared" si="23"/>
        <v>46479.806977502449</v>
      </c>
      <c r="E292" s="331">
        <f t="shared" si="24"/>
        <v>192472.76885681192</v>
      </c>
      <c r="F292" s="561">
        <f t="shared" si="25"/>
        <v>0.19247276885681192</v>
      </c>
      <c r="G292" s="444">
        <f t="shared" si="26"/>
        <v>44917.464976809169</v>
      </c>
      <c r="H292" s="462">
        <f t="shared" si="27"/>
        <v>4.4917464976809172E-2</v>
      </c>
    </row>
    <row r="293" spans="1:8">
      <c r="A293" s="113" t="s">
        <v>97</v>
      </c>
      <c r="B293" s="461">
        <f>C218</f>
        <v>2945.5584020157585</v>
      </c>
      <c r="C293" s="119">
        <f t="shared" si="22"/>
        <v>10847.015473622558</v>
      </c>
      <c r="D293" s="468">
        <f t="shared" si="23"/>
        <v>46479.806977502449</v>
      </c>
      <c r="E293" s="331">
        <f t="shared" si="24"/>
        <v>271554.73403524479</v>
      </c>
      <c r="F293" s="561">
        <f t="shared" si="25"/>
        <v>0.27155473403524477</v>
      </c>
      <c r="G293" s="444">
        <f t="shared" si="26"/>
        <v>63372.862185970196</v>
      </c>
      <c r="H293" s="462">
        <f t="shared" si="27"/>
        <v>6.33728621859702E-2</v>
      </c>
    </row>
    <row r="294" spans="1:8">
      <c r="A294" s="113" t="s">
        <v>84</v>
      </c>
      <c r="B294" s="461">
        <f>C219</f>
        <v>0.3429747131515315</v>
      </c>
      <c r="C294" s="119">
        <f t="shared" si="22"/>
        <v>10847.015473622558</v>
      </c>
      <c r="D294" s="468">
        <f t="shared" si="23"/>
        <v>46479.806977502449</v>
      </c>
      <c r="E294" s="331">
        <f t="shared" si="24"/>
        <v>31.619270202533311</v>
      </c>
      <c r="F294" s="561">
        <f t="shared" si="25"/>
        <v>3.1619270202533311E-5</v>
      </c>
      <c r="G294" s="444">
        <f t="shared" si="26"/>
        <v>7.3790046786885553</v>
      </c>
      <c r="H294" s="462">
        <f t="shared" si="27"/>
        <v>7.379004678688555E-6</v>
      </c>
    </row>
    <row r="295" spans="1:8">
      <c r="A295" s="113" t="s">
        <v>631</v>
      </c>
      <c r="B295" s="461">
        <f>C220</f>
        <v>0</v>
      </c>
      <c r="C295" s="119">
        <f t="shared" si="22"/>
        <v>10847.015473622558</v>
      </c>
      <c r="D295" s="468">
        <f t="shared" si="23"/>
        <v>46479.806977502449</v>
      </c>
      <c r="E295" s="331">
        <f t="shared" si="24"/>
        <v>0</v>
      </c>
      <c r="F295" s="561">
        <f t="shared" si="25"/>
        <v>0</v>
      </c>
      <c r="G295" s="444">
        <f t="shared" si="26"/>
        <v>0</v>
      </c>
      <c r="H295" s="462">
        <f t="shared" si="27"/>
        <v>0</v>
      </c>
    </row>
    <row r="296" spans="1:8">
      <c r="A296" s="113" t="s">
        <v>250</v>
      </c>
      <c r="B296" s="461">
        <f>C221</f>
        <v>0</v>
      </c>
      <c r="C296" s="119">
        <f t="shared" si="22"/>
        <v>10847.015473622558</v>
      </c>
      <c r="D296" s="468">
        <f t="shared" si="23"/>
        <v>46479.806977502449</v>
      </c>
      <c r="E296" s="331">
        <f t="shared" si="24"/>
        <v>0</v>
      </c>
      <c r="F296" s="561">
        <f t="shared" si="25"/>
        <v>0</v>
      </c>
      <c r="G296" s="444">
        <f t="shared" si="26"/>
        <v>0</v>
      </c>
      <c r="H296" s="462">
        <f t="shared" si="27"/>
        <v>0</v>
      </c>
    </row>
    <row r="297" spans="1:8">
      <c r="A297" s="113" t="s">
        <v>251</v>
      </c>
      <c r="B297" s="461">
        <f>C222</f>
        <v>0</v>
      </c>
      <c r="C297" s="119">
        <f t="shared" si="22"/>
        <v>10847.015473622558</v>
      </c>
      <c r="D297" s="468">
        <f t="shared" si="23"/>
        <v>46479.806977502449</v>
      </c>
      <c r="E297" s="331">
        <f t="shared" si="24"/>
        <v>0</v>
      </c>
      <c r="F297" s="561">
        <f t="shared" si="25"/>
        <v>0</v>
      </c>
      <c r="G297" s="444">
        <f t="shared" si="26"/>
        <v>0</v>
      </c>
      <c r="H297" s="462">
        <f t="shared" si="27"/>
        <v>0</v>
      </c>
    </row>
    <row r="298" spans="1:8">
      <c r="A298" s="394" t="s">
        <v>238</v>
      </c>
      <c r="B298" s="461">
        <f>C223</f>
        <v>0</v>
      </c>
      <c r="C298" s="119">
        <f t="shared" si="22"/>
        <v>10847.015473622558</v>
      </c>
      <c r="D298" s="468">
        <f t="shared" si="23"/>
        <v>46479.806977502449</v>
      </c>
      <c r="E298" s="331">
        <f t="shared" si="24"/>
        <v>0</v>
      </c>
      <c r="F298" s="561">
        <f t="shared" si="25"/>
        <v>0</v>
      </c>
      <c r="G298" s="444">
        <f t="shared" si="26"/>
        <v>0</v>
      </c>
      <c r="H298" s="462">
        <f t="shared" si="27"/>
        <v>0</v>
      </c>
    </row>
    <row r="299" spans="1:8">
      <c r="A299" s="394" t="s">
        <v>239</v>
      </c>
      <c r="B299" s="461">
        <f>C224</f>
        <v>0</v>
      </c>
      <c r="C299" s="119">
        <f t="shared" si="22"/>
        <v>10847.015473622558</v>
      </c>
      <c r="D299" s="468">
        <f t="shared" si="23"/>
        <v>46479.806977502449</v>
      </c>
      <c r="E299" s="331">
        <f t="shared" si="24"/>
        <v>0</v>
      </c>
      <c r="F299" s="561">
        <f t="shared" si="25"/>
        <v>0</v>
      </c>
      <c r="G299" s="444">
        <f t="shared" si="26"/>
        <v>0</v>
      </c>
      <c r="H299" s="462">
        <f t="shared" si="27"/>
        <v>0</v>
      </c>
    </row>
    <row r="300" spans="1:8">
      <c r="A300" s="394" t="s">
        <v>248</v>
      </c>
      <c r="B300" s="461">
        <f>C225</f>
        <v>0</v>
      </c>
      <c r="C300" s="119">
        <f t="shared" si="22"/>
        <v>10847.015473622558</v>
      </c>
      <c r="D300" s="468">
        <f t="shared" si="23"/>
        <v>46479.806977502449</v>
      </c>
      <c r="E300" s="331">
        <f>B300/C300*1000000</f>
        <v>0</v>
      </c>
      <c r="F300" s="561">
        <f>E300/1000000</f>
        <v>0</v>
      </c>
      <c r="G300" s="444">
        <f>B300/D300*1000000</f>
        <v>0</v>
      </c>
      <c r="H300" s="462">
        <f>G300/1000000</f>
        <v>0</v>
      </c>
    </row>
    <row r="301" spans="1:8" ht="14.65" thickBot="1">
      <c r="A301" s="114" t="s">
        <v>86</v>
      </c>
      <c r="B301" s="463">
        <f>C226</f>
        <v>12.364389620715265</v>
      </c>
      <c r="C301" s="135">
        <f t="shared" si="22"/>
        <v>10847.015473622558</v>
      </c>
      <c r="D301" s="469">
        <f t="shared" si="23"/>
        <v>46479.806977502449</v>
      </c>
      <c r="E301" s="466">
        <f t="shared" si="24"/>
        <v>1139.8886311891611</v>
      </c>
      <c r="F301" s="562">
        <f t="shared" si="25"/>
        <v>1.139888631189161E-3</v>
      </c>
      <c r="G301" s="445">
        <f t="shared" si="26"/>
        <v>266.0163719419055</v>
      </c>
      <c r="H301" s="464">
        <f t="shared" si="27"/>
        <v>2.6601637194190549E-4</v>
      </c>
    </row>
    <row r="302" spans="1:8">
      <c r="A302" s="145"/>
      <c r="B302" s="146"/>
      <c r="C302" s="96"/>
      <c r="D302" s="96"/>
      <c r="E302" s="96"/>
      <c r="F302" s="95"/>
    </row>
    <row r="303" spans="1:8" ht="14.65" thickBot="1">
      <c r="A303" s="79" t="s">
        <v>137</v>
      </c>
    </row>
    <row r="304" spans="1:8" ht="14.65" thickBot="1">
      <c r="A304" s="419"/>
      <c r="B304" s="1028" t="s">
        <v>262</v>
      </c>
      <c r="C304" s="1029"/>
      <c r="D304" s="1031"/>
      <c r="E304" s="1036" t="s">
        <v>263</v>
      </c>
      <c r="F304" s="1037"/>
      <c r="G304" s="1037"/>
      <c r="H304" s="1038"/>
    </row>
    <row r="305" spans="1:8">
      <c r="A305" s="92" t="s">
        <v>93</v>
      </c>
      <c r="B305" s="377" t="s">
        <v>256</v>
      </c>
      <c r="C305" s="491" t="s">
        <v>421</v>
      </c>
      <c r="D305" s="492" t="s">
        <v>284</v>
      </c>
      <c r="E305" s="1039" t="s">
        <v>269</v>
      </c>
      <c r="F305" s="1040"/>
      <c r="G305" s="1022" t="s">
        <v>242</v>
      </c>
      <c r="H305" s="1023"/>
    </row>
    <row r="306" spans="1:8" ht="14.65" thickBot="1">
      <c r="A306" s="93" t="s">
        <v>18</v>
      </c>
      <c r="B306" s="403" t="s">
        <v>35</v>
      </c>
      <c r="C306" s="154" t="s">
        <v>35</v>
      </c>
      <c r="D306" s="155" t="s">
        <v>35</v>
      </c>
      <c r="E306" s="153" t="s">
        <v>257</v>
      </c>
      <c r="F306" s="423" t="s">
        <v>237</v>
      </c>
      <c r="G306" s="403" t="s">
        <v>71</v>
      </c>
      <c r="H306" s="155" t="s">
        <v>237</v>
      </c>
    </row>
    <row r="307" spans="1:8">
      <c r="A307" s="711" t="s">
        <v>72</v>
      </c>
      <c r="B307" s="459">
        <f>D205</f>
        <v>163.165934236575</v>
      </c>
      <c r="C307" s="160">
        <f>$C$250</f>
        <v>11352.984526377442</v>
      </c>
      <c r="D307" s="440">
        <f>$C$248</f>
        <v>27728.193022497555</v>
      </c>
      <c r="E307" s="443">
        <f>B307/C307*1000000</f>
        <v>14372.074044272362</v>
      </c>
      <c r="F307" s="560">
        <f>E307/1000000</f>
        <v>1.4372074044272362E-2</v>
      </c>
      <c r="G307" s="443">
        <f>B307/D307*1000000</f>
        <v>5884.4777264854092</v>
      </c>
      <c r="H307" s="460">
        <f>G307/1000000</f>
        <v>5.8844777264854091E-3</v>
      </c>
    </row>
    <row r="308" spans="1:8">
      <c r="A308" s="112" t="s">
        <v>73</v>
      </c>
      <c r="B308" s="461">
        <f>D206</f>
        <v>6.8114059348923964E-2</v>
      </c>
      <c r="C308" s="119">
        <f t="shared" ref="C308:C328" si="28">$C$250</f>
        <v>11352.984526377442</v>
      </c>
      <c r="D308" s="441">
        <f t="shared" ref="D308:D328" si="29">$C$248</f>
        <v>27728.193022497555</v>
      </c>
      <c r="E308" s="444">
        <f t="shared" ref="E308:E328" si="30">B308/C308*1000000</f>
        <v>5.9996610750827895</v>
      </c>
      <c r="F308" s="561">
        <f t="shared" ref="F308:F328" si="31">E308/1000000</f>
        <v>5.9996610750827897E-6</v>
      </c>
      <c r="G308" s="444">
        <f t="shared" ref="G308:G328" si="32">B308/D308*1000000</f>
        <v>2.4564910989208317</v>
      </c>
      <c r="H308" s="462">
        <f t="shared" ref="H308:H328" si="33">G308/1000000</f>
        <v>2.4564910989208318E-6</v>
      </c>
    </row>
    <row r="309" spans="1:8">
      <c r="A309" s="112" t="s">
        <v>74</v>
      </c>
      <c r="B309" s="461">
        <f>D207</f>
        <v>1606.0831366077175</v>
      </c>
      <c r="C309" s="119">
        <f t="shared" si="28"/>
        <v>11352.984526377442</v>
      </c>
      <c r="D309" s="441">
        <f t="shared" si="29"/>
        <v>27728.193022497555</v>
      </c>
      <c r="E309" s="444">
        <f t="shared" si="30"/>
        <v>141467.92263093073</v>
      </c>
      <c r="F309" s="561">
        <f t="shared" si="31"/>
        <v>0.14146792263093072</v>
      </c>
      <c r="G309" s="444">
        <f t="shared" si="32"/>
        <v>57922.387344339586</v>
      </c>
      <c r="H309" s="462">
        <f t="shared" si="33"/>
        <v>5.7922387344339583E-2</v>
      </c>
    </row>
    <row r="310" spans="1:8">
      <c r="A310" s="112" t="s">
        <v>75</v>
      </c>
      <c r="B310" s="461">
        <f>D208</f>
        <v>3.1353533057201781E-2</v>
      </c>
      <c r="C310" s="119">
        <f t="shared" si="28"/>
        <v>11352.984526377442</v>
      </c>
      <c r="D310" s="441">
        <f t="shared" si="29"/>
        <v>27728.193022497555</v>
      </c>
      <c r="E310" s="444">
        <f t="shared" si="30"/>
        <v>2.7616996204262598</v>
      </c>
      <c r="F310" s="561">
        <f t="shared" si="31"/>
        <v>2.7616996204262597E-6</v>
      </c>
      <c r="G310" s="444">
        <f t="shared" si="32"/>
        <v>1.1307456288898006</v>
      </c>
      <c r="H310" s="462">
        <f t="shared" si="33"/>
        <v>1.1307456288898007E-6</v>
      </c>
    </row>
    <row r="311" spans="1:8">
      <c r="A311" s="112" t="s">
        <v>76</v>
      </c>
      <c r="B311" s="461">
        <f>D209</f>
        <v>0.97338117436880844</v>
      </c>
      <c r="C311" s="119">
        <f t="shared" si="28"/>
        <v>11352.984526377442</v>
      </c>
      <c r="D311" s="441">
        <f t="shared" si="29"/>
        <v>27728.193022497555</v>
      </c>
      <c r="E311" s="444">
        <f t="shared" si="30"/>
        <v>85.737910776436067</v>
      </c>
      <c r="F311" s="561">
        <f t="shared" si="31"/>
        <v>8.5737910776436063E-5</v>
      </c>
      <c r="G311" s="444">
        <f t="shared" si="32"/>
        <v>35.104385402216636</v>
      </c>
      <c r="H311" s="462">
        <f t="shared" si="33"/>
        <v>3.5104385402216639E-5</v>
      </c>
    </row>
    <row r="312" spans="1:8">
      <c r="A312" s="113" t="s">
        <v>77</v>
      </c>
      <c r="B312" s="461">
        <f>D210</f>
        <v>6.0329196512929757</v>
      </c>
      <c r="C312" s="119">
        <f t="shared" si="28"/>
        <v>11352.984526377442</v>
      </c>
      <c r="D312" s="441">
        <f t="shared" si="29"/>
        <v>27728.193022497555</v>
      </c>
      <c r="E312" s="444">
        <f t="shared" si="30"/>
        <v>531.39503865931761</v>
      </c>
      <c r="F312" s="561">
        <f t="shared" si="31"/>
        <v>5.3139503865931765E-4</v>
      </c>
      <c r="G312" s="444">
        <f t="shared" si="32"/>
        <v>217.57348725891023</v>
      </c>
      <c r="H312" s="462">
        <f t="shared" si="33"/>
        <v>2.1757348725891023E-4</v>
      </c>
    </row>
    <row r="313" spans="1:8">
      <c r="A313" s="113" t="s">
        <v>78</v>
      </c>
      <c r="B313" s="461">
        <f>D211</f>
        <v>517.21222771919815</v>
      </c>
      <c r="C313" s="119">
        <f t="shared" si="28"/>
        <v>11352.984526377442</v>
      </c>
      <c r="D313" s="441">
        <f t="shared" si="29"/>
        <v>27728.193022497555</v>
      </c>
      <c r="E313" s="444">
        <f t="shared" si="30"/>
        <v>45557.379781282267</v>
      </c>
      <c r="F313" s="561">
        <f t="shared" si="31"/>
        <v>4.555737978128227E-2</v>
      </c>
      <c r="G313" s="444">
        <f t="shared" si="32"/>
        <v>18652.9366446473</v>
      </c>
      <c r="H313" s="462">
        <f t="shared" si="33"/>
        <v>1.8652936644647299E-2</v>
      </c>
    </row>
    <row r="314" spans="1:8">
      <c r="A314" s="113" t="s">
        <v>79</v>
      </c>
      <c r="B314" s="461">
        <f>D212</f>
        <v>23.617981696421509</v>
      </c>
      <c r="C314" s="119">
        <f t="shared" si="28"/>
        <v>11352.984526377442</v>
      </c>
      <c r="D314" s="441">
        <f t="shared" si="29"/>
        <v>27728.193022497555</v>
      </c>
      <c r="E314" s="444">
        <f t="shared" si="30"/>
        <v>2080.3324131683316</v>
      </c>
      <c r="F314" s="561">
        <f t="shared" si="31"/>
        <v>2.0803324131683319E-3</v>
      </c>
      <c r="G314" s="444">
        <f t="shared" si="32"/>
        <v>851.76779017871138</v>
      </c>
      <c r="H314" s="462">
        <f t="shared" si="33"/>
        <v>8.5176779017871133E-4</v>
      </c>
    </row>
    <row r="315" spans="1:8">
      <c r="A315" s="113" t="s">
        <v>80</v>
      </c>
      <c r="B315" s="461">
        <f>D213</f>
        <v>35.046639652118721</v>
      </c>
      <c r="C315" s="119">
        <f t="shared" si="28"/>
        <v>11352.984526377442</v>
      </c>
      <c r="D315" s="441">
        <f t="shared" si="29"/>
        <v>27728.193022497555</v>
      </c>
      <c r="E315" s="444">
        <f t="shared" si="30"/>
        <v>3086.9979229419023</v>
      </c>
      <c r="F315" s="561">
        <f t="shared" si="31"/>
        <v>3.0869979229419023E-3</v>
      </c>
      <c r="G315" s="444">
        <f t="shared" si="32"/>
        <v>1263.9352165387506</v>
      </c>
      <c r="H315" s="462">
        <f t="shared" si="33"/>
        <v>1.2639352165387506E-3</v>
      </c>
    </row>
    <row r="316" spans="1:8">
      <c r="A316" s="113" t="s">
        <v>81</v>
      </c>
      <c r="B316" s="461">
        <f>D214</f>
        <v>17.442238904721997</v>
      </c>
      <c r="C316" s="119">
        <f t="shared" si="28"/>
        <v>11352.984526377442</v>
      </c>
      <c r="D316" s="441">
        <f t="shared" si="29"/>
        <v>27728.193022497555</v>
      </c>
      <c r="E316" s="444">
        <f t="shared" si="30"/>
        <v>1536.3571459290572</v>
      </c>
      <c r="F316" s="561">
        <f t="shared" si="31"/>
        <v>1.5363571459290572E-3</v>
      </c>
      <c r="G316" s="444">
        <f t="shared" si="32"/>
        <v>629.04347537432591</v>
      </c>
      <c r="H316" s="462">
        <f t="shared" si="33"/>
        <v>6.2904347537432587E-4</v>
      </c>
    </row>
    <row r="317" spans="1:8">
      <c r="A317" s="113" t="s">
        <v>82</v>
      </c>
      <c r="B317" s="461">
        <f>D215</f>
        <v>0.84634702995930144</v>
      </c>
      <c r="C317" s="119">
        <f t="shared" si="28"/>
        <v>11352.984526377442</v>
      </c>
      <c r="D317" s="441">
        <f t="shared" si="29"/>
        <v>27728.193022497555</v>
      </c>
      <c r="E317" s="444">
        <f t="shared" si="30"/>
        <v>74.54841746616539</v>
      </c>
      <c r="F317" s="561">
        <f t="shared" si="31"/>
        <v>7.4548417466165388E-5</v>
      </c>
      <c r="G317" s="444">
        <f t="shared" si="32"/>
        <v>30.522978157019072</v>
      </c>
      <c r="H317" s="462">
        <f t="shared" si="33"/>
        <v>3.052297815701907E-5</v>
      </c>
    </row>
    <row r="318" spans="1:8">
      <c r="A318" s="113" t="s">
        <v>630</v>
      </c>
      <c r="B318" s="461">
        <f>D216</f>
        <v>121.61270002505847</v>
      </c>
      <c r="C318" s="119">
        <f t="shared" si="28"/>
        <v>11352.984526377442</v>
      </c>
      <c r="D318" s="441">
        <f t="shared" si="29"/>
        <v>27728.193022497555</v>
      </c>
      <c r="E318" s="444">
        <f t="shared" si="30"/>
        <v>10711.958581684348</v>
      </c>
      <c r="F318" s="561">
        <f t="shared" si="31"/>
        <v>1.0711958581684349E-2</v>
      </c>
      <c r="G318" s="444">
        <f t="shared" si="32"/>
        <v>4385.8862323407357</v>
      </c>
      <c r="H318" s="462">
        <f t="shared" si="33"/>
        <v>4.3858862323407355E-3</v>
      </c>
    </row>
    <row r="319" spans="1:8">
      <c r="A319" s="113" t="s">
        <v>96</v>
      </c>
      <c r="B319" s="461">
        <f>D217</f>
        <v>0</v>
      </c>
      <c r="C319" s="119">
        <f t="shared" si="28"/>
        <v>11352.984526377442</v>
      </c>
      <c r="D319" s="441">
        <f t="shared" si="29"/>
        <v>27728.193022497555</v>
      </c>
      <c r="E319" s="444">
        <f t="shared" si="30"/>
        <v>0</v>
      </c>
      <c r="F319" s="561">
        <f t="shared" si="31"/>
        <v>0</v>
      </c>
      <c r="G319" s="444">
        <f t="shared" si="32"/>
        <v>0</v>
      </c>
      <c r="H319" s="462">
        <f t="shared" si="33"/>
        <v>0</v>
      </c>
    </row>
    <row r="320" spans="1:8">
      <c r="A320" s="113" t="s">
        <v>97</v>
      </c>
      <c r="B320" s="461">
        <f>D218</f>
        <v>121.61270002505847</v>
      </c>
      <c r="C320" s="119">
        <f t="shared" si="28"/>
        <v>11352.984526377442</v>
      </c>
      <c r="D320" s="441">
        <f t="shared" si="29"/>
        <v>27728.193022497555</v>
      </c>
      <c r="E320" s="444">
        <f t="shared" si="30"/>
        <v>10711.958581684348</v>
      </c>
      <c r="F320" s="561">
        <f t="shared" si="31"/>
        <v>1.0711958581684349E-2</v>
      </c>
      <c r="G320" s="444">
        <f t="shared" si="32"/>
        <v>4385.8862323407357</v>
      </c>
      <c r="H320" s="462">
        <f t="shared" si="33"/>
        <v>4.3858862323407355E-3</v>
      </c>
    </row>
    <row r="321" spans="1:8">
      <c r="A321" s="113" t="s">
        <v>84</v>
      </c>
      <c r="B321" s="461">
        <f>D219</f>
        <v>1.1450252868484685</v>
      </c>
      <c r="C321" s="119">
        <f t="shared" si="28"/>
        <v>11352.984526377442</v>
      </c>
      <c r="D321" s="441">
        <f t="shared" si="29"/>
        <v>27728.193022497555</v>
      </c>
      <c r="E321" s="444">
        <f t="shared" si="30"/>
        <v>100.85676450876198</v>
      </c>
      <c r="F321" s="561">
        <f t="shared" si="31"/>
        <v>1.0085676450876199E-4</v>
      </c>
      <c r="G321" s="444">
        <f t="shared" si="32"/>
        <v>41.294623343087679</v>
      </c>
      <c r="H321" s="462">
        <f t="shared" si="33"/>
        <v>4.1294623343087679E-5</v>
      </c>
    </row>
    <row r="322" spans="1:8">
      <c r="A322" s="113" t="s">
        <v>631</v>
      </c>
      <c r="B322" s="461">
        <f>D220</f>
        <v>226.8</v>
      </c>
      <c r="C322" s="119">
        <f t="shared" si="28"/>
        <v>11352.984526377442</v>
      </c>
      <c r="D322" s="441">
        <f t="shared" si="29"/>
        <v>27728.193022497555</v>
      </c>
      <c r="E322" s="444">
        <f t="shared" si="30"/>
        <v>19977.125792169849</v>
      </c>
      <c r="F322" s="561">
        <f t="shared" si="31"/>
        <v>1.9977125792169849E-2</v>
      </c>
      <c r="G322" s="444">
        <f t="shared" si="32"/>
        <v>8179.4006488624582</v>
      </c>
      <c r="H322" s="462">
        <f t="shared" si="33"/>
        <v>8.1794006488624584E-3</v>
      </c>
    </row>
    <row r="323" spans="1:8">
      <c r="A323" s="113" t="s">
        <v>250</v>
      </c>
      <c r="B323" s="461">
        <f>D221</f>
        <v>1175.5102040816328</v>
      </c>
      <c r="C323" s="119">
        <f t="shared" si="28"/>
        <v>11352.984526377442</v>
      </c>
      <c r="D323" s="441">
        <f t="shared" si="29"/>
        <v>27728.193022497555</v>
      </c>
      <c r="E323" s="444">
        <f t="shared" si="30"/>
        <v>103541.95421921529</v>
      </c>
      <c r="F323" s="561">
        <f t="shared" si="31"/>
        <v>0.10354195421921529</v>
      </c>
      <c r="G323" s="444">
        <f t="shared" si="32"/>
        <v>42394.042883640868</v>
      </c>
      <c r="H323" s="462">
        <f t="shared" si="33"/>
        <v>4.2394042883640869E-2</v>
      </c>
    </row>
    <row r="324" spans="1:8">
      <c r="A324" s="113" t="s">
        <v>251</v>
      </c>
      <c r="B324" s="461">
        <f>D222</f>
        <v>1402.3102040816327</v>
      </c>
      <c r="C324" s="119">
        <f t="shared" si="28"/>
        <v>11352.984526377442</v>
      </c>
      <c r="D324" s="441">
        <f t="shared" si="29"/>
        <v>27728.193022497555</v>
      </c>
      <c r="E324" s="444">
        <f t="shared" si="30"/>
        <v>123519.08001138514</v>
      </c>
      <c r="F324" s="561">
        <f t="shared" si="31"/>
        <v>0.12351908001138515</v>
      </c>
      <c r="G324" s="444">
        <f t="shared" si="32"/>
        <v>50573.443532503319</v>
      </c>
      <c r="H324" s="462">
        <f t="shared" si="33"/>
        <v>5.0573443532503322E-2</v>
      </c>
    </row>
    <row r="325" spans="1:8">
      <c r="A325" s="394" t="s">
        <v>238</v>
      </c>
      <c r="B325" s="461">
        <f>D223</f>
        <v>4206.9306122448979</v>
      </c>
      <c r="C325" s="119">
        <f t="shared" si="28"/>
        <v>11352.984526377442</v>
      </c>
      <c r="D325" s="441">
        <f t="shared" si="29"/>
        <v>27728.193022497555</v>
      </c>
      <c r="E325" s="444">
        <f t="shared" si="30"/>
        <v>370557.24003415543</v>
      </c>
      <c r="F325" s="561">
        <f t="shared" si="31"/>
        <v>0.37055724003415541</v>
      </c>
      <c r="G325" s="444">
        <f t="shared" si="32"/>
        <v>151720.33059750998</v>
      </c>
      <c r="H325" s="462">
        <f t="shared" si="33"/>
        <v>0.15172033059750997</v>
      </c>
    </row>
    <row r="326" spans="1:8">
      <c r="A326" s="394" t="s">
        <v>239</v>
      </c>
      <c r="B326" s="461">
        <f>D224</f>
        <v>5959.8183673469393</v>
      </c>
      <c r="C326" s="119">
        <f t="shared" si="28"/>
        <v>11352.984526377442</v>
      </c>
      <c r="D326" s="441">
        <f t="shared" si="29"/>
        <v>27728.193022497555</v>
      </c>
      <c r="E326" s="444">
        <f t="shared" si="30"/>
        <v>524956.09004838683</v>
      </c>
      <c r="F326" s="561">
        <f t="shared" si="31"/>
        <v>0.52495609004838684</v>
      </c>
      <c r="G326" s="444">
        <f t="shared" si="32"/>
        <v>214937.13501313914</v>
      </c>
      <c r="H326" s="462">
        <f t="shared" si="33"/>
        <v>0.21493713501313913</v>
      </c>
    </row>
    <row r="327" spans="1:8">
      <c r="A327" s="394" t="s">
        <v>248</v>
      </c>
      <c r="B327" s="461">
        <f>D225</f>
        <v>0</v>
      </c>
      <c r="C327" s="119">
        <f t="shared" si="28"/>
        <v>11352.984526377442</v>
      </c>
      <c r="D327" s="441">
        <f t="shared" si="29"/>
        <v>27728.193022497555</v>
      </c>
      <c r="E327" s="444">
        <f>B327/C327*1000000</f>
        <v>0</v>
      </c>
      <c r="F327" s="561">
        <f>E327/1000000</f>
        <v>0</v>
      </c>
      <c r="G327" s="444">
        <f>B327/D327*1000000</f>
        <v>0</v>
      </c>
      <c r="H327" s="462">
        <f>G327/1000000</f>
        <v>0</v>
      </c>
    </row>
    <row r="328" spans="1:8" ht="14.65" thickBot="1">
      <c r="A328" s="114" t="s">
        <v>86</v>
      </c>
      <c r="B328" s="463">
        <f>D226</f>
        <v>15.871610379284736</v>
      </c>
      <c r="C328" s="135">
        <f t="shared" si="28"/>
        <v>11352.984526377442</v>
      </c>
      <c r="D328" s="442">
        <f t="shared" si="29"/>
        <v>27728.193022497555</v>
      </c>
      <c r="E328" s="445">
        <f t="shared" si="30"/>
        <v>1398.0121563989408</v>
      </c>
      <c r="F328" s="562">
        <f t="shared" si="31"/>
        <v>1.3980121563989408E-3</v>
      </c>
      <c r="G328" s="445">
        <f t="shared" si="32"/>
        <v>572.39973648506918</v>
      </c>
      <c r="H328" s="464">
        <f t="shared" si="33"/>
        <v>5.7239973648506913E-4</v>
      </c>
    </row>
    <row r="329" spans="1:8">
      <c r="D329" s="96"/>
    </row>
    <row r="330" spans="1:8">
      <c r="A330" s="1" t="s">
        <v>138</v>
      </c>
      <c r="B330" s="1"/>
      <c r="C330" s="1"/>
      <c r="D330" s="1"/>
    </row>
    <row r="331" spans="1:8" ht="14.65" thickBot="1">
      <c r="A331" s="79" t="s">
        <v>358</v>
      </c>
      <c r="B331" s="79"/>
      <c r="C331" s="79"/>
    </row>
    <row r="332" spans="1:8">
      <c r="A332" s="2"/>
      <c r="B332" s="323" t="s">
        <v>614</v>
      </c>
      <c r="C332" s="324" t="s">
        <v>615</v>
      </c>
      <c r="D332" s="369" t="s">
        <v>616</v>
      </c>
    </row>
    <row r="333" spans="1:8" ht="14.65" thickBot="1">
      <c r="A333" s="5"/>
      <c r="B333" s="215" t="s">
        <v>35</v>
      </c>
      <c r="C333" s="483" t="s">
        <v>35</v>
      </c>
      <c r="D333" s="319" t="s">
        <v>35</v>
      </c>
    </row>
    <row r="334" spans="1:8" ht="14.65" thickBot="1">
      <c r="A334" s="9" t="s">
        <v>347</v>
      </c>
      <c r="B334" s="250">
        <f>B9</f>
        <v>17500</v>
      </c>
      <c r="C334" s="729">
        <f>C9</f>
        <v>7000</v>
      </c>
      <c r="D334" s="627">
        <f>B334+C334</f>
        <v>24500</v>
      </c>
    </row>
    <row r="336" spans="1:8" ht="14.65" thickBot="1">
      <c r="A336" s="120" t="s">
        <v>641</v>
      </c>
      <c r="B336" s="79"/>
      <c r="C336" s="79"/>
    </row>
    <row r="337" spans="1:6" ht="14.65" thickBot="1">
      <c r="A337" s="519"/>
      <c r="B337" s="1055" t="s">
        <v>263</v>
      </c>
      <c r="C337" s="1056"/>
      <c r="D337" s="1021" t="s">
        <v>262</v>
      </c>
      <c r="E337" s="1021"/>
      <c r="F337" s="1020"/>
    </row>
    <row r="338" spans="1:6">
      <c r="A338" s="115"/>
      <c r="B338" s="488" t="s">
        <v>614</v>
      </c>
      <c r="C338" s="489" t="s">
        <v>615</v>
      </c>
      <c r="D338" s="377" t="s">
        <v>614</v>
      </c>
      <c r="E338" s="490" t="s">
        <v>617</v>
      </c>
      <c r="F338" s="338" t="s">
        <v>616</v>
      </c>
    </row>
    <row r="339" spans="1:6" ht="14.65" thickBot="1">
      <c r="A339" s="133" t="s">
        <v>18</v>
      </c>
      <c r="B339" s="6" t="s">
        <v>70</v>
      </c>
      <c r="C339" s="24" t="s">
        <v>71</v>
      </c>
      <c r="D339" s="6" t="s">
        <v>35</v>
      </c>
      <c r="E339" s="422" t="s">
        <v>35</v>
      </c>
      <c r="F339" s="73" t="s">
        <v>35</v>
      </c>
    </row>
    <row r="340" spans="1:6">
      <c r="A340" s="231" t="s">
        <v>72</v>
      </c>
      <c r="B340" s="262">
        <v>47700</v>
      </c>
      <c r="C340" s="407">
        <v>101832</v>
      </c>
      <c r="D340" s="227">
        <f>$B$334*B340/1000000</f>
        <v>834.75</v>
      </c>
      <c r="E340" s="726">
        <f>$C$334*C340/1000000</f>
        <v>712.82399999999996</v>
      </c>
      <c r="F340" s="472">
        <f>D340+E340</f>
        <v>1547.5740000000001</v>
      </c>
    </row>
    <row r="341" spans="1:6">
      <c r="A341" s="232" t="s">
        <v>73</v>
      </c>
      <c r="B341" s="356">
        <v>31</v>
      </c>
      <c r="C341" s="408">
        <v>10</v>
      </c>
      <c r="D341" s="228">
        <f t="shared" ref="D341:D354" si="34">$B$334*B341/1000000</f>
        <v>0.54249999999999998</v>
      </c>
      <c r="E341" s="136">
        <f t="shared" ref="E341:E354" si="35">$C$334*C341/1000000</f>
        <v>7.0000000000000007E-2</v>
      </c>
      <c r="F341" s="473">
        <f t="shared" ref="F341:F354" si="36">D341+E341</f>
        <v>0.61250000000000004</v>
      </c>
    </row>
    <row r="342" spans="1:6">
      <c r="A342" s="232" t="s">
        <v>74</v>
      </c>
      <c r="B342" s="356">
        <v>85425</v>
      </c>
      <c r="C342" s="408">
        <v>111453.2</v>
      </c>
      <c r="D342" s="228">
        <f t="shared" si="34"/>
        <v>1494.9375</v>
      </c>
      <c r="E342" s="136">
        <f t="shared" si="35"/>
        <v>780.17240000000004</v>
      </c>
      <c r="F342" s="473">
        <f t="shared" si="36"/>
        <v>2275.1098999999999</v>
      </c>
    </row>
    <row r="343" spans="1:6">
      <c r="A343" s="232" t="s">
        <v>75</v>
      </c>
      <c r="B343" s="356">
        <v>2.2000000000000002</v>
      </c>
      <c r="C343" s="408">
        <v>2</v>
      </c>
      <c r="D343" s="228">
        <f t="shared" si="34"/>
        <v>3.85E-2</v>
      </c>
      <c r="E343" s="136">
        <f t="shared" si="35"/>
        <v>1.4E-2</v>
      </c>
      <c r="F343" s="473">
        <f t="shared" si="36"/>
        <v>5.2499999999999998E-2</v>
      </c>
    </row>
    <row r="344" spans="1:6">
      <c r="A344" s="232" t="s">
        <v>76</v>
      </c>
      <c r="B344" s="356">
        <v>91</v>
      </c>
      <c r="C344" s="408">
        <v>53.9</v>
      </c>
      <c r="D344" s="228">
        <f t="shared" si="34"/>
        <v>1.5925</v>
      </c>
      <c r="E344" s="136">
        <f t="shared" si="35"/>
        <v>0.37730000000000002</v>
      </c>
      <c r="F344" s="473">
        <f t="shared" si="36"/>
        <v>1.9698</v>
      </c>
    </row>
    <row r="345" spans="1:6">
      <c r="A345" s="232" t="s">
        <v>77</v>
      </c>
      <c r="B345" s="356">
        <v>663</v>
      </c>
      <c r="C345" s="408">
        <v>1099</v>
      </c>
      <c r="D345" s="228">
        <f t="shared" si="34"/>
        <v>11.602499999999999</v>
      </c>
      <c r="E345" s="136">
        <f t="shared" si="35"/>
        <v>7.6929999999999996</v>
      </c>
      <c r="F345" s="473">
        <f t="shared" si="36"/>
        <v>19.295499999999997</v>
      </c>
    </row>
    <row r="346" spans="1:6">
      <c r="A346" s="232" t="s">
        <v>78</v>
      </c>
      <c r="B346" s="356">
        <v>109000</v>
      </c>
      <c r="C346" s="408">
        <v>24315</v>
      </c>
      <c r="D346" s="228">
        <f t="shared" si="34"/>
        <v>1907.5</v>
      </c>
      <c r="E346" s="136">
        <f t="shared" si="35"/>
        <v>170.20500000000001</v>
      </c>
      <c r="F346" s="473">
        <f t="shared" si="36"/>
        <v>2077.7049999999999</v>
      </c>
    </row>
    <row r="347" spans="1:6">
      <c r="A347" s="232" t="s">
        <v>79</v>
      </c>
      <c r="B347" s="356">
        <v>9375</v>
      </c>
      <c r="C347" s="408">
        <v>9848.1</v>
      </c>
      <c r="D347" s="228">
        <f t="shared" si="34"/>
        <v>164.0625</v>
      </c>
      <c r="E347" s="136">
        <f t="shared" si="35"/>
        <v>68.936700000000002</v>
      </c>
      <c r="F347" s="473">
        <f t="shared" si="36"/>
        <v>232.9992</v>
      </c>
    </row>
    <row r="348" spans="1:6">
      <c r="A348" s="232" t="s">
        <v>80</v>
      </c>
      <c r="B348" s="356">
        <v>12191.833333333334</v>
      </c>
      <c r="C348" s="408">
        <v>12706.1</v>
      </c>
      <c r="D348" s="228">
        <f t="shared" si="34"/>
        <v>213.35708333333335</v>
      </c>
      <c r="E348" s="136">
        <f t="shared" si="35"/>
        <v>88.942700000000002</v>
      </c>
      <c r="F348" s="473">
        <f t="shared" si="36"/>
        <v>302.29978333333338</v>
      </c>
    </row>
    <row r="349" spans="1:6">
      <c r="A349" s="232" t="s">
        <v>81</v>
      </c>
      <c r="B349" s="356">
        <v>2530</v>
      </c>
      <c r="C349" s="408">
        <v>3346.1</v>
      </c>
      <c r="D349" s="228">
        <f t="shared" si="34"/>
        <v>44.274999999999999</v>
      </c>
      <c r="E349" s="136">
        <f t="shared" si="35"/>
        <v>23.422699999999999</v>
      </c>
      <c r="F349" s="473">
        <f t="shared" si="36"/>
        <v>67.697699999999998</v>
      </c>
    </row>
    <row r="350" spans="1:6">
      <c r="A350" s="232" t="s">
        <v>82</v>
      </c>
      <c r="B350" s="356">
        <v>64.5</v>
      </c>
      <c r="C350" s="408">
        <v>47.6</v>
      </c>
      <c r="D350" s="228">
        <f t="shared" si="34"/>
        <v>1.1287499999999999</v>
      </c>
      <c r="E350" s="136">
        <f t="shared" si="35"/>
        <v>0.3332</v>
      </c>
      <c r="F350" s="473">
        <f t="shared" si="36"/>
        <v>1.4619499999999999</v>
      </c>
    </row>
    <row r="351" spans="1:6">
      <c r="A351" s="232" t="s">
        <v>83</v>
      </c>
      <c r="B351" s="356">
        <v>70700</v>
      </c>
      <c r="C351" s="408">
        <v>84567</v>
      </c>
      <c r="D351" s="228">
        <f t="shared" si="34"/>
        <v>1237.25</v>
      </c>
      <c r="E351" s="136">
        <f t="shared" si="35"/>
        <v>591.96900000000005</v>
      </c>
      <c r="F351" s="473">
        <f t="shared" si="36"/>
        <v>1829.2190000000001</v>
      </c>
    </row>
    <row r="352" spans="1:6">
      <c r="A352" s="232" t="s">
        <v>84</v>
      </c>
      <c r="B352" s="356">
        <v>117</v>
      </c>
      <c r="C352" s="408">
        <v>80.2</v>
      </c>
      <c r="D352" s="228">
        <f t="shared" si="34"/>
        <v>2.0474999999999999</v>
      </c>
      <c r="E352" s="136">
        <f t="shared" si="35"/>
        <v>0.56140000000000001</v>
      </c>
      <c r="F352" s="473">
        <f t="shared" si="36"/>
        <v>2.6088999999999998</v>
      </c>
    </row>
    <row r="353" spans="1:7">
      <c r="A353" s="232" t="s">
        <v>85</v>
      </c>
      <c r="B353" s="356">
        <v>5857.8888888888887</v>
      </c>
      <c r="C353" s="408">
        <v>3113.7</v>
      </c>
      <c r="D353" s="228">
        <f t="shared" si="34"/>
        <v>102.51305555555555</v>
      </c>
      <c r="E353" s="136">
        <f t="shared" si="35"/>
        <v>21.7959</v>
      </c>
      <c r="F353" s="473">
        <f t="shared" si="36"/>
        <v>124.30895555555556</v>
      </c>
    </row>
    <row r="354" spans="1:7" ht="14.65" thickBot="1">
      <c r="A354" s="233" t="s">
        <v>86</v>
      </c>
      <c r="B354" s="358">
        <v>2260</v>
      </c>
      <c r="C354" s="409">
        <v>1989</v>
      </c>
      <c r="D354" s="727">
        <f t="shared" si="34"/>
        <v>39.549999999999997</v>
      </c>
      <c r="E354" s="728">
        <f t="shared" si="35"/>
        <v>13.923</v>
      </c>
      <c r="F354" s="474">
        <f t="shared" si="36"/>
        <v>53.472999999999999</v>
      </c>
    </row>
    <row r="356" spans="1:7" ht="14.65" thickBot="1">
      <c r="A356" s="79" t="s">
        <v>645</v>
      </c>
    </row>
    <row r="357" spans="1:7" ht="14.65" thickBot="1">
      <c r="A357" s="419"/>
      <c r="B357" s="1019" t="s">
        <v>262</v>
      </c>
      <c r="C357" s="1021"/>
      <c r="D357" s="1021"/>
      <c r="E357" s="1021"/>
      <c r="F357" s="1019" t="s">
        <v>263</v>
      </c>
      <c r="G357" s="1020"/>
    </row>
    <row r="358" spans="1:7">
      <c r="A358" s="92" t="s">
        <v>93</v>
      </c>
      <c r="B358" s="266" t="s">
        <v>136</v>
      </c>
      <c r="C358" s="274" t="s">
        <v>618</v>
      </c>
      <c r="D358" s="274" t="s">
        <v>142</v>
      </c>
      <c r="E358" s="324" t="s">
        <v>619</v>
      </c>
      <c r="F358" s="1022" t="s">
        <v>459</v>
      </c>
      <c r="G358" s="1023"/>
    </row>
    <row r="359" spans="1:7" ht="14.65" thickBot="1">
      <c r="A359" s="93" t="s">
        <v>297</v>
      </c>
      <c r="B359" s="153" t="s">
        <v>35</v>
      </c>
      <c r="C359" s="154" t="s">
        <v>35</v>
      </c>
      <c r="D359" s="154" t="s">
        <v>35</v>
      </c>
      <c r="E359" s="423" t="s">
        <v>35</v>
      </c>
      <c r="F359" s="403" t="s">
        <v>257</v>
      </c>
      <c r="G359" s="155" t="s">
        <v>237</v>
      </c>
    </row>
    <row r="360" spans="1:7">
      <c r="A360" s="148" t="s">
        <v>72</v>
      </c>
      <c r="B360" s="540">
        <f>B280</f>
        <v>304.85806576342497</v>
      </c>
      <c r="C360" s="428">
        <f>F340</f>
        <v>1547.5740000000001</v>
      </c>
      <c r="D360" s="428">
        <f>B360+C360</f>
        <v>1852.432065763425</v>
      </c>
      <c r="E360" s="382">
        <f>$C$263+$D$334</f>
        <v>35347.01547362256</v>
      </c>
      <c r="F360" s="557">
        <f>D360/E360*1000000</f>
        <v>52407.029021892624</v>
      </c>
      <c r="G360" s="460">
        <f>F360/1000000</f>
        <v>5.240702902189262E-2</v>
      </c>
    </row>
    <row r="361" spans="1:7">
      <c r="A361" s="149" t="s">
        <v>73</v>
      </c>
      <c r="B361" s="541">
        <f>B281</f>
        <v>0.27508594065107606</v>
      </c>
      <c r="C361" s="235">
        <f>F341</f>
        <v>0.61250000000000004</v>
      </c>
      <c r="D361" s="235">
        <f t="shared" ref="D361:D376" si="37">B361+C361</f>
        <v>0.8875859406510761</v>
      </c>
      <c r="E361" s="82">
        <f>$C$263+$D$334</f>
        <v>35347.01547362256</v>
      </c>
      <c r="F361" s="558">
        <f t="shared" ref="F361:F376" si="38">D361/E361*1000000</f>
        <v>25.110633210700076</v>
      </c>
      <c r="G361" s="462">
        <f t="shared" ref="G361:G376" si="39">F361/1000000</f>
        <v>2.5110633210700076E-5</v>
      </c>
    </row>
    <row r="362" spans="1:7">
      <c r="A362" s="232" t="s">
        <v>74</v>
      </c>
      <c r="B362" s="541">
        <f t="shared" ref="B362:B375" si="40">B282</f>
        <v>301.91686339228249</v>
      </c>
      <c r="C362" s="235">
        <f t="shared" ref="C362:C370" si="41">F342</f>
        <v>2275.1098999999999</v>
      </c>
      <c r="D362" s="235">
        <f t="shared" si="37"/>
        <v>2577.0267633922822</v>
      </c>
      <c r="E362" s="82">
        <f t="shared" ref="E362:E375" si="42">$C$263+$D$334</f>
        <v>35347.01547362256</v>
      </c>
      <c r="F362" s="558">
        <f t="shared" si="38"/>
        <v>72906.488111149549</v>
      </c>
      <c r="G362" s="462">
        <f t="shared" si="39"/>
        <v>7.2906488111149553E-2</v>
      </c>
    </row>
    <row r="363" spans="1:7">
      <c r="A363" s="232" t="s">
        <v>75</v>
      </c>
      <c r="B363" s="541">
        <f t="shared" si="40"/>
        <v>1.0646466942798222E-2</v>
      </c>
      <c r="C363" s="235">
        <f t="shared" si="41"/>
        <v>5.2499999999999998E-2</v>
      </c>
      <c r="D363" s="235">
        <f t="shared" si="37"/>
        <v>6.3146466942798213E-2</v>
      </c>
      <c r="E363" s="82">
        <f t="shared" si="42"/>
        <v>35347.01547362256</v>
      </c>
      <c r="F363" s="558">
        <f t="shared" si="38"/>
        <v>1.7864723823690514</v>
      </c>
      <c r="G363" s="462">
        <f t="shared" si="39"/>
        <v>1.7864723823690513E-6</v>
      </c>
    </row>
    <row r="364" spans="1:7">
      <c r="A364" s="232" t="s">
        <v>76</v>
      </c>
      <c r="B364" s="541">
        <f t="shared" si="40"/>
        <v>0.65861882563119145</v>
      </c>
      <c r="C364" s="235">
        <f t="shared" si="41"/>
        <v>1.9698</v>
      </c>
      <c r="D364" s="235">
        <f t="shared" si="37"/>
        <v>2.6284188256311913</v>
      </c>
      <c r="E364" s="82">
        <f t="shared" si="42"/>
        <v>35347.01547362256</v>
      </c>
      <c r="F364" s="558">
        <f t="shared" si="38"/>
        <v>74.360417433053968</v>
      </c>
      <c r="G364" s="462">
        <f t="shared" si="39"/>
        <v>7.436041743305397E-5</v>
      </c>
    </row>
    <row r="365" spans="1:7">
      <c r="A365" s="150" t="s">
        <v>77</v>
      </c>
      <c r="B365" s="541">
        <f t="shared" si="40"/>
        <v>1.8390803487070242</v>
      </c>
      <c r="C365" s="235">
        <f t="shared" si="41"/>
        <v>19.295499999999997</v>
      </c>
      <c r="D365" s="235">
        <f t="shared" si="37"/>
        <v>21.134580348707022</v>
      </c>
      <c r="E365" s="82">
        <f t="shared" si="42"/>
        <v>35347.01547362256</v>
      </c>
      <c r="F365" s="558">
        <f t="shared" si="38"/>
        <v>597.91696881674613</v>
      </c>
      <c r="G365" s="462">
        <f t="shared" si="39"/>
        <v>5.9791696881674611E-4</v>
      </c>
    </row>
    <row r="366" spans="1:7">
      <c r="A366" s="150" t="s">
        <v>78</v>
      </c>
      <c r="B366" s="541">
        <f t="shared" si="40"/>
        <v>533.71177228080182</v>
      </c>
      <c r="C366" s="235">
        <f t="shared" si="41"/>
        <v>2077.7049999999999</v>
      </c>
      <c r="D366" s="235">
        <f t="shared" si="37"/>
        <v>2611.4167722808015</v>
      </c>
      <c r="E366" s="82">
        <f t="shared" si="42"/>
        <v>35347.01547362256</v>
      </c>
      <c r="F366" s="558">
        <f t="shared" si="38"/>
        <v>73879.413503229182</v>
      </c>
      <c r="G366" s="462">
        <f t="shared" si="39"/>
        <v>7.3879413503229185E-2</v>
      </c>
    </row>
    <row r="367" spans="1:7">
      <c r="A367" s="150" t="s">
        <v>79</v>
      </c>
      <c r="B367" s="541">
        <f t="shared" si="40"/>
        <v>75.142018303578496</v>
      </c>
      <c r="C367" s="235">
        <f t="shared" si="41"/>
        <v>232.9992</v>
      </c>
      <c r="D367" s="235">
        <f t="shared" si="37"/>
        <v>308.14121830357851</v>
      </c>
      <c r="E367" s="82">
        <f t="shared" si="42"/>
        <v>35347.01547362256</v>
      </c>
      <c r="F367" s="558">
        <f t="shared" si="38"/>
        <v>8717.6021560724566</v>
      </c>
      <c r="G367" s="462">
        <f t="shared" si="39"/>
        <v>8.7176021560724567E-3</v>
      </c>
    </row>
    <row r="368" spans="1:7">
      <c r="A368" s="150" t="s">
        <v>80</v>
      </c>
      <c r="B368" s="541">
        <f t="shared" si="40"/>
        <v>119.75336034788128</v>
      </c>
      <c r="C368" s="235">
        <f t="shared" si="41"/>
        <v>302.29978333333338</v>
      </c>
      <c r="D368" s="235">
        <f t="shared" si="37"/>
        <v>422.05314368121469</v>
      </c>
      <c r="E368" s="82">
        <f t="shared" si="42"/>
        <v>35347.01547362256</v>
      </c>
      <c r="F368" s="558">
        <f t="shared" si="38"/>
        <v>11940.276654931975</v>
      </c>
      <c r="G368" s="462">
        <f t="shared" si="39"/>
        <v>1.1940276654931975E-2</v>
      </c>
    </row>
    <row r="369" spans="1:7">
      <c r="A369" s="150" t="s">
        <v>81</v>
      </c>
      <c r="B369" s="541">
        <f t="shared" si="40"/>
        <v>79.757761095277999</v>
      </c>
      <c r="C369" s="235">
        <f t="shared" si="41"/>
        <v>67.697699999999998</v>
      </c>
      <c r="D369" s="235">
        <f t="shared" si="37"/>
        <v>147.455461095278</v>
      </c>
      <c r="E369" s="82">
        <f t="shared" si="42"/>
        <v>35347.01547362256</v>
      </c>
      <c r="F369" s="558">
        <f t="shared" si="38"/>
        <v>4171.652376289464</v>
      </c>
      <c r="G369" s="462">
        <f t="shared" si="39"/>
        <v>4.1716523762894636E-3</v>
      </c>
    </row>
    <row r="370" spans="1:7">
      <c r="A370" s="150" t="s">
        <v>82</v>
      </c>
      <c r="B370" s="541">
        <f t="shared" si="40"/>
        <v>0.65365297004069856</v>
      </c>
      <c r="C370" s="235">
        <f t="shared" si="41"/>
        <v>1.4619499999999999</v>
      </c>
      <c r="D370" s="235">
        <f t="shared" si="37"/>
        <v>2.1156029700406984</v>
      </c>
      <c r="E370" s="82">
        <f t="shared" si="42"/>
        <v>35347.01547362256</v>
      </c>
      <c r="F370" s="558">
        <f t="shared" si="38"/>
        <v>59.852379096035733</v>
      </c>
      <c r="G370" s="462">
        <f t="shared" si="39"/>
        <v>5.9852379096035734E-5</v>
      </c>
    </row>
    <row r="371" spans="1:7">
      <c r="A371" s="150" t="s">
        <v>630</v>
      </c>
      <c r="B371" s="541">
        <f t="shared" si="40"/>
        <v>857.80329997494164</v>
      </c>
      <c r="C371" s="235">
        <f>$F$351</f>
        <v>1829.2190000000001</v>
      </c>
      <c r="D371" s="235">
        <f t="shared" si="37"/>
        <v>2687.0222999749417</v>
      </c>
      <c r="E371" s="82">
        <f t="shared" si="42"/>
        <v>35347.01547362256</v>
      </c>
      <c r="F371" s="558">
        <f t="shared" si="38"/>
        <v>76018.364322162117</v>
      </c>
      <c r="G371" s="462">
        <f t="shared" si="39"/>
        <v>7.6018364322162121E-2</v>
      </c>
    </row>
    <row r="372" spans="1:7">
      <c r="A372" s="150" t="s">
        <v>96</v>
      </c>
      <c r="B372" s="541">
        <f t="shared" si="40"/>
        <v>2087.7551020408168</v>
      </c>
      <c r="C372" s="235">
        <v>0</v>
      </c>
      <c r="D372" s="235">
        <f t="shared" si="37"/>
        <v>2087.7551020408168</v>
      </c>
      <c r="E372" s="82">
        <f t="shared" si="42"/>
        <v>35347.01547362256</v>
      </c>
      <c r="F372" s="558">
        <f t="shared" si="38"/>
        <v>59064.536964904102</v>
      </c>
      <c r="G372" s="462">
        <f t="shared" si="39"/>
        <v>5.9064536964904102E-2</v>
      </c>
    </row>
    <row r="373" spans="1:7">
      <c r="A373" s="582" t="s">
        <v>97</v>
      </c>
      <c r="B373" s="541">
        <f t="shared" si="40"/>
        <v>2945.5584020157585</v>
      </c>
      <c r="C373" s="235">
        <f>C371+C372</f>
        <v>1829.2190000000001</v>
      </c>
      <c r="D373" s="235">
        <f t="shared" si="37"/>
        <v>4774.7774020157585</v>
      </c>
      <c r="E373" s="82">
        <f t="shared" si="42"/>
        <v>35347.01547362256</v>
      </c>
      <c r="F373" s="597">
        <f t="shared" si="38"/>
        <v>135082.9012870662</v>
      </c>
      <c r="G373" s="583">
        <f t="shared" si="39"/>
        <v>0.13508290128706621</v>
      </c>
    </row>
    <row r="374" spans="1:7">
      <c r="A374" s="186" t="s">
        <v>84</v>
      </c>
      <c r="B374" s="541">
        <f t="shared" si="40"/>
        <v>0.3429747131515315</v>
      </c>
      <c r="C374" s="235">
        <f>F352</f>
        <v>2.6088999999999998</v>
      </c>
      <c r="D374" s="235">
        <f t="shared" si="37"/>
        <v>2.9518747131515313</v>
      </c>
      <c r="E374" s="82">
        <f t="shared" si="42"/>
        <v>35347.01547362256</v>
      </c>
      <c r="F374" s="558">
        <f t="shared" si="38"/>
        <v>83.511285849701949</v>
      </c>
      <c r="G374" s="462">
        <f t="shared" si="39"/>
        <v>8.3511285849701948E-5</v>
      </c>
    </row>
    <row r="375" spans="1:7">
      <c r="A375" s="150" t="s">
        <v>85</v>
      </c>
      <c r="B375" s="541">
        <f t="shared" si="40"/>
        <v>0</v>
      </c>
      <c r="C375" s="235">
        <f>F353</f>
        <v>124.30895555555556</v>
      </c>
      <c r="D375" s="235">
        <f t="shared" si="37"/>
        <v>124.30895555555556</v>
      </c>
      <c r="E375" s="82">
        <f t="shared" si="42"/>
        <v>35347.01547362256</v>
      </c>
      <c r="F375" s="558">
        <f t="shared" si="38"/>
        <v>3516.8161693402421</v>
      </c>
      <c r="G375" s="462">
        <f t="shared" si="39"/>
        <v>3.5168161693402422E-3</v>
      </c>
    </row>
    <row r="376" spans="1:7" ht="14.65" thickBot="1">
      <c r="A376" s="152" t="s">
        <v>86</v>
      </c>
      <c r="B376" s="542">
        <f>B301</f>
        <v>12.364389620715265</v>
      </c>
      <c r="C376" s="236">
        <f>F354</f>
        <v>53.472999999999999</v>
      </c>
      <c r="D376" s="236">
        <f t="shared" si="37"/>
        <v>65.837389620715271</v>
      </c>
      <c r="E376" s="237">
        <f>$C$263+$D$334</f>
        <v>35347.01547362256</v>
      </c>
      <c r="F376" s="559">
        <f t="shared" si="38"/>
        <v>1862.6010920171159</v>
      </c>
      <c r="G376" s="464">
        <f t="shared" si="39"/>
        <v>1.8626010920171159E-3</v>
      </c>
    </row>
    <row r="378" spans="1:7">
      <c r="A378" s="329" t="s">
        <v>328</v>
      </c>
      <c r="B378" s="329"/>
      <c r="C378" s="329"/>
      <c r="D378" s="329"/>
      <c r="E378" s="329"/>
    </row>
    <row r="379" spans="1:7">
      <c r="A379" s="329" t="s">
        <v>315</v>
      </c>
      <c r="B379" s="329"/>
      <c r="C379" s="329"/>
      <c r="D379" s="329"/>
      <c r="E379" s="329"/>
    </row>
    <row r="381" spans="1:7" ht="14.65" thickBot="1">
      <c r="A381" s="329" t="s">
        <v>432</v>
      </c>
    </row>
    <row r="382" spans="1:7">
      <c r="A382" s="388" t="s">
        <v>268</v>
      </c>
      <c r="B382" s="323" t="s">
        <v>146</v>
      </c>
      <c r="C382" s="324" t="s">
        <v>147</v>
      </c>
      <c r="D382" s="1024" t="s">
        <v>459</v>
      </c>
      <c r="E382" s="1025"/>
    </row>
    <row r="383" spans="1:7" ht="14.65" thickBot="1">
      <c r="A383" s="220"/>
      <c r="B383" s="403" t="s">
        <v>35</v>
      </c>
      <c r="C383" s="423" t="s">
        <v>35</v>
      </c>
      <c r="D383" s="403" t="s">
        <v>257</v>
      </c>
      <c r="E383" s="155" t="s">
        <v>237</v>
      </c>
    </row>
    <row r="384" spans="1:7">
      <c r="A384" s="477" t="s">
        <v>148</v>
      </c>
      <c r="B384" s="159">
        <f>B373</f>
        <v>2945.5584020157585</v>
      </c>
      <c r="C384" s="501">
        <f>$C$263</f>
        <v>10847.015473622558</v>
      </c>
      <c r="D384" s="227">
        <f>B384/C384*1000000</f>
        <v>271554.73403524479</v>
      </c>
      <c r="E384" s="475">
        <f>D384/1000000</f>
        <v>0.27155473403524477</v>
      </c>
    </row>
    <row r="385" spans="1:5">
      <c r="A385" s="150" t="s">
        <v>620</v>
      </c>
      <c r="B385" s="161">
        <f>C373</f>
        <v>1829.2190000000001</v>
      </c>
      <c r="C385" s="502">
        <f>$D$334</f>
        <v>24500</v>
      </c>
      <c r="D385" s="229">
        <f>B385/C385*1000000</f>
        <v>74662</v>
      </c>
      <c r="E385" s="476">
        <f t="shared" ref="E385:E387" si="43">D385/1000000</f>
        <v>7.4662000000000006E-2</v>
      </c>
    </row>
    <row r="386" spans="1:5">
      <c r="A386" s="478" t="s">
        <v>621</v>
      </c>
      <c r="B386" s="480">
        <f>C386*31/98</f>
        <v>2299.595587057282</v>
      </c>
      <c r="C386" s="587">
        <v>7269.6892752133426</v>
      </c>
      <c r="D386" s="229">
        <f>B386/C386*1000000</f>
        <v>316326.53061224491</v>
      </c>
      <c r="E386" s="476">
        <f t="shared" si="43"/>
        <v>0.31632653061224492</v>
      </c>
    </row>
    <row r="387" spans="1:5" ht="14.65" thickBot="1">
      <c r="A387" s="479" t="s">
        <v>306</v>
      </c>
      <c r="B387" s="162">
        <f>SUM($B$384:$B$386)</f>
        <v>7074.372989073041</v>
      </c>
      <c r="C387" s="503">
        <f>SUM($C$384:$C$386)</f>
        <v>42616.704748835902</v>
      </c>
      <c r="D387" s="588">
        <f>B387/C387*1000000</f>
        <v>166000.00001798075</v>
      </c>
      <c r="E387" s="584">
        <f t="shared" si="43"/>
        <v>0.16600000001798076</v>
      </c>
    </row>
    <row r="389" spans="1:5" ht="14.65" thickBot="1">
      <c r="A389" s="79" t="s">
        <v>434</v>
      </c>
    </row>
    <row r="390" spans="1:5" ht="14.65" thickBot="1">
      <c r="A390" s="691"/>
      <c r="B390" s="192" t="s">
        <v>18</v>
      </c>
      <c r="C390" s="193" t="s">
        <v>106</v>
      </c>
    </row>
    <row r="391" spans="1:5">
      <c r="A391" s="203" t="s">
        <v>435</v>
      </c>
      <c r="B391" s="692" t="s">
        <v>35</v>
      </c>
      <c r="C391" s="730">
        <f>$C$386</f>
        <v>7269.6892752133426</v>
      </c>
    </row>
    <row r="392" spans="1:5">
      <c r="A392" s="257" t="s">
        <v>436</v>
      </c>
      <c r="B392" s="178" t="s">
        <v>35</v>
      </c>
      <c r="C392" s="84">
        <f>C391/75%*25%</f>
        <v>2423.2297584044477</v>
      </c>
      <c r="D392" s="99"/>
    </row>
    <row r="393" spans="1:5" ht="14.65" thickBot="1">
      <c r="A393" s="693" t="s">
        <v>437</v>
      </c>
      <c r="B393" s="694" t="s">
        <v>35</v>
      </c>
      <c r="C393" s="335">
        <f>C391+C392</f>
        <v>9692.9190336177908</v>
      </c>
      <c r="D393" s="99"/>
    </row>
    <row r="395" spans="1:5">
      <c r="A395" s="329" t="s">
        <v>316</v>
      </c>
    </row>
    <row r="396" spans="1:5">
      <c r="A396" s="329" t="s">
        <v>317</v>
      </c>
    </row>
    <row r="397" spans="1:5">
      <c r="A397" s="329"/>
    </row>
    <row r="398" spans="1:5" ht="14.65" thickBot="1">
      <c r="A398" s="329" t="s">
        <v>307</v>
      </c>
    </row>
    <row r="399" spans="1:5">
      <c r="A399" s="664" t="s">
        <v>64</v>
      </c>
      <c r="B399" s="665" t="s">
        <v>24</v>
      </c>
      <c r="C399" s="666">
        <v>0.45</v>
      </c>
    </row>
    <row r="400" spans="1:5" ht="14.65" thickBot="1">
      <c r="A400" s="667" t="s">
        <v>66</v>
      </c>
      <c r="B400" s="284" t="s">
        <v>24</v>
      </c>
      <c r="C400" s="663">
        <v>0.55000000000000004</v>
      </c>
    </row>
    <row r="401" spans="1:3">
      <c r="A401" s="329"/>
    </row>
    <row r="402" spans="1:3" ht="14.65" thickBot="1">
      <c r="A402" s="329" t="s">
        <v>363</v>
      </c>
    </row>
    <row r="403" spans="1:3" ht="14.65" thickBot="1">
      <c r="A403" s="103"/>
      <c r="B403" s="102" t="s">
        <v>18</v>
      </c>
      <c r="C403" s="17" t="s">
        <v>106</v>
      </c>
    </row>
    <row r="404" spans="1:3">
      <c r="A404" s="272" t="s">
        <v>341</v>
      </c>
      <c r="B404" s="298" t="s">
        <v>35</v>
      </c>
      <c r="C404" s="669">
        <f>$C$263</f>
        <v>10847.015473622558</v>
      </c>
    </row>
    <row r="405" spans="1:3">
      <c r="A405" s="257" t="s">
        <v>607</v>
      </c>
      <c r="B405" s="346" t="s">
        <v>35</v>
      </c>
      <c r="C405" s="347">
        <f>$B$334</f>
        <v>17500</v>
      </c>
    </row>
    <row r="406" spans="1:3">
      <c r="A406" s="257" t="s">
        <v>605</v>
      </c>
      <c r="B406" s="346" t="s">
        <v>35</v>
      </c>
      <c r="C406" s="347">
        <f>$C$334</f>
        <v>7000</v>
      </c>
    </row>
    <row r="407" spans="1:3">
      <c r="A407" s="348" t="s">
        <v>435</v>
      </c>
      <c r="B407" s="278" t="s">
        <v>35</v>
      </c>
      <c r="C407" s="347">
        <f>$C$391</f>
        <v>7269.6892752133426</v>
      </c>
    </row>
    <row r="408" spans="1:3" ht="14.65" thickBot="1">
      <c r="A408" s="360" t="s">
        <v>309</v>
      </c>
      <c r="B408" s="320" t="s">
        <v>35</v>
      </c>
      <c r="C408" s="668">
        <f>C404+C405+C406+C407</f>
        <v>42616.704748835902</v>
      </c>
    </row>
    <row r="409" spans="1:3">
      <c r="A409" s="276" t="s">
        <v>345</v>
      </c>
      <c r="B409" s="296" t="s">
        <v>35</v>
      </c>
      <c r="C409" s="342">
        <f>C408/C399*C400</f>
        <v>52087.083581910549</v>
      </c>
    </row>
    <row r="410" spans="1:3">
      <c r="A410" s="257" t="s">
        <v>342</v>
      </c>
      <c r="B410" s="278" t="s">
        <v>35</v>
      </c>
      <c r="C410" s="347">
        <f>$C$272</f>
        <v>35632.791503879889</v>
      </c>
    </row>
    <row r="411" spans="1:3">
      <c r="A411" s="257" t="s">
        <v>436</v>
      </c>
      <c r="B411" s="278" t="s">
        <v>35</v>
      </c>
      <c r="C411" s="347">
        <f>$C$392</f>
        <v>2423.2297584044477</v>
      </c>
    </row>
    <row r="412" spans="1:3" ht="14.65" thickBot="1">
      <c r="A412" s="670" t="s">
        <v>363</v>
      </c>
      <c r="B412" s="713" t="s">
        <v>35</v>
      </c>
      <c r="C412" s="671">
        <f>C409-C410-C411</f>
        <v>14031.062319626211</v>
      </c>
    </row>
    <row r="413" spans="1:3" ht="14.65" hidden="1" thickBot="1">
      <c r="A413" s="695" t="s">
        <v>311</v>
      </c>
      <c r="B413" s="696" t="s">
        <v>35</v>
      </c>
      <c r="C413" s="697">
        <f>C411+C412</f>
        <v>16454.292078030659</v>
      </c>
    </row>
    <row r="415" spans="1:3" ht="14.65" thickBot="1">
      <c r="A415" s="79" t="s">
        <v>289</v>
      </c>
    </row>
    <row r="416" spans="1:3" ht="14.65" thickBot="1">
      <c r="A416" s="103" t="s">
        <v>53</v>
      </c>
      <c r="B416" s="102" t="s">
        <v>18</v>
      </c>
      <c r="C416" s="17" t="s">
        <v>106</v>
      </c>
    </row>
    <row r="417" spans="1:3">
      <c r="A417" s="336" t="s">
        <v>9</v>
      </c>
      <c r="B417" s="269" t="s">
        <v>35</v>
      </c>
      <c r="C417" s="328">
        <f>$C$246</f>
        <v>46479.806977502449</v>
      </c>
    </row>
    <row r="418" spans="1:3">
      <c r="A418" s="336" t="s">
        <v>607</v>
      </c>
      <c r="B418" s="269" t="s">
        <v>35</v>
      </c>
      <c r="C418" s="337">
        <f>$B$334</f>
        <v>17500</v>
      </c>
    </row>
    <row r="419" spans="1:3">
      <c r="A419" s="336" t="s">
        <v>605</v>
      </c>
      <c r="B419" s="269" t="s">
        <v>35</v>
      </c>
      <c r="C419" s="337">
        <f>$C$334</f>
        <v>7000</v>
      </c>
    </row>
    <row r="420" spans="1:3">
      <c r="A420" s="338" t="s">
        <v>437</v>
      </c>
      <c r="B420" s="269" t="s">
        <v>35</v>
      </c>
      <c r="C420" s="328">
        <f>$C$393</f>
        <v>9692.9190336177908</v>
      </c>
    </row>
    <row r="421" spans="1:3" ht="14.65" thickBot="1">
      <c r="A421" s="339" t="s">
        <v>363</v>
      </c>
      <c r="B421" s="271" t="s">
        <v>35</v>
      </c>
      <c r="C421" s="340">
        <f>$C$412</f>
        <v>14031.062319626211</v>
      </c>
    </row>
    <row r="423" spans="1:3" ht="14.65" thickBot="1">
      <c r="A423" s="79" t="s">
        <v>290</v>
      </c>
    </row>
    <row r="424" spans="1:3" ht="14.65" thickBot="1">
      <c r="A424" s="191" t="s">
        <v>90</v>
      </c>
      <c r="B424" s="192" t="s">
        <v>18</v>
      </c>
      <c r="C424" s="193" t="s">
        <v>91</v>
      </c>
    </row>
    <row r="425" spans="1:3">
      <c r="A425" s="678" t="s">
        <v>9</v>
      </c>
      <c r="B425" s="293" t="s">
        <v>35</v>
      </c>
      <c r="C425" s="313">
        <f>$C$246</f>
        <v>46479.806977502449</v>
      </c>
    </row>
    <row r="426" spans="1:3">
      <c r="A426" s="679" t="s">
        <v>607</v>
      </c>
      <c r="B426" s="282" t="s">
        <v>35</v>
      </c>
      <c r="C426" s="347">
        <f>$B$334</f>
        <v>17500</v>
      </c>
    </row>
    <row r="427" spans="1:3">
      <c r="A427" s="679" t="s">
        <v>605</v>
      </c>
      <c r="B427" s="282" t="s">
        <v>35</v>
      </c>
      <c r="C427" s="347">
        <f>$C$334</f>
        <v>7000</v>
      </c>
    </row>
    <row r="428" spans="1:3">
      <c r="A428" s="375" t="s">
        <v>437</v>
      </c>
      <c r="B428" s="287" t="s">
        <v>35</v>
      </c>
      <c r="C428" s="279">
        <f>$C$393</f>
        <v>9692.9190336177908</v>
      </c>
    </row>
    <row r="429" spans="1:3">
      <c r="A429" s="375" t="s">
        <v>363</v>
      </c>
      <c r="B429" s="287" t="s">
        <v>35</v>
      </c>
      <c r="C429" s="279">
        <f>$C$412</f>
        <v>14031.062319626211</v>
      </c>
    </row>
    <row r="430" spans="1:3" ht="14.65" thickBot="1">
      <c r="A430" s="689" t="s">
        <v>305</v>
      </c>
      <c r="B430" s="677" t="s">
        <v>35</v>
      </c>
      <c r="C430" s="256">
        <f>SUM(C425:C429)</f>
        <v>94703.788330746451</v>
      </c>
    </row>
    <row r="432" spans="1:3" ht="14.65" thickBot="1">
      <c r="A432" s="79" t="s">
        <v>307</v>
      </c>
      <c r="B432" s="79"/>
      <c r="C432" s="79"/>
    </row>
    <row r="433" spans="1:3" ht="14.65" thickBot="1">
      <c r="A433" s="191" t="s">
        <v>90</v>
      </c>
      <c r="B433" s="192" t="s">
        <v>18</v>
      </c>
      <c r="C433" s="193" t="s">
        <v>106</v>
      </c>
    </row>
    <row r="434" spans="1:3">
      <c r="A434" s="272" t="s">
        <v>341</v>
      </c>
      <c r="B434" s="293" t="s">
        <v>35</v>
      </c>
      <c r="C434" s="294">
        <f>$C$263</f>
        <v>10847.015473622558</v>
      </c>
    </row>
    <row r="435" spans="1:3">
      <c r="A435" s="257" t="s">
        <v>607</v>
      </c>
      <c r="B435" s="282" t="s">
        <v>35</v>
      </c>
      <c r="C435" s="347">
        <f>$B$334</f>
        <v>17500</v>
      </c>
    </row>
    <row r="436" spans="1:3">
      <c r="A436" s="257" t="s">
        <v>605</v>
      </c>
      <c r="B436" s="282" t="s">
        <v>35</v>
      </c>
      <c r="C436" s="347">
        <f>$C$334</f>
        <v>7000</v>
      </c>
    </row>
    <row r="437" spans="1:3">
      <c r="A437" s="348" t="s">
        <v>435</v>
      </c>
      <c r="B437" s="287" t="s">
        <v>35</v>
      </c>
      <c r="C437" s="279">
        <f>$C$391</f>
        <v>7269.6892752133426</v>
      </c>
    </row>
    <row r="438" spans="1:3">
      <c r="A438" s="257" t="s">
        <v>309</v>
      </c>
      <c r="B438" s="287" t="s">
        <v>35</v>
      </c>
      <c r="C438" s="279">
        <f>C434+C435+C436+C437</f>
        <v>42616.704748835902</v>
      </c>
    </row>
    <row r="439" spans="1:3">
      <c r="A439" s="257" t="s">
        <v>305</v>
      </c>
      <c r="B439" s="287" t="s">
        <v>35</v>
      </c>
      <c r="C439" s="279">
        <f>$C$430</f>
        <v>94703.788330746451</v>
      </c>
    </row>
    <row r="440" spans="1:3">
      <c r="A440" s="299" t="s">
        <v>64</v>
      </c>
      <c r="B440" s="258" t="s">
        <v>24</v>
      </c>
      <c r="C440" s="300">
        <f>C438/C439</f>
        <v>0.45</v>
      </c>
    </row>
    <row r="441" spans="1:3">
      <c r="A441" s="68" t="s">
        <v>436</v>
      </c>
      <c r="B441" s="287" t="s">
        <v>35</v>
      </c>
      <c r="C441" s="279">
        <f>C411</f>
        <v>2423.2297584044477</v>
      </c>
    </row>
    <row r="442" spans="1:3">
      <c r="A442" s="375" t="s">
        <v>363</v>
      </c>
      <c r="B442" s="287" t="s">
        <v>35</v>
      </c>
      <c r="C442" s="279">
        <f>$C$412</f>
        <v>14031.062319626211</v>
      </c>
    </row>
    <row r="443" spans="1:3">
      <c r="A443" s="257" t="s">
        <v>342</v>
      </c>
      <c r="B443" s="287" t="s">
        <v>35</v>
      </c>
      <c r="C443" s="279">
        <f>$C$272</f>
        <v>35632.791503879889</v>
      </c>
    </row>
    <row r="444" spans="1:3">
      <c r="A444" s="257" t="s">
        <v>345</v>
      </c>
      <c r="B444" s="287" t="s">
        <v>35</v>
      </c>
      <c r="C444" s="279">
        <f>C441+C442+C443</f>
        <v>52087.083581910549</v>
      </c>
    </row>
    <row r="445" spans="1:3">
      <c r="A445" s="257" t="s">
        <v>305</v>
      </c>
      <c r="B445" s="287" t="s">
        <v>35</v>
      </c>
      <c r="C445" s="279">
        <f>$C$430</f>
        <v>94703.788330746451</v>
      </c>
    </row>
    <row r="446" spans="1:3" ht="14.65" thickBot="1">
      <c r="A446" s="301" t="s">
        <v>66</v>
      </c>
      <c r="B446" s="259" t="s">
        <v>24</v>
      </c>
      <c r="C446" s="303">
        <f>C444/C445</f>
        <v>0.55000000000000004</v>
      </c>
    </row>
    <row r="448" spans="1:3" ht="14.65" thickBot="1">
      <c r="A448" s="79" t="s">
        <v>308</v>
      </c>
    </row>
    <row r="449" spans="1:8" ht="14.65" thickBot="1">
      <c r="A449" s="482"/>
      <c r="B449" s="1028" t="s">
        <v>262</v>
      </c>
      <c r="C449" s="1029"/>
      <c r="D449" s="1029"/>
      <c r="E449" s="1029"/>
      <c r="F449" s="1030"/>
      <c r="G449" s="1028" t="s">
        <v>263</v>
      </c>
      <c r="H449" s="1031"/>
    </row>
    <row r="450" spans="1:8">
      <c r="A450" s="219" t="s">
        <v>93</v>
      </c>
      <c r="B450" s="377" t="s">
        <v>136</v>
      </c>
      <c r="C450" s="421" t="s">
        <v>618</v>
      </c>
      <c r="D450" s="421" t="s">
        <v>153</v>
      </c>
      <c r="E450" s="421" t="s">
        <v>142</v>
      </c>
      <c r="F450" s="418" t="s">
        <v>309</v>
      </c>
      <c r="G450" s="1026" t="s">
        <v>459</v>
      </c>
      <c r="H450" s="1027"/>
    </row>
    <row r="451" spans="1:8" ht="14.65" thickBot="1">
      <c r="A451" s="220"/>
      <c r="B451" s="215" t="s">
        <v>35</v>
      </c>
      <c r="C451" s="325" t="s">
        <v>35</v>
      </c>
      <c r="D451" s="325" t="s">
        <v>35</v>
      </c>
      <c r="E451" s="325" t="s">
        <v>35</v>
      </c>
      <c r="F451" s="483" t="s">
        <v>35</v>
      </c>
      <c r="G451" s="6" t="s">
        <v>257</v>
      </c>
      <c r="H451" s="24" t="s">
        <v>237</v>
      </c>
    </row>
    <row r="452" spans="1:8">
      <c r="A452" s="148" t="s">
        <v>72</v>
      </c>
      <c r="B452" s="656">
        <f>B360</f>
        <v>304.85806576342497</v>
      </c>
      <c r="C452" s="378">
        <f>F340</f>
        <v>1547.5740000000001</v>
      </c>
      <c r="D452" s="378">
        <v>0</v>
      </c>
      <c r="E452" s="378">
        <f>B452+C452+D452</f>
        <v>1852.432065763425</v>
      </c>
      <c r="F452" s="657">
        <f t="shared" ref="F452:F466" si="44">$C$438</f>
        <v>42616.704748835902</v>
      </c>
      <c r="G452" s="634">
        <f>E452/F452*1000000</f>
        <v>43467.275958590515</v>
      </c>
      <c r="H452" s="481">
        <f>G452/1000000</f>
        <v>4.3467275958590512E-2</v>
      </c>
    </row>
    <row r="453" spans="1:8">
      <c r="A453" s="149" t="s">
        <v>73</v>
      </c>
      <c r="B453" s="592">
        <f>B361</f>
        <v>0.27508594065107606</v>
      </c>
      <c r="C453" s="364">
        <f>F341</f>
        <v>0.61250000000000004</v>
      </c>
      <c r="D453" s="364">
        <v>0</v>
      </c>
      <c r="E453" s="364">
        <f t="shared" ref="E453:E466" si="45">B453+C453+D453</f>
        <v>0.8875859406510761</v>
      </c>
      <c r="F453" s="658">
        <f t="shared" si="44"/>
        <v>42616.704748835902</v>
      </c>
      <c r="G453" s="558">
        <f t="shared" ref="G453:G465" si="46">E453/F453*1000000</f>
        <v>20.827183750647006</v>
      </c>
      <c r="H453" s="462">
        <f t="shared" ref="H453:H466" si="47">G453/1000000</f>
        <v>2.0827183750647004E-5</v>
      </c>
    </row>
    <row r="454" spans="1:8">
      <c r="A454" s="149" t="s">
        <v>74</v>
      </c>
      <c r="B454" s="592">
        <f t="shared" ref="B454:B456" si="48">B362</f>
        <v>301.91686339228249</v>
      </c>
      <c r="C454" s="364">
        <f t="shared" ref="C454:C465" si="49">F342</f>
        <v>2275.1098999999999</v>
      </c>
      <c r="D454" s="364">
        <v>0</v>
      </c>
      <c r="E454" s="364">
        <f t="shared" si="45"/>
        <v>2577.0267633922822</v>
      </c>
      <c r="F454" s="658">
        <f t="shared" si="44"/>
        <v>42616.704748835902</v>
      </c>
      <c r="G454" s="558">
        <f t="shared" si="46"/>
        <v>60469.873928079222</v>
      </c>
      <c r="H454" s="462">
        <f t="shared" si="47"/>
        <v>6.0469873928079225E-2</v>
      </c>
    </row>
    <row r="455" spans="1:8">
      <c r="A455" s="149" t="s">
        <v>75</v>
      </c>
      <c r="B455" s="592">
        <f t="shared" si="48"/>
        <v>1.0646466942798222E-2</v>
      </c>
      <c r="C455" s="364">
        <f t="shared" si="49"/>
        <v>5.2499999999999998E-2</v>
      </c>
      <c r="D455" s="364">
        <v>0</v>
      </c>
      <c r="E455" s="364">
        <f t="shared" si="45"/>
        <v>6.3146466942798213E-2</v>
      </c>
      <c r="F455" s="658">
        <f t="shared" si="44"/>
        <v>42616.704748835902</v>
      </c>
      <c r="G455" s="558">
        <f t="shared" si="46"/>
        <v>1.4817303992637556</v>
      </c>
      <c r="H455" s="462">
        <f t="shared" si="47"/>
        <v>1.4817303992637557E-6</v>
      </c>
    </row>
    <row r="456" spans="1:8">
      <c r="A456" s="149" t="s">
        <v>76</v>
      </c>
      <c r="B456" s="592">
        <f t="shared" si="48"/>
        <v>0.65861882563119145</v>
      </c>
      <c r="C456" s="364">
        <f t="shared" si="49"/>
        <v>1.9698</v>
      </c>
      <c r="D456" s="364">
        <v>0</v>
      </c>
      <c r="E456" s="364">
        <f t="shared" si="45"/>
        <v>2.6284188256311913</v>
      </c>
      <c r="F456" s="658">
        <f t="shared" si="44"/>
        <v>42616.704748835902</v>
      </c>
      <c r="G456" s="558">
        <f t="shared" si="46"/>
        <v>61.675787490420362</v>
      </c>
      <c r="H456" s="462">
        <f t="shared" si="47"/>
        <v>6.1675787490420361E-5</v>
      </c>
    </row>
    <row r="457" spans="1:8">
      <c r="A457" s="150" t="s">
        <v>77</v>
      </c>
      <c r="B457" s="592">
        <f>B365</f>
        <v>1.8390803487070242</v>
      </c>
      <c r="C457" s="364">
        <f t="shared" si="49"/>
        <v>19.295499999999997</v>
      </c>
      <c r="D457" s="364">
        <v>0</v>
      </c>
      <c r="E457" s="364">
        <f t="shared" si="45"/>
        <v>21.134580348707022</v>
      </c>
      <c r="F457" s="658">
        <f t="shared" si="44"/>
        <v>42616.704748835902</v>
      </c>
      <c r="G457" s="558">
        <f t="shared" si="46"/>
        <v>495.92244340018624</v>
      </c>
      <c r="H457" s="462">
        <f t="shared" si="47"/>
        <v>4.9592244340018624E-4</v>
      </c>
    </row>
    <row r="458" spans="1:8">
      <c r="A458" s="150" t="s">
        <v>78</v>
      </c>
      <c r="B458" s="592">
        <f>B366</f>
        <v>533.71177228080182</v>
      </c>
      <c r="C458" s="364">
        <f t="shared" si="49"/>
        <v>2077.7049999999999</v>
      </c>
      <c r="D458" s="364">
        <v>0</v>
      </c>
      <c r="E458" s="364">
        <f t="shared" si="45"/>
        <v>2611.4167722808015</v>
      </c>
      <c r="F458" s="658">
        <f t="shared" si="44"/>
        <v>42616.704748835902</v>
      </c>
      <c r="G458" s="558">
        <f t="shared" si="46"/>
        <v>61276.834698302984</v>
      </c>
      <c r="H458" s="462">
        <f t="shared" si="47"/>
        <v>6.1276834698302987E-2</v>
      </c>
    </row>
    <row r="459" spans="1:8">
      <c r="A459" s="150" t="s">
        <v>79</v>
      </c>
      <c r="B459" s="592">
        <f>B367</f>
        <v>75.142018303578496</v>
      </c>
      <c r="C459" s="364">
        <f t="shared" si="49"/>
        <v>232.9992</v>
      </c>
      <c r="D459" s="364">
        <v>0</v>
      </c>
      <c r="E459" s="364">
        <f t="shared" si="45"/>
        <v>308.14121830357851</v>
      </c>
      <c r="F459" s="658">
        <f t="shared" si="44"/>
        <v>42616.704748835902</v>
      </c>
      <c r="G459" s="558">
        <f t="shared" si="46"/>
        <v>7230.5266237647229</v>
      </c>
      <c r="H459" s="462">
        <f t="shared" si="47"/>
        <v>7.2305266237647232E-3</v>
      </c>
    </row>
    <row r="460" spans="1:8">
      <c r="A460" s="150" t="s">
        <v>80</v>
      </c>
      <c r="B460" s="592">
        <f>B368</f>
        <v>119.75336034788128</v>
      </c>
      <c r="C460" s="364">
        <f t="shared" si="49"/>
        <v>302.29978333333338</v>
      </c>
      <c r="D460" s="364">
        <v>0</v>
      </c>
      <c r="E460" s="364">
        <f t="shared" si="45"/>
        <v>422.05314368121469</v>
      </c>
      <c r="F460" s="658">
        <f t="shared" si="44"/>
        <v>42616.704748835902</v>
      </c>
      <c r="G460" s="558">
        <f t="shared" si="46"/>
        <v>9903.4673414711469</v>
      </c>
      <c r="H460" s="462">
        <f t="shared" si="47"/>
        <v>9.9034673414711474E-3</v>
      </c>
    </row>
    <row r="461" spans="1:8">
      <c r="A461" s="150" t="s">
        <v>81</v>
      </c>
      <c r="B461" s="592">
        <f>B369</f>
        <v>79.757761095277999</v>
      </c>
      <c r="C461" s="364">
        <f t="shared" si="49"/>
        <v>67.697699999999998</v>
      </c>
      <c r="D461" s="364">
        <v>0</v>
      </c>
      <c r="E461" s="364">
        <f t="shared" si="45"/>
        <v>147.455461095278</v>
      </c>
      <c r="F461" s="658">
        <f t="shared" si="44"/>
        <v>42616.704748835902</v>
      </c>
      <c r="G461" s="558">
        <f t="shared" si="46"/>
        <v>3460.0390143798204</v>
      </c>
      <c r="H461" s="462">
        <f t="shared" si="47"/>
        <v>3.4600390143798205E-3</v>
      </c>
    </row>
    <row r="462" spans="1:8">
      <c r="A462" s="150" t="s">
        <v>82</v>
      </c>
      <c r="B462" s="592">
        <f t="shared" ref="B462" si="50">B370</f>
        <v>0.65365297004069856</v>
      </c>
      <c r="C462" s="364">
        <f t="shared" si="49"/>
        <v>1.4619499999999999</v>
      </c>
      <c r="D462" s="364">
        <v>0</v>
      </c>
      <c r="E462" s="364">
        <f t="shared" si="45"/>
        <v>2.1156029700406984</v>
      </c>
      <c r="F462" s="658">
        <f t="shared" si="44"/>
        <v>42616.704748835902</v>
      </c>
      <c r="G462" s="558">
        <f t="shared" si="46"/>
        <v>49.642575194612796</v>
      </c>
      <c r="H462" s="462">
        <f t="shared" si="47"/>
        <v>4.9642575194612795E-5</v>
      </c>
    </row>
    <row r="463" spans="1:8">
      <c r="A463" s="350" t="s">
        <v>154</v>
      </c>
      <c r="B463" s="592">
        <f>B373</f>
        <v>2945.5584020157585</v>
      </c>
      <c r="C463" s="364">
        <f t="shared" si="49"/>
        <v>1829.2190000000001</v>
      </c>
      <c r="D463" s="364">
        <f>$B$386</f>
        <v>2299.595587057282</v>
      </c>
      <c r="E463" s="364">
        <f t="shared" si="45"/>
        <v>7074.372989073041</v>
      </c>
      <c r="F463" s="658">
        <f t="shared" si="44"/>
        <v>42616.704748835902</v>
      </c>
      <c r="G463" s="597">
        <f t="shared" si="46"/>
        <v>166000.00001798075</v>
      </c>
      <c r="H463" s="583">
        <f t="shared" si="47"/>
        <v>0.16600000001798076</v>
      </c>
    </row>
    <row r="464" spans="1:8">
      <c r="A464" s="398" t="s">
        <v>84</v>
      </c>
      <c r="B464" s="592">
        <f>B374</f>
        <v>0.3429747131515315</v>
      </c>
      <c r="C464" s="364">
        <f t="shared" si="49"/>
        <v>2.6088999999999998</v>
      </c>
      <c r="D464" s="364">
        <v>0</v>
      </c>
      <c r="E464" s="364">
        <f t="shared" si="45"/>
        <v>2.9518747131515313</v>
      </c>
      <c r="F464" s="658">
        <f t="shared" si="44"/>
        <v>42616.704748835902</v>
      </c>
      <c r="G464" s="558">
        <f t="shared" si="46"/>
        <v>69.265672476287904</v>
      </c>
      <c r="H464" s="462">
        <f t="shared" si="47"/>
        <v>6.9265672476287907E-5</v>
      </c>
    </row>
    <row r="465" spans="1:8">
      <c r="A465" s="398" t="s">
        <v>85</v>
      </c>
      <c r="B465" s="592">
        <f t="shared" ref="B465:B466" si="51">B375</f>
        <v>0</v>
      </c>
      <c r="C465" s="364">
        <f t="shared" si="49"/>
        <v>124.30895555555556</v>
      </c>
      <c r="D465" s="364">
        <v>0</v>
      </c>
      <c r="E465" s="364">
        <f t="shared" si="45"/>
        <v>124.30895555555556</v>
      </c>
      <c r="F465" s="658">
        <f t="shared" si="44"/>
        <v>42616.704748835902</v>
      </c>
      <c r="G465" s="558">
        <f t="shared" si="46"/>
        <v>2916.9067924931742</v>
      </c>
      <c r="H465" s="462">
        <f t="shared" si="47"/>
        <v>2.9169067924931743E-3</v>
      </c>
    </row>
    <row r="466" spans="1:8" ht="14.65" thickBot="1">
      <c r="A466" s="152" t="s">
        <v>86</v>
      </c>
      <c r="B466" s="659">
        <f t="shared" si="51"/>
        <v>12.364389620715265</v>
      </c>
      <c r="C466" s="379">
        <f>F354</f>
        <v>53.472999999999999</v>
      </c>
      <c r="D466" s="379">
        <v>0</v>
      </c>
      <c r="E466" s="379">
        <f t="shared" si="45"/>
        <v>65.837389620715271</v>
      </c>
      <c r="F466" s="660">
        <f t="shared" si="44"/>
        <v>42616.704748835902</v>
      </c>
      <c r="G466" s="559">
        <f>E466/F466*1000000</f>
        <v>1544.872838215246</v>
      </c>
      <c r="H466" s="464">
        <f t="shared" si="47"/>
        <v>1.544872838215246E-3</v>
      </c>
    </row>
    <row r="468" spans="1:8">
      <c r="A468" s="1" t="s">
        <v>155</v>
      </c>
      <c r="B468" s="1"/>
      <c r="C468" s="1"/>
    </row>
    <row r="469" spans="1:8" ht="14.65" thickBot="1">
      <c r="A469" s="79" t="s">
        <v>291</v>
      </c>
    </row>
    <row r="470" spans="1:8" ht="14.65" thickBot="1">
      <c r="A470" s="16" t="s">
        <v>53</v>
      </c>
      <c r="B470" s="17" t="s">
        <v>18</v>
      </c>
      <c r="C470" s="249" t="s">
        <v>106</v>
      </c>
    </row>
    <row r="471" spans="1:8" ht="14.65" thickBot="1">
      <c r="A471" s="611" t="s">
        <v>305</v>
      </c>
      <c r="B471" s="612" t="s">
        <v>35</v>
      </c>
      <c r="C471" s="613">
        <f>$C$430</f>
        <v>94703.788330746451</v>
      </c>
    </row>
    <row r="472" spans="1:8">
      <c r="A472" s="78"/>
      <c r="B472" s="685"/>
      <c r="C472" s="686"/>
    </row>
    <row r="473" spans="1:8">
      <c r="A473" s="329" t="s">
        <v>319</v>
      </c>
      <c r="B473" s="685"/>
      <c r="C473" s="686"/>
    </row>
    <row r="475" spans="1:8" ht="14.65" thickBot="1">
      <c r="A475" s="79" t="s">
        <v>292</v>
      </c>
    </row>
    <row r="476" spans="1:8" ht="14.65" thickBot="1">
      <c r="A476" s="191" t="s">
        <v>90</v>
      </c>
      <c r="B476" s="192" t="s">
        <v>18</v>
      </c>
      <c r="C476" s="193" t="s">
        <v>91</v>
      </c>
    </row>
    <row r="477" spans="1:8">
      <c r="A477" s="703" t="s">
        <v>314</v>
      </c>
      <c r="B477" s="692" t="s">
        <v>35</v>
      </c>
      <c r="C477" s="730">
        <f>C438</f>
        <v>42616.704748835902</v>
      </c>
    </row>
    <row r="478" spans="1:8">
      <c r="A478" s="232" t="s">
        <v>320</v>
      </c>
      <c r="B478" s="178" t="s">
        <v>237</v>
      </c>
      <c r="C478" s="722">
        <v>0.95</v>
      </c>
    </row>
    <row r="479" spans="1:8">
      <c r="A479" s="688" t="s">
        <v>17</v>
      </c>
      <c r="B479" s="90" t="s">
        <v>35</v>
      </c>
      <c r="C479" s="254">
        <f>C477/C478</f>
        <v>44859.689209300952</v>
      </c>
    </row>
    <row r="480" spans="1:8">
      <c r="A480" s="232" t="s">
        <v>321</v>
      </c>
      <c r="B480" s="178" t="s">
        <v>237</v>
      </c>
      <c r="C480" s="722">
        <f>100%-C478</f>
        <v>5.0000000000000044E-2</v>
      </c>
    </row>
    <row r="481" spans="1:3">
      <c r="A481" s="232" t="s">
        <v>348</v>
      </c>
      <c r="B481" s="178" t="s">
        <v>35</v>
      </c>
      <c r="C481" s="84">
        <f>C479*C480</f>
        <v>2242.9844604650498</v>
      </c>
    </row>
    <row r="482" spans="1:3" ht="14.65" thickBot="1">
      <c r="A482" s="689" t="s">
        <v>16</v>
      </c>
      <c r="B482" s="163" t="s">
        <v>35</v>
      </c>
      <c r="C482" s="690">
        <f>$C$444-C481</f>
        <v>49844.099121445499</v>
      </c>
    </row>
    <row r="484" spans="1:3" ht="14.65" thickBot="1">
      <c r="A484" s="1" t="s">
        <v>401</v>
      </c>
      <c r="B484" s="1"/>
      <c r="C484" s="1"/>
    </row>
    <row r="485" spans="1:3" ht="14.65" thickBot="1">
      <c r="A485" s="9" t="s">
        <v>402</v>
      </c>
      <c r="B485" s="790" t="s">
        <v>297</v>
      </c>
      <c r="C485" s="789" t="s">
        <v>403</v>
      </c>
    </row>
    <row r="486" spans="1:3">
      <c r="A486" s="134" t="s">
        <v>329</v>
      </c>
      <c r="B486" s="793" t="s">
        <v>35</v>
      </c>
      <c r="C486" s="795">
        <f>C25</f>
        <v>3600</v>
      </c>
    </row>
    <row r="487" spans="1:3">
      <c r="A487" s="68" t="s">
        <v>331</v>
      </c>
      <c r="B487" s="105" t="s">
        <v>35</v>
      </c>
      <c r="C487" s="84">
        <f>C29</f>
        <v>27708</v>
      </c>
    </row>
    <row r="488" spans="1:3">
      <c r="A488" s="68" t="s">
        <v>409</v>
      </c>
      <c r="B488" s="105" t="s">
        <v>35</v>
      </c>
      <c r="C488" s="84">
        <f>C30</f>
        <v>6600.0000000000009</v>
      </c>
    </row>
    <row r="489" spans="1:3">
      <c r="A489" s="68" t="s">
        <v>410</v>
      </c>
      <c r="B489" s="105" t="s">
        <v>35</v>
      </c>
      <c r="C489" s="82">
        <f>C34</f>
        <v>16500</v>
      </c>
    </row>
    <row r="490" spans="1:3">
      <c r="A490" s="68" t="s">
        <v>404</v>
      </c>
      <c r="B490" s="105" t="s">
        <v>35</v>
      </c>
      <c r="C490" s="80">
        <f>ISH</f>
        <v>12000</v>
      </c>
    </row>
    <row r="491" spans="1:3">
      <c r="A491" s="68" t="s">
        <v>406</v>
      </c>
      <c r="B491" s="105" t="s">
        <v>35</v>
      </c>
      <c r="C491" s="80">
        <f>TVM</f>
        <v>17500</v>
      </c>
    </row>
    <row r="492" spans="1:3">
      <c r="A492" s="68" t="s">
        <v>405</v>
      </c>
      <c r="B492" s="105" t="s">
        <v>35</v>
      </c>
      <c r="C492" s="80">
        <f>SEF</f>
        <v>7000</v>
      </c>
    </row>
    <row r="493" spans="1:3">
      <c r="A493" s="68" t="s">
        <v>334</v>
      </c>
      <c r="B493" s="105" t="s">
        <v>35</v>
      </c>
      <c r="C493" s="86">
        <f>C135</f>
        <v>0</v>
      </c>
    </row>
    <row r="494" spans="1:3">
      <c r="A494" s="68" t="s">
        <v>338</v>
      </c>
      <c r="B494" s="105" t="s">
        <v>35</v>
      </c>
      <c r="C494" s="84">
        <f>C238</f>
        <v>18000</v>
      </c>
    </row>
    <row r="495" spans="1:3">
      <c r="A495" s="68" t="s">
        <v>408</v>
      </c>
      <c r="B495" s="105" t="s">
        <v>35</v>
      </c>
      <c r="C495" s="84">
        <f>C391</f>
        <v>7269.6892752133426</v>
      </c>
    </row>
    <row r="496" spans="1:3">
      <c r="A496" s="68" t="s">
        <v>411</v>
      </c>
      <c r="B496" s="105" t="s">
        <v>35</v>
      </c>
      <c r="C496" s="84">
        <f>C393</f>
        <v>9692.9190336177908</v>
      </c>
    </row>
    <row r="497" spans="1:5">
      <c r="A497" s="794" t="s">
        <v>412</v>
      </c>
      <c r="B497" s="105" t="s">
        <v>35</v>
      </c>
      <c r="C497" s="84">
        <f>C488+C495</f>
        <v>13869.689275213343</v>
      </c>
    </row>
    <row r="498" spans="1:5" ht="14.65" thickBot="1">
      <c r="A498" s="73" t="s">
        <v>407</v>
      </c>
      <c r="B498" s="23" t="s">
        <v>35</v>
      </c>
      <c r="C498" s="237">
        <f>C412</f>
        <v>14031.062319626211</v>
      </c>
    </row>
    <row r="500" spans="1:5" ht="14.65" thickBot="1">
      <c r="A500" s="1" t="s">
        <v>235</v>
      </c>
      <c r="B500" s="1"/>
      <c r="C500" s="1"/>
      <c r="D500" s="79"/>
      <c r="E500" s="79"/>
    </row>
    <row r="501" spans="1:5" ht="14.65" thickBot="1">
      <c r="A501" s="512"/>
      <c r="B501" s="249" t="s">
        <v>18</v>
      </c>
      <c r="C501" s="249" t="s">
        <v>234</v>
      </c>
    </row>
    <row r="502" spans="1:5">
      <c r="A502" s="134" t="s">
        <v>232</v>
      </c>
      <c r="B502" s="509" t="s">
        <v>24</v>
      </c>
      <c r="C502" s="248">
        <v>0.38</v>
      </c>
    </row>
    <row r="503" spans="1:5">
      <c r="A503" s="68" t="s">
        <v>324</v>
      </c>
      <c r="B503" s="510" t="s">
        <v>35</v>
      </c>
      <c r="C503" s="244">
        <f>C477</f>
        <v>42616.704748835902</v>
      </c>
    </row>
    <row r="504" spans="1:5">
      <c r="A504" s="68" t="s">
        <v>349</v>
      </c>
      <c r="B504" s="510" t="s">
        <v>35</v>
      </c>
      <c r="C504" s="245">
        <f>C503*C502</f>
        <v>16194.347804557643</v>
      </c>
    </row>
    <row r="505" spans="1:5">
      <c r="A505" s="68" t="s">
        <v>350</v>
      </c>
      <c r="B505" s="510" t="s">
        <v>35</v>
      </c>
      <c r="C505" s="246">
        <f>E455</f>
        <v>6.3146466942798213E-2</v>
      </c>
    </row>
    <row r="506" spans="1:5" ht="14.65" thickBot="1">
      <c r="A506" s="73" t="s">
        <v>351</v>
      </c>
      <c r="B506" s="511" t="s">
        <v>236</v>
      </c>
      <c r="C506" s="931">
        <f>C505/C504*1000000</f>
        <v>3.8992905243783045</v>
      </c>
    </row>
    <row r="507" spans="1:5" ht="14.65" thickBot="1"/>
    <row r="508" spans="1:5" ht="14.65" thickBot="1">
      <c r="A508" s="212"/>
      <c r="B508" s="1010" t="s">
        <v>216</v>
      </c>
      <c r="C508" s="1005" t="s">
        <v>165</v>
      </c>
      <c r="D508" s="1012"/>
    </row>
    <row r="509" spans="1:5">
      <c r="A509" s="487" t="s">
        <v>67</v>
      </c>
      <c r="B509" s="1011"/>
      <c r="C509" s="3" t="s">
        <v>166</v>
      </c>
      <c r="D509" s="15" t="s">
        <v>167</v>
      </c>
    </row>
    <row r="510" spans="1:5" ht="14.65" thickBot="1">
      <c r="A510" s="133" t="s">
        <v>18</v>
      </c>
      <c r="B510" s="610" t="s">
        <v>352</v>
      </c>
      <c r="C510" s="6" t="s">
        <v>70</v>
      </c>
      <c r="D510" s="24" t="s">
        <v>70</v>
      </c>
    </row>
    <row r="511" spans="1:5">
      <c r="A511" s="134" t="s">
        <v>222</v>
      </c>
      <c r="B511" s="684">
        <f>G453</f>
        <v>20.827183750647006</v>
      </c>
      <c r="C511" s="484">
        <f>Rohdaten!$F$12</f>
        <v>40</v>
      </c>
      <c r="D511" s="110">
        <f>Rohdaten!$H$12</f>
        <v>40</v>
      </c>
    </row>
    <row r="512" spans="1:5">
      <c r="A512" s="68" t="s">
        <v>223</v>
      </c>
      <c r="B512" s="929">
        <f>C506</f>
        <v>3.8992905243783045</v>
      </c>
      <c r="C512" s="105" t="str">
        <f>Rohdaten!$F$14</f>
        <v>50mg/kgP2O5</v>
      </c>
      <c r="D512" s="80" t="str">
        <f>Rohdaten!$H$14</f>
        <v>60mg/kgP2O5</v>
      </c>
    </row>
    <row r="513" spans="1:4">
      <c r="A513" s="68" t="s">
        <v>224</v>
      </c>
      <c r="B513" s="606">
        <f>G457</f>
        <v>495.92244340018624</v>
      </c>
      <c r="C513" s="485">
        <f>Rohdaten!$F$16</f>
        <v>900</v>
      </c>
      <c r="D513" s="82">
        <f>Rohdaten!$H$16</f>
        <v>600</v>
      </c>
    </row>
    <row r="514" spans="1:4">
      <c r="A514" s="68" t="s">
        <v>225</v>
      </c>
      <c r="B514" s="606">
        <f>G462</f>
        <v>49.642575194612796</v>
      </c>
      <c r="C514" s="485">
        <f>Rohdaten!$F$21</f>
        <v>80</v>
      </c>
      <c r="D514" s="82">
        <f>Rohdaten!$H$21</f>
        <v>100</v>
      </c>
    </row>
    <row r="515" spans="1:4">
      <c r="A515" s="68" t="s">
        <v>226</v>
      </c>
      <c r="B515" s="607">
        <f>G464</f>
        <v>69.265672476287904</v>
      </c>
      <c r="C515" s="485">
        <f>Rohdaten!$F$23</f>
        <v>150</v>
      </c>
      <c r="D515" s="82">
        <f>Rohdaten!$H$23</f>
        <v>120</v>
      </c>
    </row>
    <row r="516" spans="1:4" ht="14.65" thickBot="1">
      <c r="A516" s="73" t="s">
        <v>227</v>
      </c>
      <c r="B516" s="608">
        <f>G466</f>
        <v>1544.872838215246</v>
      </c>
      <c r="C516" s="486">
        <f>Rohdaten!$F$25</f>
        <v>5000</v>
      </c>
      <c r="D516" s="237">
        <f>Rohdaten!$H$25</f>
        <v>1500</v>
      </c>
    </row>
  </sheetData>
  <mergeCells count="44">
    <mergeCell ref="D37:F37"/>
    <mergeCell ref="B93:F93"/>
    <mergeCell ref="G93:L93"/>
    <mergeCell ref="B94:B95"/>
    <mergeCell ref="C94:C95"/>
    <mergeCell ref="D94:D95"/>
    <mergeCell ref="E94:E95"/>
    <mergeCell ref="F94:F95"/>
    <mergeCell ref="G94:H95"/>
    <mergeCell ref="I94:L94"/>
    <mergeCell ref="I95:J95"/>
    <mergeCell ref="K95:L95"/>
    <mergeCell ref="B138:C138"/>
    <mergeCell ref="B139:C139"/>
    <mergeCell ref="B201:F201"/>
    <mergeCell ref="G201:L201"/>
    <mergeCell ref="E278:F278"/>
    <mergeCell ref="G278:H278"/>
    <mergeCell ref="B202:B203"/>
    <mergeCell ref="C202:C203"/>
    <mergeCell ref="D202:D203"/>
    <mergeCell ref="E202:E203"/>
    <mergeCell ref="F202:F203"/>
    <mergeCell ref="G202:H203"/>
    <mergeCell ref="I202:L202"/>
    <mergeCell ref="I203:J203"/>
    <mergeCell ref="K203:L203"/>
    <mergeCell ref="B277:D277"/>
    <mergeCell ref="E277:H277"/>
    <mergeCell ref="B304:D304"/>
    <mergeCell ref="E304:H304"/>
    <mergeCell ref="E305:F305"/>
    <mergeCell ref="G305:H305"/>
    <mergeCell ref="B337:C337"/>
    <mergeCell ref="D337:F337"/>
    <mergeCell ref="G450:H450"/>
    <mergeCell ref="B508:B509"/>
    <mergeCell ref="C508:D508"/>
    <mergeCell ref="B357:E357"/>
    <mergeCell ref="F357:G357"/>
    <mergeCell ref="F358:G358"/>
    <mergeCell ref="D382:E382"/>
    <mergeCell ref="B449:F449"/>
    <mergeCell ref="G449:H449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4643-DE6A-4AF8-8F1E-8127EFBB3725}">
  <sheetPr codeName="Tabelle30"/>
  <dimension ref="A1:L557"/>
  <sheetViews>
    <sheetView topLeftCell="A495" zoomScale="70" zoomScaleNormal="70" workbookViewId="0">
      <selection activeCell="B556" sqref="B556"/>
    </sheetView>
  </sheetViews>
  <sheetFormatPr baseColWidth="10" defaultColWidth="8.86328125" defaultRowHeight="14.25"/>
  <cols>
    <col min="1" max="1" width="45.597656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599</v>
      </c>
    </row>
    <row r="3" spans="1:5">
      <c r="A3" s="91"/>
      <c r="B3" t="s">
        <v>247</v>
      </c>
    </row>
    <row r="4" spans="1:5">
      <c r="A4" s="853"/>
      <c r="B4" t="s">
        <v>613</v>
      </c>
    </row>
    <row r="6" spans="1:5">
      <c r="A6" s="1" t="s">
        <v>41</v>
      </c>
      <c r="B6" s="13"/>
      <c r="C6" s="13"/>
      <c r="D6" s="13"/>
    </row>
    <row r="7" spans="1:5" ht="14.65" thickBot="1">
      <c r="A7" s="79" t="s">
        <v>358</v>
      </c>
      <c r="B7" s="79"/>
      <c r="C7" s="79"/>
      <c r="D7" s="79"/>
    </row>
    <row r="8" spans="1:5">
      <c r="A8" s="218"/>
      <c r="B8" s="166" t="s">
        <v>614</v>
      </c>
      <c r="C8" s="189" t="s">
        <v>615</v>
      </c>
      <c r="D8" s="190" t="s">
        <v>622</v>
      </c>
    </row>
    <row r="9" spans="1:5" ht="14.65" thickBot="1">
      <c r="A9" s="252"/>
      <c r="B9" s="6" t="s">
        <v>35</v>
      </c>
      <c r="C9" s="7" t="s">
        <v>35</v>
      </c>
      <c r="D9" s="24" t="s">
        <v>35</v>
      </c>
    </row>
    <row r="10" spans="1:5" ht="14.65" thickBot="1">
      <c r="A10" s="251" t="s">
        <v>357</v>
      </c>
      <c r="B10" s="264">
        <v>17500</v>
      </c>
      <c r="C10" s="264">
        <v>7000</v>
      </c>
      <c r="D10" s="265">
        <v>12000</v>
      </c>
    </row>
    <row r="12" spans="1:5" ht="14.65" thickBot="1">
      <c r="A12" s="79" t="s">
        <v>359</v>
      </c>
    </row>
    <row r="13" spans="1:5" ht="14.65" thickBot="1">
      <c r="A13" s="500"/>
      <c r="B13" s="16" t="s">
        <v>18</v>
      </c>
      <c r="C13" s="17" t="s">
        <v>48</v>
      </c>
    </row>
    <row r="14" spans="1:5">
      <c r="A14" s="498" t="s">
        <v>329</v>
      </c>
      <c r="B14" s="25" t="s">
        <v>21</v>
      </c>
      <c r="C14" s="629">
        <v>0.3</v>
      </c>
      <c r="E14" s="714"/>
    </row>
    <row r="15" spans="1:5">
      <c r="A15" s="415" t="s">
        <v>330</v>
      </c>
      <c r="B15" s="37" t="s">
        <v>22</v>
      </c>
      <c r="C15" s="630">
        <v>0.55000000000000004</v>
      </c>
    </row>
    <row r="16" spans="1:5">
      <c r="A16" s="415" t="s">
        <v>366</v>
      </c>
      <c r="B16" s="37" t="s">
        <v>19</v>
      </c>
      <c r="C16" s="391">
        <v>2.8340000000000001</v>
      </c>
    </row>
    <row r="17" spans="1:5" ht="14.65" thickBot="1">
      <c r="A17" s="417" t="s">
        <v>23</v>
      </c>
      <c r="B17" s="6" t="s">
        <v>237</v>
      </c>
      <c r="C17" s="416">
        <v>1.7</v>
      </c>
    </row>
    <row r="18" spans="1:5">
      <c r="A18" s="715"/>
      <c r="B18" s="716"/>
      <c r="C18" s="716"/>
      <c r="D18" s="716"/>
    </row>
    <row r="19" spans="1:5">
      <c r="A19" s="717" t="s">
        <v>451</v>
      </c>
      <c r="B19" s="716"/>
      <c r="C19" s="716"/>
      <c r="D19" s="716"/>
    </row>
    <row r="20" spans="1:5">
      <c r="A20" s="79"/>
    </row>
    <row r="21" spans="1:5" ht="14.65" thickBot="1">
      <c r="A21" s="79" t="s">
        <v>264</v>
      </c>
    </row>
    <row r="22" spans="1:5" ht="14.65" thickBot="1">
      <c r="A22" s="191" t="s">
        <v>53</v>
      </c>
      <c r="B22" s="192" t="s">
        <v>18</v>
      </c>
      <c r="C22" s="193" t="s">
        <v>54</v>
      </c>
    </row>
    <row r="23" spans="1:5">
      <c r="A23" s="388" t="s">
        <v>623</v>
      </c>
      <c r="B23" s="323" t="s">
        <v>35</v>
      </c>
      <c r="C23" s="687">
        <f>D10</f>
        <v>12000</v>
      </c>
    </row>
    <row r="24" spans="1:5" hidden="1">
      <c r="A24" s="679" t="s">
        <v>49</v>
      </c>
      <c r="B24" s="721" t="s">
        <v>21</v>
      </c>
      <c r="C24" s="292">
        <f>$C$14</f>
        <v>0.3</v>
      </c>
    </row>
    <row r="25" spans="1:5">
      <c r="A25" s="719" t="s">
        <v>366</v>
      </c>
      <c r="B25" s="178" t="s">
        <v>35</v>
      </c>
      <c r="C25" s="84">
        <f>C23*WK</f>
        <v>34008</v>
      </c>
    </row>
    <row r="26" spans="1:5">
      <c r="A26" s="232" t="s">
        <v>329</v>
      </c>
      <c r="B26" s="178" t="s">
        <v>35</v>
      </c>
      <c r="C26" s="84">
        <f>C23*SSK</f>
        <v>3600</v>
      </c>
      <c r="D26" s="121"/>
      <c r="E26" s="121"/>
    </row>
    <row r="27" spans="1:5" hidden="1">
      <c r="A27" s="232" t="s">
        <v>50</v>
      </c>
      <c r="B27" s="37" t="s">
        <v>22</v>
      </c>
      <c r="C27" s="85">
        <f>$C$15</f>
        <v>0.55000000000000004</v>
      </c>
      <c r="D27" s="121"/>
      <c r="E27" s="121"/>
    </row>
    <row r="28" spans="1:5">
      <c r="A28" s="232" t="s">
        <v>327</v>
      </c>
      <c r="B28" s="37" t="s">
        <v>237</v>
      </c>
      <c r="C28" s="722">
        <f>C26/(C26+C29)</f>
        <v>0.12992637505413598</v>
      </c>
      <c r="D28" s="121"/>
      <c r="E28" s="121"/>
    </row>
    <row r="29" spans="1:5">
      <c r="A29" s="232" t="s">
        <v>367</v>
      </c>
      <c r="B29" s="178" t="s">
        <v>35</v>
      </c>
      <c r="C29" s="723">
        <f>C25-C34</f>
        <v>24108</v>
      </c>
      <c r="D29" s="121"/>
      <c r="E29" s="121"/>
    </row>
    <row r="30" spans="1:5">
      <c r="A30" s="720" t="s">
        <v>331</v>
      </c>
      <c r="B30" s="724" t="s">
        <v>35</v>
      </c>
      <c r="C30" s="718">
        <f>C26+C29</f>
        <v>27708</v>
      </c>
      <c r="D30" s="121"/>
      <c r="E30" s="121"/>
    </row>
    <row r="31" spans="1:5">
      <c r="A31" s="232" t="s">
        <v>428</v>
      </c>
      <c r="B31" s="178" t="s">
        <v>35</v>
      </c>
      <c r="C31" s="84">
        <f>C23*PSK</f>
        <v>6600.0000000000009</v>
      </c>
      <c r="D31" s="121"/>
      <c r="E31" s="121"/>
    </row>
    <row r="32" spans="1:5" hidden="1">
      <c r="A32" s="232" t="s">
        <v>51</v>
      </c>
      <c r="B32" s="37" t="s">
        <v>19</v>
      </c>
      <c r="C32" s="85">
        <f>$C$16</f>
        <v>2.8340000000000001</v>
      </c>
    </row>
    <row r="33" spans="1:8">
      <c r="A33" s="232" t="s">
        <v>326</v>
      </c>
      <c r="B33" s="37" t="s">
        <v>237</v>
      </c>
      <c r="C33" s="722">
        <v>0.4</v>
      </c>
    </row>
    <row r="34" spans="1:8">
      <c r="A34" s="232" t="s">
        <v>426</v>
      </c>
      <c r="B34" s="178" t="s">
        <v>35</v>
      </c>
      <c r="C34" s="723">
        <f>C31/C33*(1-C33)</f>
        <v>9900</v>
      </c>
    </row>
    <row r="35" spans="1:8" ht="14.65" thickBot="1">
      <c r="A35" s="680" t="s">
        <v>427</v>
      </c>
      <c r="B35" s="694" t="s">
        <v>35</v>
      </c>
      <c r="C35" s="725">
        <f>C31+C34</f>
        <v>16500</v>
      </c>
    </row>
    <row r="36" spans="1:8">
      <c r="A36" s="83"/>
      <c r="B36" s="77"/>
      <c r="C36" s="95"/>
    </row>
    <row r="37" spans="1:8" ht="14.65" thickBot="1">
      <c r="A37" s="183" t="s">
        <v>644</v>
      </c>
      <c r="B37" s="181"/>
      <c r="C37" s="182"/>
    </row>
    <row r="38" spans="1:8" ht="14.65" thickBot="1">
      <c r="A38" s="773"/>
      <c r="B38" s="177"/>
      <c r="C38" s="846"/>
      <c r="D38" s="217"/>
      <c r="E38" s="514" t="s">
        <v>263</v>
      </c>
      <c r="F38" s="1074" t="s">
        <v>262</v>
      </c>
      <c r="G38" s="1075"/>
      <c r="H38" s="1076"/>
    </row>
    <row r="39" spans="1:8">
      <c r="A39" s="219" t="s">
        <v>268</v>
      </c>
      <c r="B39" s="848" t="s">
        <v>453</v>
      </c>
      <c r="C39" s="854" t="s">
        <v>454</v>
      </c>
      <c r="D39" s="867" t="s">
        <v>455</v>
      </c>
      <c r="E39" s="862" t="s">
        <v>622</v>
      </c>
      <c r="F39" s="497" t="s">
        <v>624</v>
      </c>
      <c r="G39" s="421" t="s">
        <v>625</v>
      </c>
      <c r="H39" s="492" t="s">
        <v>626</v>
      </c>
    </row>
    <row r="40" spans="1:8" ht="14.65" thickBot="1">
      <c r="A40" s="220" t="s">
        <v>18</v>
      </c>
      <c r="B40" s="847" t="s">
        <v>24</v>
      </c>
      <c r="C40" s="852" t="s">
        <v>24</v>
      </c>
      <c r="D40" s="868" t="s">
        <v>24</v>
      </c>
      <c r="E40" s="863" t="s">
        <v>71</v>
      </c>
      <c r="F40" s="6" t="s">
        <v>35</v>
      </c>
      <c r="G40" s="7" t="s">
        <v>35</v>
      </c>
      <c r="H40" s="24" t="s">
        <v>35</v>
      </c>
    </row>
    <row r="41" spans="1:8">
      <c r="A41" s="184" t="s">
        <v>72</v>
      </c>
      <c r="B41" s="864">
        <f>65.1372719696907%</f>
        <v>0.65137271969690702</v>
      </c>
      <c r="C41" s="865">
        <v>0.9</v>
      </c>
      <c r="D41" s="866">
        <f>B41*C41</f>
        <v>0.58623544772721636</v>
      </c>
      <c r="E41" s="638">
        <v>39002</v>
      </c>
      <c r="F41" s="227">
        <f t="shared" ref="F41:F55" si="0">$D$10*E41/1000000</f>
        <v>468.024</v>
      </c>
      <c r="G41" s="429">
        <f t="shared" ref="G41:G53" si="1">D41*F41</f>
        <v>274.3722591870827</v>
      </c>
      <c r="H41" s="467">
        <f t="shared" ref="H41:H53" si="2">F41*(1-D41)</f>
        <v>193.6517408129173</v>
      </c>
    </row>
    <row r="42" spans="1:8">
      <c r="A42" s="185" t="s">
        <v>73</v>
      </c>
      <c r="B42" s="850">
        <f>80.1532461104534%</f>
        <v>0.80153246110453391</v>
      </c>
      <c r="C42" s="856">
        <v>0.9</v>
      </c>
      <c r="D42" s="147">
        <f t="shared" ref="D42:D55" si="3">B42*C42</f>
        <v>0.72137921499408053</v>
      </c>
      <c r="E42" s="638">
        <v>28.6</v>
      </c>
      <c r="F42" s="229">
        <f t="shared" si="0"/>
        <v>0.34320000000000001</v>
      </c>
      <c r="G42" s="424">
        <f t="shared" si="1"/>
        <v>0.24757734658596844</v>
      </c>
      <c r="H42" s="468">
        <f t="shared" si="2"/>
        <v>9.5622653414031561E-2</v>
      </c>
    </row>
    <row r="43" spans="1:8">
      <c r="A43" s="186" t="s">
        <v>74</v>
      </c>
      <c r="B43" s="850">
        <f>15.8237349786312%</f>
        <v>0.15823734978631199</v>
      </c>
      <c r="C43" s="856">
        <v>0.9</v>
      </c>
      <c r="D43" s="147">
        <f t="shared" si="3"/>
        <v>0.14241361480768081</v>
      </c>
      <c r="E43" s="638">
        <v>159000</v>
      </c>
      <c r="F43" s="229">
        <f t="shared" si="0"/>
        <v>1908</v>
      </c>
      <c r="G43" s="424">
        <f t="shared" si="1"/>
        <v>271.72517705305495</v>
      </c>
      <c r="H43" s="468">
        <f t="shared" si="2"/>
        <v>1636.2748229469451</v>
      </c>
    </row>
    <row r="44" spans="1:8">
      <c r="A44" s="186" t="s">
        <v>75</v>
      </c>
      <c r="B44" s="850">
        <f>25.3487308161862%</f>
        <v>0.25348730816186199</v>
      </c>
      <c r="C44" s="856">
        <v>0.9</v>
      </c>
      <c r="D44" s="147">
        <f t="shared" si="3"/>
        <v>0.2281385773456758</v>
      </c>
      <c r="E44" s="638">
        <v>3.5</v>
      </c>
      <c r="F44" s="229">
        <f t="shared" si="0"/>
        <v>4.2000000000000003E-2</v>
      </c>
      <c r="G44" s="424">
        <f t="shared" si="1"/>
        <v>9.5818202485183843E-3</v>
      </c>
      <c r="H44" s="468">
        <f t="shared" si="2"/>
        <v>3.2418179751481618E-2</v>
      </c>
    </row>
    <row r="45" spans="1:8">
      <c r="A45" s="186" t="s">
        <v>76</v>
      </c>
      <c r="B45" s="850">
        <f>40.3565456881858%</f>
        <v>0.40356545688185796</v>
      </c>
      <c r="C45" s="856">
        <v>0.9</v>
      </c>
      <c r="D45" s="147">
        <f t="shared" si="3"/>
        <v>0.36320891119367216</v>
      </c>
      <c r="E45" s="638">
        <v>136</v>
      </c>
      <c r="F45" s="229">
        <f t="shared" si="0"/>
        <v>1.6319999999999999</v>
      </c>
      <c r="G45" s="424">
        <f t="shared" si="1"/>
        <v>0.59275694306807292</v>
      </c>
      <c r="H45" s="468">
        <f t="shared" si="2"/>
        <v>1.0392430569319269</v>
      </c>
    </row>
    <row r="46" spans="1:8">
      <c r="A46" s="186" t="s">
        <v>77</v>
      </c>
      <c r="B46" s="850">
        <f>23.3623011776807%</f>
        <v>0.233623011776807</v>
      </c>
      <c r="C46" s="856">
        <v>0.9</v>
      </c>
      <c r="D46" s="147">
        <f t="shared" si="3"/>
        <v>0.21026071059912629</v>
      </c>
      <c r="E46" s="638">
        <v>656</v>
      </c>
      <c r="F46" s="229">
        <f t="shared" si="0"/>
        <v>7.8719999999999999</v>
      </c>
      <c r="G46" s="424">
        <f t="shared" si="1"/>
        <v>1.6551723138363221</v>
      </c>
      <c r="H46" s="468">
        <f t="shared" si="2"/>
        <v>6.2168276861636773</v>
      </c>
    </row>
    <row r="47" spans="1:8">
      <c r="A47" s="186" t="s">
        <v>78</v>
      </c>
      <c r="B47" s="850">
        <f>50.7850017965906%</f>
        <v>0.50785001796590601</v>
      </c>
      <c r="C47" s="856">
        <v>0.9</v>
      </c>
      <c r="D47" s="147">
        <f t="shared" si="3"/>
        <v>0.45706501616931544</v>
      </c>
      <c r="E47" s="638">
        <v>87577</v>
      </c>
      <c r="F47" s="229">
        <f t="shared" si="0"/>
        <v>1050.924</v>
      </c>
      <c r="G47" s="424">
        <f t="shared" si="1"/>
        <v>480.34059505272165</v>
      </c>
      <c r="H47" s="468">
        <f t="shared" si="2"/>
        <v>570.58340494727827</v>
      </c>
    </row>
    <row r="48" spans="1:8">
      <c r="A48" s="186" t="s">
        <v>79</v>
      </c>
      <c r="B48" s="850">
        <f>76.0854782336761%</f>
        <v>0.76085478233676096</v>
      </c>
      <c r="C48" s="856">
        <v>0.9</v>
      </c>
      <c r="D48" s="147">
        <f t="shared" si="3"/>
        <v>0.6847693041030849</v>
      </c>
      <c r="E48" s="638">
        <v>8230</v>
      </c>
      <c r="F48" s="229">
        <f t="shared" si="0"/>
        <v>98.76</v>
      </c>
      <c r="G48" s="424">
        <f t="shared" si="1"/>
        <v>67.627816473220662</v>
      </c>
      <c r="H48" s="468">
        <f t="shared" si="2"/>
        <v>31.132183526779336</v>
      </c>
    </row>
    <row r="49" spans="1:8">
      <c r="A49" s="186" t="s">
        <v>80</v>
      </c>
      <c r="B49" s="850">
        <f>77.3600519043161%</f>
        <v>0.77360051904316096</v>
      </c>
      <c r="C49" s="856">
        <v>0.9</v>
      </c>
      <c r="D49" s="147">
        <f t="shared" si="3"/>
        <v>0.69624046713884491</v>
      </c>
      <c r="E49" s="638">
        <v>12900</v>
      </c>
      <c r="F49" s="229">
        <f t="shared" si="0"/>
        <v>154.80000000000001</v>
      </c>
      <c r="G49" s="424">
        <f t="shared" si="1"/>
        <v>107.7780243130932</v>
      </c>
      <c r="H49" s="468">
        <f t="shared" si="2"/>
        <v>47.021975686906814</v>
      </c>
    </row>
    <row r="50" spans="1:8">
      <c r="A50" s="186" t="s">
        <v>81</v>
      </c>
      <c r="B50" s="850">
        <f>82.0553097688045%</f>
        <v>0.82055309768804507</v>
      </c>
      <c r="C50" s="856">
        <v>0.9</v>
      </c>
      <c r="D50" s="147">
        <f t="shared" si="3"/>
        <v>0.73849778791924059</v>
      </c>
      <c r="E50" s="638">
        <v>8100</v>
      </c>
      <c r="F50" s="229">
        <f t="shared" si="0"/>
        <v>97.2</v>
      </c>
      <c r="G50" s="424">
        <f t="shared" si="1"/>
        <v>71.781984985750185</v>
      </c>
      <c r="H50" s="468">
        <f t="shared" si="2"/>
        <v>25.418015014249814</v>
      </c>
    </row>
    <row r="51" spans="1:8">
      <c r="A51" s="186" t="s">
        <v>82</v>
      </c>
      <c r="B51" s="850">
        <f>43.5768646693799%</f>
        <v>0.435768646693799</v>
      </c>
      <c r="C51" s="856">
        <v>0.9</v>
      </c>
      <c r="D51" s="147">
        <f t="shared" si="3"/>
        <v>0.39219178202441912</v>
      </c>
      <c r="E51" s="638">
        <v>125</v>
      </c>
      <c r="F51" s="229">
        <f t="shared" si="0"/>
        <v>1.5</v>
      </c>
      <c r="G51" s="424">
        <f t="shared" si="1"/>
        <v>0.58828767303662866</v>
      </c>
      <c r="H51" s="468">
        <f t="shared" si="2"/>
        <v>0.91171232696337123</v>
      </c>
    </row>
    <row r="52" spans="1:8">
      <c r="A52" s="186" t="s">
        <v>83</v>
      </c>
      <c r="B52" s="850">
        <f>87.5831413796529%</f>
        <v>0.87583141379652896</v>
      </c>
      <c r="C52" s="856">
        <v>0.9</v>
      </c>
      <c r="D52" s="147">
        <f t="shared" si="3"/>
        <v>0.78824827241687612</v>
      </c>
      <c r="E52" s="638">
        <v>81618</v>
      </c>
      <c r="F52" s="229">
        <f t="shared" si="0"/>
        <v>979.41600000000005</v>
      </c>
      <c r="G52" s="424">
        <f t="shared" si="1"/>
        <v>772.02296997744713</v>
      </c>
      <c r="H52" s="468">
        <f t="shared" si="2"/>
        <v>207.39303002255286</v>
      </c>
    </row>
    <row r="53" spans="1:8">
      <c r="A53" s="186" t="s">
        <v>84</v>
      </c>
      <c r="B53" s="850">
        <f>23.0493758838395%</f>
        <v>0.23049375883839499</v>
      </c>
      <c r="C53" s="856">
        <v>0.9</v>
      </c>
      <c r="D53" s="147">
        <f t="shared" si="3"/>
        <v>0.2074443829545555</v>
      </c>
      <c r="E53" s="638">
        <v>124</v>
      </c>
      <c r="F53" s="229">
        <f t="shared" si="0"/>
        <v>1.488</v>
      </c>
      <c r="G53" s="424">
        <f t="shared" si="1"/>
        <v>0.30867724183637857</v>
      </c>
      <c r="H53" s="468">
        <f t="shared" si="2"/>
        <v>1.1793227581636214</v>
      </c>
    </row>
    <row r="54" spans="1:8">
      <c r="A54" s="186" t="s">
        <v>85</v>
      </c>
      <c r="B54" s="850" t="s">
        <v>89</v>
      </c>
      <c r="C54" s="856">
        <v>0.9</v>
      </c>
      <c r="D54" s="147" t="s">
        <v>89</v>
      </c>
      <c r="E54" s="638">
        <v>18900</v>
      </c>
      <c r="F54" s="229">
        <f t="shared" si="0"/>
        <v>226.8</v>
      </c>
      <c r="G54" s="424" t="s">
        <v>89</v>
      </c>
      <c r="H54" s="468" t="s">
        <v>89</v>
      </c>
    </row>
    <row r="55" spans="1:8" ht="14.65" thickBot="1">
      <c r="A55" s="187" t="s">
        <v>86</v>
      </c>
      <c r="B55" s="851">
        <f>43.7894518370706%</f>
        <v>0.43789451837070603</v>
      </c>
      <c r="C55" s="857">
        <v>0.9</v>
      </c>
      <c r="D55" s="861">
        <f t="shared" si="3"/>
        <v>0.39410506653363542</v>
      </c>
      <c r="E55" s="858">
        <v>2353</v>
      </c>
      <c r="F55" s="230">
        <f t="shared" si="0"/>
        <v>28.236000000000001</v>
      </c>
      <c r="G55" s="435">
        <f>D55*F55</f>
        <v>11.12795065864373</v>
      </c>
      <c r="H55" s="469">
        <f>F55*(1-D55)</f>
        <v>17.108049341356271</v>
      </c>
    </row>
    <row r="56" spans="1:8">
      <c r="A56" s="5"/>
      <c r="B56" s="820"/>
    </row>
    <row r="57" spans="1:8" ht="14.65" thickBot="1">
      <c r="A57" s="79" t="s">
        <v>265</v>
      </c>
    </row>
    <row r="58" spans="1:8" ht="14.65" thickBot="1">
      <c r="A58" s="103" t="s">
        <v>90</v>
      </c>
      <c r="B58" s="102" t="s">
        <v>18</v>
      </c>
      <c r="C58" s="17" t="s">
        <v>91</v>
      </c>
    </row>
    <row r="59" spans="1:8">
      <c r="A59" s="272" t="s">
        <v>623</v>
      </c>
      <c r="B59" s="298" t="s">
        <v>35</v>
      </c>
      <c r="C59" s="294">
        <f>$C$23</f>
        <v>12000</v>
      </c>
    </row>
    <row r="60" spans="1:8">
      <c r="A60" s="815" t="s">
        <v>366</v>
      </c>
      <c r="B60" s="278" t="s">
        <v>35</v>
      </c>
      <c r="C60" s="297">
        <f>C25</f>
        <v>34008</v>
      </c>
    </row>
    <row r="61" spans="1:8">
      <c r="A61" s="257" t="s">
        <v>329</v>
      </c>
      <c r="B61" s="278" t="s">
        <v>35</v>
      </c>
      <c r="C61" s="289">
        <f>C26</f>
        <v>3600</v>
      </c>
    </row>
    <row r="62" spans="1:8">
      <c r="A62" s="257" t="s">
        <v>428</v>
      </c>
      <c r="B62" s="278" t="s">
        <v>35</v>
      </c>
      <c r="C62" s="289">
        <f>C31</f>
        <v>6600.0000000000009</v>
      </c>
    </row>
    <row r="63" spans="1:8" ht="14.65" thickBot="1">
      <c r="A63" s="255" t="s">
        <v>4</v>
      </c>
      <c r="B63" s="271" t="s">
        <v>35</v>
      </c>
      <c r="C63" s="256">
        <f>C59+C60+C61+C62</f>
        <v>56208</v>
      </c>
    </row>
    <row r="65" spans="1:12" ht="14.65" thickBot="1">
      <c r="A65" s="79" t="s">
        <v>278</v>
      </c>
      <c r="B65" s="79"/>
      <c r="C65" s="79"/>
    </row>
    <row r="66" spans="1:12" ht="14.65" thickBot="1">
      <c r="A66" s="103" t="s">
        <v>90</v>
      </c>
      <c r="B66" s="102" t="s">
        <v>18</v>
      </c>
      <c r="C66" s="17" t="s">
        <v>91</v>
      </c>
    </row>
    <row r="67" spans="1:12">
      <c r="A67" s="272" t="s">
        <v>623</v>
      </c>
      <c r="B67" s="298" t="s">
        <v>35</v>
      </c>
      <c r="C67" s="294">
        <f>$C$23</f>
        <v>12000</v>
      </c>
    </row>
    <row r="68" spans="1:12">
      <c r="A68" s="257" t="s">
        <v>329</v>
      </c>
      <c r="B68" s="278" t="s">
        <v>35</v>
      </c>
      <c r="C68" s="295">
        <f>$C$26</f>
        <v>3600</v>
      </c>
    </row>
    <row r="69" spans="1:12">
      <c r="A69" s="257" t="s">
        <v>428</v>
      </c>
      <c r="B69" s="278" t="s">
        <v>35</v>
      </c>
      <c r="C69" s="295">
        <f>$C$31</f>
        <v>6600.0000000000009</v>
      </c>
    </row>
    <row r="70" spans="1:12">
      <c r="A70" s="257" t="s">
        <v>336</v>
      </c>
      <c r="B70" s="278" t="s">
        <v>35</v>
      </c>
      <c r="C70" s="279">
        <f>C67+C68+C69</f>
        <v>22200</v>
      </c>
    </row>
    <row r="71" spans="1:12">
      <c r="A71" s="257" t="s">
        <v>4</v>
      </c>
      <c r="B71" s="278" t="s">
        <v>35</v>
      </c>
      <c r="C71" s="279">
        <f>$C$63</f>
        <v>56208</v>
      </c>
    </row>
    <row r="72" spans="1:12">
      <c r="A72" s="299" t="s">
        <v>64</v>
      </c>
      <c r="B72" s="260" t="s">
        <v>24</v>
      </c>
      <c r="C72" s="300">
        <f>C70/C71</f>
        <v>0.39496157130657555</v>
      </c>
    </row>
    <row r="73" spans="1:12">
      <c r="A73" s="257" t="s">
        <v>366</v>
      </c>
      <c r="B73" s="278" t="s">
        <v>35</v>
      </c>
      <c r="C73" s="279">
        <f>$C$25</f>
        <v>34008</v>
      </c>
    </row>
    <row r="74" spans="1:12">
      <c r="A74" s="257" t="s">
        <v>333</v>
      </c>
      <c r="B74" s="278" t="s">
        <v>35</v>
      </c>
      <c r="C74" s="279">
        <f>C73</f>
        <v>34008</v>
      </c>
    </row>
    <row r="75" spans="1:12">
      <c r="A75" s="257" t="s">
        <v>4</v>
      </c>
      <c r="B75" s="278" t="s">
        <v>35</v>
      </c>
      <c r="C75" s="279">
        <f>$C$63</f>
        <v>56208</v>
      </c>
    </row>
    <row r="76" spans="1:12" ht="14.65" thickBot="1">
      <c r="A76" s="301" t="s">
        <v>66</v>
      </c>
      <c r="B76" s="277" t="s">
        <v>24</v>
      </c>
      <c r="C76" s="303">
        <f>C74/C75</f>
        <v>0.60503842869342439</v>
      </c>
    </row>
    <row r="77" spans="1:12">
      <c r="A77" s="83"/>
      <c r="B77" s="77"/>
      <c r="C77" s="96"/>
    </row>
    <row r="78" spans="1:12" ht="14.65" thickBot="1">
      <c r="A78" s="79" t="s">
        <v>92</v>
      </c>
    </row>
    <row r="79" spans="1:12" ht="14.65" thickBot="1">
      <c r="A79" s="419"/>
      <c r="B79" s="1028" t="s">
        <v>262</v>
      </c>
      <c r="C79" s="1029"/>
      <c r="D79" s="1029"/>
      <c r="E79" s="1029"/>
      <c r="F79" s="1030"/>
      <c r="G79" s="1028" t="s">
        <v>263</v>
      </c>
      <c r="H79" s="1029"/>
      <c r="I79" s="1029"/>
      <c r="J79" s="1029"/>
      <c r="K79" s="1029"/>
      <c r="L79" s="1031"/>
    </row>
    <row r="80" spans="1:12">
      <c r="A80" s="420"/>
      <c r="B80" s="1047" t="s">
        <v>270</v>
      </c>
      <c r="C80" s="1051" t="s">
        <v>243</v>
      </c>
      <c r="D80" s="1051" t="s">
        <v>256</v>
      </c>
      <c r="E80" s="1049" t="s">
        <v>336</v>
      </c>
      <c r="F80" s="1052" t="s">
        <v>266</v>
      </c>
      <c r="G80" s="1026" t="s">
        <v>269</v>
      </c>
      <c r="H80" s="1040"/>
      <c r="I80" s="1022" t="s">
        <v>267</v>
      </c>
      <c r="J80" s="1032"/>
      <c r="K80" s="1032"/>
      <c r="L80" s="1023"/>
    </row>
    <row r="81" spans="1:12">
      <c r="A81" s="92" t="s">
        <v>93</v>
      </c>
      <c r="B81" s="1048"/>
      <c r="C81" s="1050"/>
      <c r="D81" s="1050"/>
      <c r="E81" s="1050"/>
      <c r="F81" s="1053"/>
      <c r="G81" s="1033"/>
      <c r="H81" s="1046"/>
      <c r="I81" s="1033" t="s">
        <v>243</v>
      </c>
      <c r="J81" s="1034"/>
      <c r="K81" s="1034" t="s">
        <v>256</v>
      </c>
      <c r="L81" s="1035"/>
    </row>
    <row r="82" spans="1:12" ht="14.65" thickBot="1">
      <c r="A82" s="93" t="s">
        <v>18</v>
      </c>
      <c r="B82" s="153" t="s">
        <v>35</v>
      </c>
      <c r="C82" s="154" t="s">
        <v>35</v>
      </c>
      <c r="D82" s="154" t="s">
        <v>35</v>
      </c>
      <c r="E82" s="154" t="s">
        <v>35</v>
      </c>
      <c r="F82" s="423" t="s">
        <v>35</v>
      </c>
      <c r="G82" s="403" t="s">
        <v>257</v>
      </c>
      <c r="H82" s="423" t="s">
        <v>237</v>
      </c>
      <c r="I82" s="403" t="s">
        <v>70</v>
      </c>
      <c r="J82" s="154" t="s">
        <v>237</v>
      </c>
      <c r="K82" s="154" t="s">
        <v>70</v>
      </c>
      <c r="L82" s="155" t="s">
        <v>237</v>
      </c>
    </row>
    <row r="83" spans="1:12">
      <c r="A83" s="148" t="s">
        <v>72</v>
      </c>
      <c r="B83" s="159">
        <f>F41</f>
        <v>468.024</v>
      </c>
      <c r="C83" s="428">
        <f>G41</f>
        <v>274.3722591870827</v>
      </c>
      <c r="D83" s="428">
        <f>H41</f>
        <v>193.6517408129173</v>
      </c>
      <c r="E83" s="160">
        <f>$C$70</f>
        <v>22200</v>
      </c>
      <c r="F83" s="440">
        <f>$C$63</f>
        <v>56208</v>
      </c>
      <c r="G83" s="443">
        <f t="shared" ref="G83:G103" si="4">B83/E83*1000000</f>
        <v>21082.162162162163</v>
      </c>
      <c r="H83" s="554">
        <f>G83/1000000</f>
        <v>2.1082162162162164E-2</v>
      </c>
      <c r="I83" s="557">
        <f t="shared" ref="I83:I103" si="5">C83/F83*1000000</f>
        <v>4881.3738113272611</v>
      </c>
      <c r="J83" s="432">
        <f>I83/1000000</f>
        <v>4.8813738113272611E-3</v>
      </c>
      <c r="K83" s="431">
        <f t="shared" ref="K83:K103" si="6">D83/F83*1000000</f>
        <v>3445.2700827803387</v>
      </c>
      <c r="L83" s="433">
        <f>K83/1000000</f>
        <v>3.4452700827803389E-3</v>
      </c>
    </row>
    <row r="84" spans="1:12">
      <c r="A84" s="149" t="s">
        <v>73</v>
      </c>
      <c r="B84" s="161">
        <f>F42</f>
        <v>0.34320000000000001</v>
      </c>
      <c r="C84" s="235">
        <f>G42</f>
        <v>0.24757734658596844</v>
      </c>
      <c r="D84" s="235">
        <f>H42</f>
        <v>9.5622653414031561E-2</v>
      </c>
      <c r="E84" s="119">
        <f t="shared" ref="E84:E103" si="7">$C$70</f>
        <v>22200</v>
      </c>
      <c r="F84" s="441">
        <f t="shared" ref="F84:F103" si="8">$C$63</f>
        <v>56208</v>
      </c>
      <c r="G84" s="444">
        <f t="shared" si="4"/>
        <v>15.459459459459461</v>
      </c>
      <c r="H84" s="555">
        <f t="shared" ref="H84:H103" si="9">G84/1000000</f>
        <v>1.5459459459459461E-5</v>
      </c>
      <c r="I84" s="558">
        <f t="shared" si="5"/>
        <v>4.4046638661039079</v>
      </c>
      <c r="J84" s="427">
        <f t="shared" ref="J84:J103" si="10">I84/1000000</f>
        <v>4.4046638661039076E-6</v>
      </c>
      <c r="K84" s="426">
        <f t="shared" si="6"/>
        <v>1.7012285335545039</v>
      </c>
      <c r="L84" s="434">
        <f t="shared" ref="L84:L103" si="11">K84/1000000</f>
        <v>1.7012285335545039E-6</v>
      </c>
    </row>
    <row r="85" spans="1:12">
      <c r="A85" s="149" t="s">
        <v>74</v>
      </c>
      <c r="B85" s="161">
        <f>F43</f>
        <v>1908</v>
      </c>
      <c r="C85" s="235">
        <f>G43</f>
        <v>271.72517705305495</v>
      </c>
      <c r="D85" s="235">
        <f>H43</f>
        <v>1636.2748229469451</v>
      </c>
      <c r="E85" s="119">
        <f t="shared" si="7"/>
        <v>22200</v>
      </c>
      <c r="F85" s="441">
        <f t="shared" si="8"/>
        <v>56208</v>
      </c>
      <c r="G85" s="444">
        <f t="shared" si="4"/>
        <v>85945.945945945947</v>
      </c>
      <c r="H85" s="555">
        <f t="shared" si="9"/>
        <v>8.5945945945945942E-2</v>
      </c>
      <c r="I85" s="558">
        <f t="shared" si="5"/>
        <v>4834.2794095690106</v>
      </c>
      <c r="J85" s="427">
        <f t="shared" si="10"/>
        <v>4.8342794095690101E-3</v>
      </c>
      <c r="K85" s="426">
        <f t="shared" si="6"/>
        <v>29111.066448671809</v>
      </c>
      <c r="L85" s="434">
        <f t="shared" si="11"/>
        <v>2.9111066448671809E-2</v>
      </c>
    </row>
    <row r="86" spans="1:12">
      <c r="A86" s="149" t="s">
        <v>75</v>
      </c>
      <c r="B86" s="161">
        <f>F44</f>
        <v>4.2000000000000003E-2</v>
      </c>
      <c r="C86" s="235">
        <f>G44</f>
        <v>9.5818202485183843E-3</v>
      </c>
      <c r="D86" s="235">
        <f>H44</f>
        <v>3.2418179751481618E-2</v>
      </c>
      <c r="E86" s="119">
        <f t="shared" si="7"/>
        <v>22200</v>
      </c>
      <c r="F86" s="441">
        <f t="shared" si="8"/>
        <v>56208</v>
      </c>
      <c r="G86" s="444">
        <f t="shared" si="4"/>
        <v>1.8918918918918919</v>
      </c>
      <c r="H86" s="555">
        <f t="shared" si="9"/>
        <v>1.891891891891892E-6</v>
      </c>
      <c r="I86" s="558">
        <f t="shared" si="5"/>
        <v>0.17047075591585512</v>
      </c>
      <c r="J86" s="427">
        <f t="shared" si="10"/>
        <v>1.7047075591585512E-7</v>
      </c>
      <c r="K86" s="426">
        <f t="shared" si="6"/>
        <v>0.57675383844793648</v>
      </c>
      <c r="L86" s="434">
        <f t="shared" si="11"/>
        <v>5.7675383844793651E-7</v>
      </c>
    </row>
    <row r="87" spans="1:12">
      <c r="A87" s="149" t="s">
        <v>76</v>
      </c>
      <c r="B87" s="161">
        <f>F45</f>
        <v>1.6319999999999999</v>
      </c>
      <c r="C87" s="235">
        <f>G45</f>
        <v>0.59275694306807292</v>
      </c>
      <c r="D87" s="235">
        <f>H45</f>
        <v>1.0392430569319269</v>
      </c>
      <c r="E87" s="119">
        <f t="shared" si="7"/>
        <v>22200</v>
      </c>
      <c r="F87" s="441">
        <f t="shared" si="8"/>
        <v>56208</v>
      </c>
      <c r="G87" s="444">
        <f t="shared" si="4"/>
        <v>73.513513513513502</v>
      </c>
      <c r="H87" s="555">
        <f t="shared" si="9"/>
        <v>7.3513513513513503E-5</v>
      </c>
      <c r="I87" s="558">
        <f t="shared" si="5"/>
        <v>10.545775389056235</v>
      </c>
      <c r="J87" s="427">
        <f t="shared" si="10"/>
        <v>1.0545775389056236E-5</v>
      </c>
      <c r="K87" s="426">
        <f t="shared" si="6"/>
        <v>18.489237420508235</v>
      </c>
      <c r="L87" s="434">
        <f t="shared" si="11"/>
        <v>1.8489237420508236E-5</v>
      </c>
    </row>
    <row r="88" spans="1:12">
      <c r="A88" s="150" t="s">
        <v>77</v>
      </c>
      <c r="B88" s="161">
        <f>F46</f>
        <v>7.8719999999999999</v>
      </c>
      <c r="C88" s="235">
        <f>G46</f>
        <v>1.6551723138363221</v>
      </c>
      <c r="D88" s="235">
        <f>H46</f>
        <v>6.2168276861636773</v>
      </c>
      <c r="E88" s="119">
        <f t="shared" si="7"/>
        <v>22200</v>
      </c>
      <c r="F88" s="441">
        <f t="shared" si="8"/>
        <v>56208</v>
      </c>
      <c r="G88" s="444">
        <f t="shared" si="4"/>
        <v>354.59459459459458</v>
      </c>
      <c r="H88" s="555">
        <f t="shared" si="9"/>
        <v>3.545945945945946E-4</v>
      </c>
      <c r="I88" s="558">
        <f t="shared" si="5"/>
        <v>29.447272876393434</v>
      </c>
      <c r="J88" s="427">
        <f t="shared" si="10"/>
        <v>2.9447272876393435E-5</v>
      </c>
      <c r="K88" s="426">
        <f t="shared" si="6"/>
        <v>110.60396538150579</v>
      </c>
      <c r="L88" s="434">
        <f t="shared" si="11"/>
        <v>1.1060396538150579E-4</v>
      </c>
    </row>
    <row r="89" spans="1:12">
      <c r="A89" s="150" t="s">
        <v>78</v>
      </c>
      <c r="B89" s="161">
        <f>F47</f>
        <v>1050.924</v>
      </c>
      <c r="C89" s="235">
        <f>G47</f>
        <v>480.34059505272165</v>
      </c>
      <c r="D89" s="235">
        <f>H47</f>
        <v>570.58340494727827</v>
      </c>
      <c r="E89" s="119">
        <f t="shared" si="7"/>
        <v>22200</v>
      </c>
      <c r="F89" s="441">
        <f t="shared" si="8"/>
        <v>56208</v>
      </c>
      <c r="G89" s="444">
        <f t="shared" si="4"/>
        <v>47338.91891891892</v>
      </c>
      <c r="H89" s="555">
        <f t="shared" si="9"/>
        <v>4.7338918918918921E-2</v>
      </c>
      <c r="I89" s="558">
        <f t="shared" si="5"/>
        <v>8545.7691974936242</v>
      </c>
      <c r="J89" s="427">
        <f t="shared" si="10"/>
        <v>8.5457691974936238E-3</v>
      </c>
      <c r="K89" s="426">
        <f t="shared" si="6"/>
        <v>10151.284602677169</v>
      </c>
      <c r="L89" s="434">
        <f t="shared" si="11"/>
        <v>1.015128460267717E-2</v>
      </c>
    </row>
    <row r="90" spans="1:12">
      <c r="A90" s="150" t="s">
        <v>79</v>
      </c>
      <c r="B90" s="161">
        <f>F48</f>
        <v>98.76</v>
      </c>
      <c r="C90" s="235">
        <f>G48</f>
        <v>67.627816473220662</v>
      </c>
      <c r="D90" s="235">
        <f>H48</f>
        <v>31.132183526779336</v>
      </c>
      <c r="E90" s="119">
        <f t="shared" si="7"/>
        <v>22200</v>
      </c>
      <c r="F90" s="441">
        <f t="shared" si="8"/>
        <v>56208</v>
      </c>
      <c r="G90" s="444">
        <f t="shared" si="4"/>
        <v>4448.6486486486492</v>
      </c>
      <c r="H90" s="555">
        <f t="shared" si="9"/>
        <v>4.448648648648649E-3</v>
      </c>
      <c r="I90" s="558">
        <f t="shared" si="5"/>
        <v>1203.1706602836014</v>
      </c>
      <c r="J90" s="427">
        <f t="shared" si="10"/>
        <v>1.2031706602836014E-3</v>
      </c>
      <c r="K90" s="426">
        <f t="shared" si="6"/>
        <v>553.87460017754302</v>
      </c>
      <c r="L90" s="434">
        <f t="shared" si="11"/>
        <v>5.5387460017754296E-4</v>
      </c>
    </row>
    <row r="91" spans="1:12">
      <c r="A91" s="150" t="s">
        <v>80</v>
      </c>
      <c r="B91" s="161">
        <f>F49</f>
        <v>154.80000000000001</v>
      </c>
      <c r="C91" s="235">
        <f>G49</f>
        <v>107.7780243130932</v>
      </c>
      <c r="D91" s="235">
        <f>H49</f>
        <v>47.021975686906814</v>
      </c>
      <c r="E91" s="119">
        <f t="shared" si="7"/>
        <v>22200</v>
      </c>
      <c r="F91" s="441">
        <f t="shared" si="8"/>
        <v>56208</v>
      </c>
      <c r="G91" s="444">
        <f t="shared" si="4"/>
        <v>6972.9729729729743</v>
      </c>
      <c r="H91" s="555">
        <f t="shared" si="9"/>
        <v>6.9729729729729739E-3</v>
      </c>
      <c r="I91" s="558">
        <f t="shared" si="5"/>
        <v>1917.4854880638557</v>
      </c>
      <c r="J91" s="427">
        <f t="shared" si="10"/>
        <v>1.9174854880638556E-3</v>
      </c>
      <c r="K91" s="426">
        <f t="shared" si="6"/>
        <v>836.5708740198337</v>
      </c>
      <c r="L91" s="434">
        <f t="shared" si="11"/>
        <v>8.3657087401983374E-4</v>
      </c>
    </row>
    <row r="92" spans="1:12">
      <c r="A92" s="150" t="s">
        <v>81</v>
      </c>
      <c r="B92" s="161">
        <f>F50</f>
        <v>97.2</v>
      </c>
      <c r="C92" s="235">
        <f>G50</f>
        <v>71.781984985750185</v>
      </c>
      <c r="D92" s="235">
        <f>H50</f>
        <v>25.418015014249814</v>
      </c>
      <c r="E92" s="119">
        <f t="shared" si="7"/>
        <v>22200</v>
      </c>
      <c r="F92" s="441">
        <f t="shared" si="8"/>
        <v>56208</v>
      </c>
      <c r="G92" s="444">
        <f t="shared" si="4"/>
        <v>4378.3783783783783</v>
      </c>
      <c r="H92" s="555">
        <f t="shared" si="9"/>
        <v>4.3783783783783786E-3</v>
      </c>
      <c r="I92" s="558">
        <f t="shared" si="5"/>
        <v>1277.0777288953564</v>
      </c>
      <c r="J92" s="427">
        <f t="shared" si="10"/>
        <v>1.2770777288953563E-3</v>
      </c>
      <c r="K92" s="426">
        <f t="shared" si="6"/>
        <v>452.21347520370438</v>
      </c>
      <c r="L92" s="434">
        <f t="shared" si="11"/>
        <v>4.5221347520370438E-4</v>
      </c>
    </row>
    <row r="93" spans="1:12">
      <c r="A93" s="150" t="s">
        <v>82</v>
      </c>
      <c r="B93" s="161">
        <f>F51</f>
        <v>1.5</v>
      </c>
      <c r="C93" s="235">
        <f>G51</f>
        <v>0.58828767303662866</v>
      </c>
      <c r="D93" s="235">
        <f>H51</f>
        <v>0.91171232696337123</v>
      </c>
      <c r="E93" s="119">
        <f t="shared" si="7"/>
        <v>22200</v>
      </c>
      <c r="F93" s="441">
        <f t="shared" si="8"/>
        <v>56208</v>
      </c>
      <c r="G93" s="444">
        <f t="shared" si="4"/>
        <v>67.567567567567565</v>
      </c>
      <c r="H93" s="555">
        <f t="shared" si="9"/>
        <v>6.7567567567567569E-5</v>
      </c>
      <c r="I93" s="558">
        <f t="shared" si="5"/>
        <v>10.46626232985747</v>
      </c>
      <c r="J93" s="427">
        <f t="shared" si="10"/>
        <v>1.046626232985747E-5</v>
      </c>
      <c r="K93" s="426">
        <f t="shared" si="6"/>
        <v>16.220330325992229</v>
      </c>
      <c r="L93" s="434">
        <f t="shared" si="11"/>
        <v>1.6220330325992231E-5</v>
      </c>
    </row>
    <row r="94" spans="1:12">
      <c r="A94" s="150" t="s">
        <v>630</v>
      </c>
      <c r="B94" s="161">
        <f>F52</f>
        <v>979.41600000000005</v>
      </c>
      <c r="C94" s="235">
        <f>G52</f>
        <v>772.02296997744713</v>
      </c>
      <c r="D94" s="235">
        <f>H52</f>
        <v>207.39303002255286</v>
      </c>
      <c r="E94" s="119">
        <f t="shared" si="7"/>
        <v>22200</v>
      </c>
      <c r="F94" s="441">
        <f t="shared" si="8"/>
        <v>56208</v>
      </c>
      <c r="G94" s="444">
        <f t="shared" si="4"/>
        <v>44117.83783783784</v>
      </c>
      <c r="H94" s="555">
        <f t="shared" si="9"/>
        <v>4.4117837837837841E-2</v>
      </c>
      <c r="I94" s="558">
        <f t="shared" si="5"/>
        <v>13735.108347164944</v>
      </c>
      <c r="J94" s="427">
        <f t="shared" si="10"/>
        <v>1.3735108347164944E-2</v>
      </c>
      <c r="K94" s="426">
        <f t="shared" si="6"/>
        <v>3689.7422079161838</v>
      </c>
      <c r="L94" s="434">
        <f t="shared" si="11"/>
        <v>3.689742207916184E-3</v>
      </c>
    </row>
    <row r="95" spans="1:12">
      <c r="A95" s="150" t="s">
        <v>96</v>
      </c>
      <c r="B95" s="161">
        <f>$C$31*31/98</f>
        <v>2087.7551020408168</v>
      </c>
      <c r="C95" s="235">
        <f>$C$31*31/98</f>
        <v>2087.7551020408168</v>
      </c>
      <c r="D95" s="235">
        <v>0</v>
      </c>
      <c r="E95" s="119">
        <f t="shared" si="7"/>
        <v>22200</v>
      </c>
      <c r="F95" s="441">
        <f t="shared" si="8"/>
        <v>56208</v>
      </c>
      <c r="G95" s="444">
        <f t="shared" si="4"/>
        <v>94043.022614451198</v>
      </c>
      <c r="H95" s="555">
        <f t="shared" si="9"/>
        <v>9.4043022614451202E-2</v>
      </c>
      <c r="I95" s="558">
        <f t="shared" si="5"/>
        <v>37143.379982223472</v>
      </c>
      <c r="J95" s="427">
        <f t="shared" si="10"/>
        <v>3.7143379982223473E-2</v>
      </c>
      <c r="K95" s="426">
        <f t="shared" si="6"/>
        <v>0</v>
      </c>
      <c r="L95" s="434">
        <f t="shared" si="11"/>
        <v>0</v>
      </c>
    </row>
    <row r="96" spans="1:12">
      <c r="A96" s="150" t="s">
        <v>97</v>
      </c>
      <c r="B96" s="161">
        <f>B94+B95</f>
        <v>3067.171102040817</v>
      </c>
      <c r="C96" s="235">
        <f>C94+C95</f>
        <v>2859.7780720182641</v>
      </c>
      <c r="D96" s="235">
        <f>D94+D95</f>
        <v>207.39303002255286</v>
      </c>
      <c r="E96" s="119">
        <f t="shared" si="7"/>
        <v>22200</v>
      </c>
      <c r="F96" s="441">
        <f t="shared" si="8"/>
        <v>56208</v>
      </c>
      <c r="G96" s="444">
        <f t="shared" si="4"/>
        <v>138160.86045228905</v>
      </c>
      <c r="H96" s="555">
        <f t="shared" si="9"/>
        <v>0.13816086045228906</v>
      </c>
      <c r="I96" s="558">
        <f t="shared" si="5"/>
        <v>50878.48832938842</v>
      </c>
      <c r="J96" s="427">
        <f t="shared" si="10"/>
        <v>5.0878488329388419E-2</v>
      </c>
      <c r="K96" s="426">
        <f t="shared" si="6"/>
        <v>3689.7422079161838</v>
      </c>
      <c r="L96" s="434">
        <f t="shared" si="11"/>
        <v>3.689742207916184E-3</v>
      </c>
    </row>
    <row r="97" spans="1:12">
      <c r="A97" s="150" t="s">
        <v>84</v>
      </c>
      <c r="B97" s="161">
        <f>F53</f>
        <v>1.488</v>
      </c>
      <c r="C97" s="235">
        <f>G53</f>
        <v>0.30867724183637857</v>
      </c>
      <c r="D97" s="235">
        <f>H53</f>
        <v>1.1793227581636214</v>
      </c>
      <c r="E97" s="119">
        <f t="shared" si="7"/>
        <v>22200</v>
      </c>
      <c r="F97" s="441">
        <f t="shared" si="8"/>
        <v>56208</v>
      </c>
      <c r="G97" s="444">
        <f t="shared" si="4"/>
        <v>67.027027027027032</v>
      </c>
      <c r="H97" s="555">
        <f t="shared" si="9"/>
        <v>6.7027027027027027E-5</v>
      </c>
      <c r="I97" s="558">
        <f t="shared" si="5"/>
        <v>5.4916958766790955</v>
      </c>
      <c r="J97" s="427">
        <f t="shared" si="10"/>
        <v>5.4916958766790953E-6</v>
      </c>
      <c r="K97" s="426">
        <f t="shared" si="6"/>
        <v>20.981404037923809</v>
      </c>
      <c r="L97" s="434">
        <f t="shared" si="11"/>
        <v>2.0981404037923809E-5</v>
      </c>
    </row>
    <row r="98" spans="1:12">
      <c r="A98" s="150" t="s">
        <v>631</v>
      </c>
      <c r="B98" s="161">
        <f>F54</f>
        <v>226.8</v>
      </c>
      <c r="C98" s="235">
        <v>0</v>
      </c>
      <c r="D98" s="235">
        <f>F54</f>
        <v>226.8</v>
      </c>
      <c r="E98" s="119">
        <f t="shared" si="7"/>
        <v>22200</v>
      </c>
      <c r="F98" s="441">
        <f t="shared" si="8"/>
        <v>56208</v>
      </c>
      <c r="G98" s="444">
        <f t="shared" si="4"/>
        <v>10216.216216216217</v>
      </c>
      <c r="H98" s="555">
        <f t="shared" si="9"/>
        <v>1.0216216216216217E-2</v>
      </c>
      <c r="I98" s="558">
        <f t="shared" si="5"/>
        <v>0</v>
      </c>
      <c r="J98" s="427">
        <f t="shared" si="10"/>
        <v>0</v>
      </c>
      <c r="K98" s="426">
        <f t="shared" si="6"/>
        <v>4035.0128095644745</v>
      </c>
      <c r="L98" s="434">
        <f t="shared" si="11"/>
        <v>4.0350128095644746E-3</v>
      </c>
    </row>
    <row r="99" spans="1:12">
      <c r="A99" s="150" t="s">
        <v>250</v>
      </c>
      <c r="B99" s="161">
        <f>$C$26*32/98</f>
        <v>1175.5102040816328</v>
      </c>
      <c r="C99" s="235">
        <v>0</v>
      </c>
      <c r="D99" s="235">
        <f>$C$26*32/98</f>
        <v>1175.5102040816328</v>
      </c>
      <c r="E99" s="119">
        <f t="shared" si="7"/>
        <v>22200</v>
      </c>
      <c r="F99" s="441">
        <f t="shared" si="8"/>
        <v>56208</v>
      </c>
      <c r="G99" s="444">
        <f t="shared" si="4"/>
        <v>52950.910093767241</v>
      </c>
      <c r="H99" s="555">
        <f t="shared" si="9"/>
        <v>5.2950910093767241E-2</v>
      </c>
      <c r="I99" s="558">
        <f t="shared" si="5"/>
        <v>0</v>
      </c>
      <c r="J99" s="427">
        <f t="shared" si="10"/>
        <v>0</v>
      </c>
      <c r="K99" s="426">
        <f t="shared" si="6"/>
        <v>20913.574652747524</v>
      </c>
      <c r="L99" s="434">
        <f t="shared" si="11"/>
        <v>2.0913574652747523E-2</v>
      </c>
    </row>
    <row r="100" spans="1:12">
      <c r="A100" s="150" t="s">
        <v>251</v>
      </c>
      <c r="B100" s="161">
        <f>B98+B99</f>
        <v>1402.3102040816327</v>
      </c>
      <c r="C100" s="235">
        <v>0</v>
      </c>
      <c r="D100" s="235">
        <f>D98+D99</f>
        <v>1402.3102040816327</v>
      </c>
      <c r="E100" s="119">
        <f t="shared" si="7"/>
        <v>22200</v>
      </c>
      <c r="F100" s="441">
        <f t="shared" si="8"/>
        <v>56208</v>
      </c>
      <c r="G100" s="444">
        <f t="shared" si="4"/>
        <v>63167.126309983461</v>
      </c>
      <c r="H100" s="555">
        <f t="shared" si="9"/>
        <v>6.316712630998346E-2</v>
      </c>
      <c r="I100" s="558">
        <f t="shared" si="5"/>
        <v>0</v>
      </c>
      <c r="J100" s="427">
        <f t="shared" si="10"/>
        <v>0</v>
      </c>
      <c r="K100" s="426">
        <f t="shared" si="6"/>
        <v>24948.587462311996</v>
      </c>
      <c r="L100" s="434">
        <f t="shared" si="11"/>
        <v>2.4948587462311995E-2</v>
      </c>
    </row>
    <row r="101" spans="1:12">
      <c r="A101" s="151" t="s">
        <v>238</v>
      </c>
      <c r="B101" s="161">
        <f>B100/32*96</f>
        <v>4206.9306122448979</v>
      </c>
      <c r="C101" s="235">
        <v>0</v>
      </c>
      <c r="D101" s="235">
        <f>D100/32*96</f>
        <v>4206.9306122448979</v>
      </c>
      <c r="E101" s="119">
        <f t="shared" si="7"/>
        <v>22200</v>
      </c>
      <c r="F101" s="441">
        <f t="shared" si="8"/>
        <v>56208</v>
      </c>
      <c r="G101" s="444">
        <f t="shared" si="4"/>
        <v>189501.37892995036</v>
      </c>
      <c r="H101" s="555">
        <f t="shared" si="9"/>
        <v>0.18950137892995036</v>
      </c>
      <c r="I101" s="558">
        <f t="shared" si="5"/>
        <v>0</v>
      </c>
      <c r="J101" s="427">
        <f t="shared" si="10"/>
        <v>0</v>
      </c>
      <c r="K101" s="426">
        <f t="shared" si="6"/>
        <v>74845.762386935996</v>
      </c>
      <c r="L101" s="434">
        <f t="shared" si="11"/>
        <v>7.4845762386935993E-2</v>
      </c>
    </row>
    <row r="102" spans="1:12">
      <c r="A102" s="151" t="s">
        <v>239</v>
      </c>
      <c r="B102" s="161">
        <f>B100/32*136</f>
        <v>5959.8183673469393</v>
      </c>
      <c r="C102" s="235">
        <v>0</v>
      </c>
      <c r="D102" s="235">
        <f>D100/32*136</f>
        <v>5959.8183673469393</v>
      </c>
      <c r="E102" s="119">
        <f t="shared" si="7"/>
        <v>22200</v>
      </c>
      <c r="F102" s="441">
        <f t="shared" si="8"/>
        <v>56208</v>
      </c>
      <c r="G102" s="444">
        <f t="shared" si="4"/>
        <v>268460.2868174297</v>
      </c>
      <c r="H102" s="555">
        <f t="shared" si="9"/>
        <v>0.26846028681742973</v>
      </c>
      <c r="I102" s="558">
        <f t="shared" si="5"/>
        <v>0</v>
      </c>
      <c r="J102" s="427">
        <f t="shared" si="10"/>
        <v>0</v>
      </c>
      <c r="K102" s="426">
        <f t="shared" si="6"/>
        <v>106031.49671482599</v>
      </c>
      <c r="L102" s="434">
        <f t="shared" si="11"/>
        <v>0.10603149671482599</v>
      </c>
    </row>
    <row r="103" spans="1:12" ht="14.65" thickBot="1">
      <c r="A103" s="152" t="s">
        <v>86</v>
      </c>
      <c r="B103" s="162">
        <f>F55</f>
        <v>28.236000000000001</v>
      </c>
      <c r="C103" s="236">
        <f>G55</f>
        <v>11.12795065864373</v>
      </c>
      <c r="D103" s="236">
        <f>H55</f>
        <v>17.108049341356271</v>
      </c>
      <c r="E103" s="135">
        <f t="shared" si="7"/>
        <v>22200</v>
      </c>
      <c r="F103" s="442">
        <f t="shared" si="8"/>
        <v>56208</v>
      </c>
      <c r="G103" s="445">
        <f t="shared" si="4"/>
        <v>1271.8918918918919</v>
      </c>
      <c r="H103" s="556">
        <f t="shared" si="9"/>
        <v>1.271891891891892E-3</v>
      </c>
      <c r="I103" s="559">
        <f t="shared" si="5"/>
        <v>197.9780575477464</v>
      </c>
      <c r="J103" s="438">
        <f t="shared" si="10"/>
        <v>1.979780575477464E-4</v>
      </c>
      <c r="K103" s="437">
        <f t="shared" si="6"/>
        <v>304.37036260596841</v>
      </c>
      <c r="L103" s="439">
        <f t="shared" si="11"/>
        <v>3.0437036260596841E-4</v>
      </c>
    </row>
    <row r="105" spans="1:12">
      <c r="A105" s="1" t="s">
        <v>98</v>
      </c>
      <c r="B105" s="1"/>
      <c r="C105" s="1"/>
    </row>
    <row r="106" spans="1:12" ht="14.65" thickBot="1">
      <c r="A106" s="79" t="s">
        <v>360</v>
      </c>
      <c r="B106" s="79"/>
      <c r="C106" s="79"/>
    </row>
    <row r="107" spans="1:12">
      <c r="A107" s="496" t="s">
        <v>100</v>
      </c>
      <c r="B107" s="493">
        <v>0.05</v>
      </c>
      <c r="C107" s="304" t="s">
        <v>101</v>
      </c>
    </row>
    <row r="108" spans="1:12">
      <c r="A108" s="392" t="s">
        <v>102</v>
      </c>
      <c r="B108" s="494">
        <v>1.86</v>
      </c>
      <c r="C108" s="72" t="s">
        <v>103</v>
      </c>
    </row>
    <row r="109" spans="1:12">
      <c r="A109" s="392" t="s">
        <v>104</v>
      </c>
      <c r="B109" s="494">
        <v>0.997</v>
      </c>
      <c r="C109" s="72" t="s">
        <v>103</v>
      </c>
    </row>
    <row r="110" spans="1:12">
      <c r="A110" s="392" t="s">
        <v>105</v>
      </c>
      <c r="B110" s="494">
        <v>1.0206786471090072</v>
      </c>
      <c r="C110" s="72" t="s">
        <v>103</v>
      </c>
    </row>
    <row r="111" spans="1:12">
      <c r="A111" s="921" t="s">
        <v>475</v>
      </c>
      <c r="B111" s="924">
        <v>0.02</v>
      </c>
      <c r="C111" s="72" t="s">
        <v>25</v>
      </c>
    </row>
    <row r="112" spans="1:12">
      <c r="A112" s="922" t="s">
        <v>646</v>
      </c>
      <c r="B112" s="925">
        <v>0.9</v>
      </c>
      <c r="C112" s="72" t="s">
        <v>237</v>
      </c>
    </row>
    <row r="113" spans="1:5" ht="14.65" thickBot="1">
      <c r="A113" s="233" t="s">
        <v>476</v>
      </c>
      <c r="B113" s="927">
        <f>B111*B112</f>
        <v>1.8000000000000002E-2</v>
      </c>
      <c r="C113" s="76" t="s">
        <v>25</v>
      </c>
    </row>
    <row r="115" spans="1:5" ht="14.65" thickBot="1">
      <c r="A115" s="79" t="s">
        <v>271</v>
      </c>
    </row>
    <row r="116" spans="1:5" ht="14.65" thickBot="1">
      <c r="A116" s="103" t="s">
        <v>53</v>
      </c>
      <c r="B116" s="102" t="s">
        <v>18</v>
      </c>
      <c r="C116" s="17" t="s">
        <v>106</v>
      </c>
    </row>
    <row r="117" spans="1:5">
      <c r="A117" s="243" t="s">
        <v>4</v>
      </c>
      <c r="B117" s="269" t="s">
        <v>35</v>
      </c>
      <c r="C117" s="386">
        <f>C63</f>
        <v>56208</v>
      </c>
    </row>
    <row r="118" spans="1:5">
      <c r="A118" s="392" t="s">
        <v>107</v>
      </c>
      <c r="B118" s="105" t="s">
        <v>108</v>
      </c>
      <c r="C118" s="450">
        <v>1.3</v>
      </c>
    </row>
    <row r="119" spans="1:5">
      <c r="A119" s="257" t="s">
        <v>109</v>
      </c>
      <c r="B119" s="105" t="s">
        <v>110</v>
      </c>
      <c r="C119" s="84">
        <f>C117/C118</f>
        <v>43236.923076923078</v>
      </c>
    </row>
    <row r="120" spans="1:5">
      <c r="A120" s="281" t="s">
        <v>334</v>
      </c>
      <c r="B120" s="305" t="s">
        <v>25</v>
      </c>
      <c r="C120" s="306">
        <v>0</v>
      </c>
    </row>
    <row r="121" spans="1:5">
      <c r="A121" s="281" t="s">
        <v>111</v>
      </c>
      <c r="B121" s="278" t="s">
        <v>110</v>
      </c>
      <c r="C121" s="289">
        <f>C119*C120</f>
        <v>0</v>
      </c>
    </row>
    <row r="122" spans="1:5">
      <c r="A122" s="281" t="s">
        <v>112</v>
      </c>
      <c r="B122" s="278" t="s">
        <v>108</v>
      </c>
      <c r="C122" s="307">
        <f>B110</f>
        <v>1.0206786471090072</v>
      </c>
    </row>
    <row r="123" spans="1:5" ht="14.65" thickBot="1">
      <c r="A123" s="255" t="s">
        <v>334</v>
      </c>
      <c r="B123" s="271" t="s">
        <v>35</v>
      </c>
      <c r="C123" s="822">
        <f>C121*C122</f>
        <v>0</v>
      </c>
      <c r="D123" s="820"/>
      <c r="E123" s="820"/>
    </row>
    <row r="124" spans="1:5">
      <c r="A124" s="79"/>
      <c r="B124" s="79"/>
      <c r="C124" s="79"/>
    </row>
    <row r="125" spans="1:5" hidden="1">
      <c r="A125" s="79" t="s">
        <v>47</v>
      </c>
      <c r="B125" s="79"/>
      <c r="C125" s="79"/>
    </row>
    <row r="126" spans="1:5" ht="14.65" hidden="1" thickBot="1">
      <c r="A126" s="103" t="s">
        <v>53</v>
      </c>
      <c r="B126" s="102" t="s">
        <v>18</v>
      </c>
      <c r="C126" s="17" t="s">
        <v>106</v>
      </c>
    </row>
    <row r="127" spans="1:5" hidden="1">
      <c r="A127" s="308" t="s">
        <v>627</v>
      </c>
      <c r="B127" s="309" t="s">
        <v>35</v>
      </c>
      <c r="C127" s="294">
        <f>$C$23</f>
        <v>12000</v>
      </c>
    </row>
    <row r="128" spans="1:5" hidden="1">
      <c r="A128" s="282" t="s">
        <v>32</v>
      </c>
      <c r="B128" s="288" t="s">
        <v>35</v>
      </c>
      <c r="C128" s="295">
        <f>$C$26</f>
        <v>3600</v>
      </c>
    </row>
    <row r="129" spans="1:3" hidden="1">
      <c r="A129" s="282" t="s">
        <v>629</v>
      </c>
      <c r="B129" s="288" t="s">
        <v>35</v>
      </c>
      <c r="C129" s="295">
        <f>$C$31</f>
        <v>6600.0000000000009</v>
      </c>
    </row>
    <row r="130" spans="1:3" hidden="1">
      <c r="A130" s="282" t="s">
        <v>115</v>
      </c>
      <c r="B130" s="288" t="s">
        <v>24</v>
      </c>
      <c r="C130" s="312">
        <f>$B$107</f>
        <v>0.05</v>
      </c>
    </row>
    <row r="131" spans="1:3" hidden="1">
      <c r="A131" s="282" t="s">
        <v>113</v>
      </c>
      <c r="B131" s="288" t="s">
        <v>35</v>
      </c>
      <c r="C131" s="295">
        <f>$C$123</f>
        <v>0</v>
      </c>
    </row>
    <row r="132" spans="1:3" hidden="1">
      <c r="A132" s="282" t="s">
        <v>116</v>
      </c>
      <c r="B132" s="288" t="s">
        <v>35</v>
      </c>
      <c r="C132" s="295">
        <f>C131*C130</f>
        <v>0</v>
      </c>
    </row>
    <row r="133" spans="1:3" hidden="1">
      <c r="A133" s="282" t="s">
        <v>430</v>
      </c>
      <c r="B133" s="288" t="s">
        <v>35</v>
      </c>
      <c r="C133" s="279">
        <f>C127+C128+C129+C132</f>
        <v>22200</v>
      </c>
    </row>
    <row r="134" spans="1:3" hidden="1">
      <c r="A134" s="282" t="s">
        <v>114</v>
      </c>
      <c r="B134" s="288" t="s">
        <v>35</v>
      </c>
      <c r="C134" s="279">
        <f>$C$63+$C$123</f>
        <v>56208</v>
      </c>
    </row>
    <row r="135" spans="1:3" hidden="1">
      <c r="A135" s="310" t="s">
        <v>64</v>
      </c>
      <c r="B135" s="283" t="s">
        <v>24</v>
      </c>
      <c r="C135" s="300">
        <f>C133/C134</f>
        <v>0.39496157130657555</v>
      </c>
    </row>
    <row r="136" spans="1:3" hidden="1">
      <c r="A136" s="282" t="s">
        <v>628</v>
      </c>
      <c r="B136" s="288" t="s">
        <v>35</v>
      </c>
      <c r="C136" s="279">
        <f>$C$25</f>
        <v>34008</v>
      </c>
    </row>
    <row r="137" spans="1:3" hidden="1">
      <c r="A137" s="282" t="s">
        <v>117</v>
      </c>
      <c r="B137" s="288" t="s">
        <v>24</v>
      </c>
      <c r="C137" s="312">
        <f>1-$B$107</f>
        <v>0.95</v>
      </c>
    </row>
    <row r="138" spans="1:3" hidden="1">
      <c r="A138" s="282" t="s">
        <v>113</v>
      </c>
      <c r="B138" s="288" t="s">
        <v>35</v>
      </c>
      <c r="C138" s="295">
        <f>$C$123</f>
        <v>0</v>
      </c>
    </row>
    <row r="139" spans="1:3" hidden="1">
      <c r="A139" s="282" t="s">
        <v>118</v>
      </c>
      <c r="B139" s="81" t="s">
        <v>35</v>
      </c>
      <c r="C139" s="84">
        <f>C137*C138</f>
        <v>0</v>
      </c>
    </row>
    <row r="140" spans="1:3" hidden="1">
      <c r="A140" s="282" t="s">
        <v>65</v>
      </c>
      <c r="B140" s="81" t="s">
        <v>35</v>
      </c>
      <c r="C140" s="84">
        <f>C136+C139</f>
        <v>34008</v>
      </c>
    </row>
    <row r="141" spans="1:3" hidden="1">
      <c r="A141" s="282" t="s">
        <v>114</v>
      </c>
      <c r="B141" s="81" t="s">
        <v>35</v>
      </c>
      <c r="C141" s="84">
        <f>$C$63+$C$123</f>
        <v>56208</v>
      </c>
    </row>
    <row r="142" spans="1:3" ht="14.65" hidden="1" thickBot="1">
      <c r="A142" s="311" t="s">
        <v>66</v>
      </c>
      <c r="B142" s="284" t="s">
        <v>24</v>
      </c>
      <c r="C142" s="303">
        <f>C140/C141</f>
        <v>0.60503842869342439</v>
      </c>
    </row>
    <row r="143" spans="1:3" hidden="1">
      <c r="A143" s="83"/>
      <c r="B143" s="77"/>
      <c r="C143" s="96"/>
    </row>
    <row r="144" spans="1:3" ht="14.65" thickBot="1">
      <c r="A144" s="79" t="s">
        <v>119</v>
      </c>
    </row>
    <row r="145" spans="1:4" ht="14.65" thickBot="1">
      <c r="A145" s="905" t="s">
        <v>23</v>
      </c>
      <c r="B145" s="1070">
        <v>1.7</v>
      </c>
      <c r="C145" s="1071"/>
    </row>
    <row r="146" spans="1:4" ht="14.65" thickBot="1">
      <c r="A146" s="2"/>
      <c r="B146" s="1072" t="s">
        <v>120</v>
      </c>
      <c r="C146" s="1073"/>
    </row>
    <row r="147" spans="1:4">
      <c r="A147" s="703" t="s">
        <v>77</v>
      </c>
      <c r="B147" s="880" t="s">
        <v>157</v>
      </c>
      <c r="C147" s="906">
        <v>0.99</v>
      </c>
    </row>
    <row r="148" spans="1:4">
      <c r="A148" s="232" t="s">
        <v>73</v>
      </c>
      <c r="B148" s="881" t="s">
        <v>158</v>
      </c>
      <c r="C148" s="882">
        <v>0.9</v>
      </c>
    </row>
    <row r="149" spans="1:4">
      <c r="A149" s="232" t="s">
        <v>86</v>
      </c>
      <c r="B149" s="881" t="s">
        <v>159</v>
      </c>
      <c r="C149" s="882">
        <v>0.95</v>
      </c>
    </row>
    <row r="150" spans="1:4">
      <c r="A150" s="232" t="s">
        <v>82</v>
      </c>
      <c r="B150" s="881" t="s">
        <v>160</v>
      </c>
      <c r="C150" s="907">
        <v>2.5000000000000001E-2</v>
      </c>
    </row>
    <row r="151" spans="1:4">
      <c r="A151" s="232" t="s">
        <v>72</v>
      </c>
      <c r="B151" s="881" t="s">
        <v>160</v>
      </c>
      <c r="C151" s="907">
        <v>2.5000000000000001E-2</v>
      </c>
    </row>
    <row r="152" spans="1:4">
      <c r="A152" s="232" t="s">
        <v>78</v>
      </c>
      <c r="B152" s="881" t="s">
        <v>160</v>
      </c>
      <c r="C152" s="907">
        <v>2.5000000000000001E-2</v>
      </c>
    </row>
    <row r="153" spans="1:4">
      <c r="A153" s="232" t="s">
        <v>80</v>
      </c>
      <c r="B153" s="881" t="s">
        <v>160</v>
      </c>
      <c r="C153" s="907">
        <v>2.5000000000000001E-2</v>
      </c>
    </row>
    <row r="154" spans="1:4">
      <c r="A154" s="232" t="s">
        <v>83</v>
      </c>
      <c r="B154" s="881" t="s">
        <v>160</v>
      </c>
      <c r="C154" s="907">
        <v>2.5000000000000001E-2</v>
      </c>
    </row>
    <row r="155" spans="1:4">
      <c r="A155" s="232" t="s">
        <v>79</v>
      </c>
      <c r="B155" s="881" t="s">
        <v>160</v>
      </c>
      <c r="C155" s="907">
        <v>2.5000000000000001E-2</v>
      </c>
    </row>
    <row r="156" spans="1:4">
      <c r="A156" s="232" t="s">
        <v>75</v>
      </c>
      <c r="B156" s="881" t="s">
        <v>322</v>
      </c>
      <c r="C156" s="908">
        <v>2.5000000000000001E-2</v>
      </c>
    </row>
    <row r="157" spans="1:4" ht="14.65" thickBot="1">
      <c r="A157" s="233" t="s">
        <v>84</v>
      </c>
      <c r="B157" s="883" t="s">
        <v>323</v>
      </c>
      <c r="C157" s="909">
        <v>2.5000000000000001E-2</v>
      </c>
    </row>
    <row r="158" spans="1:4">
      <c r="A158" s="78"/>
      <c r="B158" s="97"/>
      <c r="C158" s="98"/>
    </row>
    <row r="159" spans="1:4" ht="14.65" thickBot="1">
      <c r="A159" s="79" t="s">
        <v>273</v>
      </c>
    </row>
    <row r="160" spans="1:4">
      <c r="A160" s="18"/>
      <c r="B160" s="266" t="s">
        <v>120</v>
      </c>
      <c r="C160" s="274" t="s">
        <v>243</v>
      </c>
      <c r="D160" s="275" t="s">
        <v>244</v>
      </c>
    </row>
    <row r="161" spans="1:4" ht="14.65" thickBot="1">
      <c r="A161" s="21"/>
      <c r="B161" s="451" t="s">
        <v>24</v>
      </c>
      <c r="C161" s="154" t="s">
        <v>35</v>
      </c>
      <c r="D161" s="155" t="s">
        <v>35</v>
      </c>
    </row>
    <row r="162" spans="1:4">
      <c r="A162" s="184" t="s">
        <v>72</v>
      </c>
      <c r="B162" s="399">
        <v>0</v>
      </c>
      <c r="C162" s="428">
        <f>G41</f>
        <v>274.3722591870827</v>
      </c>
      <c r="D162" s="122">
        <f>C162*B162</f>
        <v>0</v>
      </c>
    </row>
    <row r="163" spans="1:4">
      <c r="A163" s="185" t="s">
        <v>73</v>
      </c>
      <c r="B163" s="400">
        <v>0</v>
      </c>
      <c r="C163" s="235">
        <f>G42</f>
        <v>0.24757734658596844</v>
      </c>
      <c r="D163" s="87">
        <f>C163*B163</f>
        <v>0</v>
      </c>
    </row>
    <row r="164" spans="1:4">
      <c r="A164" s="185" t="s">
        <v>75</v>
      </c>
      <c r="B164" s="400">
        <v>0</v>
      </c>
      <c r="C164" s="235">
        <f>G44</f>
        <v>9.5818202485183843E-3</v>
      </c>
      <c r="D164" s="739">
        <f t="shared" ref="D164:D180" si="12">C164*B164</f>
        <v>0</v>
      </c>
    </row>
    <row r="165" spans="1:4">
      <c r="A165" s="186" t="s">
        <v>77</v>
      </c>
      <c r="B165" s="400">
        <v>0</v>
      </c>
      <c r="C165" s="235">
        <f>G46</f>
        <v>1.6551723138363221</v>
      </c>
      <c r="D165" s="87">
        <f t="shared" si="12"/>
        <v>0</v>
      </c>
    </row>
    <row r="166" spans="1:4">
      <c r="A166" s="186" t="s">
        <v>78</v>
      </c>
      <c r="B166" s="400">
        <v>0</v>
      </c>
      <c r="C166" s="235">
        <f>G47</f>
        <v>480.34059505272165</v>
      </c>
      <c r="D166" s="87">
        <f t="shared" si="12"/>
        <v>0</v>
      </c>
    </row>
    <row r="167" spans="1:4">
      <c r="A167" s="186" t="s">
        <v>79</v>
      </c>
      <c r="B167" s="400">
        <v>0</v>
      </c>
      <c r="C167" s="235">
        <f>G48</f>
        <v>67.627816473220662</v>
      </c>
      <c r="D167" s="87">
        <f t="shared" si="12"/>
        <v>0</v>
      </c>
    </row>
    <row r="168" spans="1:4">
      <c r="A168" s="186" t="s">
        <v>80</v>
      </c>
      <c r="B168" s="400">
        <v>0</v>
      </c>
      <c r="C168" s="235">
        <f>G49</f>
        <v>107.7780243130932</v>
      </c>
      <c r="D168" s="87">
        <f t="shared" si="12"/>
        <v>0</v>
      </c>
    </row>
    <row r="169" spans="1:4">
      <c r="A169" s="186" t="s">
        <v>82</v>
      </c>
      <c r="B169" s="400">
        <v>0</v>
      </c>
      <c r="C169" s="235">
        <f>G51</f>
        <v>0.58828767303662866</v>
      </c>
      <c r="D169" s="87">
        <f t="shared" si="12"/>
        <v>0</v>
      </c>
    </row>
    <row r="170" spans="1:4">
      <c r="A170" s="186" t="s">
        <v>630</v>
      </c>
      <c r="B170" s="400">
        <v>0</v>
      </c>
      <c r="C170" s="235">
        <f>G52</f>
        <v>772.02296997744713</v>
      </c>
      <c r="D170" s="87">
        <f t="shared" si="12"/>
        <v>0</v>
      </c>
    </row>
    <row r="171" spans="1:4">
      <c r="A171" s="406" t="s">
        <v>96</v>
      </c>
      <c r="B171" s="400">
        <v>0</v>
      </c>
      <c r="C171" s="235">
        <f>B95</f>
        <v>2087.7551020408168</v>
      </c>
      <c r="D171" s="87">
        <f t="shared" si="12"/>
        <v>0</v>
      </c>
    </row>
    <row r="172" spans="1:4">
      <c r="A172" s="406" t="s">
        <v>274</v>
      </c>
      <c r="B172" s="400">
        <v>0</v>
      </c>
      <c r="C172" s="235">
        <f>C170+C171</f>
        <v>2859.7780720182641</v>
      </c>
      <c r="D172" s="87">
        <f t="shared" si="12"/>
        <v>0</v>
      </c>
    </row>
    <row r="173" spans="1:4">
      <c r="A173" s="406" t="s">
        <v>84</v>
      </c>
      <c r="B173" s="400">
        <v>0</v>
      </c>
      <c r="C173" s="235">
        <f>G53</f>
        <v>0.30867724183637857</v>
      </c>
      <c r="D173" s="87">
        <f t="shared" si="12"/>
        <v>0</v>
      </c>
    </row>
    <row r="174" spans="1:4">
      <c r="A174" s="186" t="s">
        <v>631</v>
      </c>
      <c r="B174" s="402">
        <v>1</v>
      </c>
      <c r="C174" s="235">
        <f>B98</f>
        <v>226.8</v>
      </c>
      <c r="D174" s="87">
        <f t="shared" si="12"/>
        <v>226.8</v>
      </c>
    </row>
    <row r="175" spans="1:4">
      <c r="A175" s="186" t="s">
        <v>250</v>
      </c>
      <c r="B175" s="396">
        <v>1</v>
      </c>
      <c r="C175" s="235">
        <f>B99</f>
        <v>1175.5102040816328</v>
      </c>
      <c r="D175" s="87">
        <f t="shared" si="12"/>
        <v>1175.5102040816328</v>
      </c>
    </row>
    <row r="176" spans="1:4">
      <c r="A176" s="186" t="s">
        <v>251</v>
      </c>
      <c r="B176" s="397">
        <v>1</v>
      </c>
      <c r="C176" s="573">
        <f>C174+C175</f>
        <v>1402.3102040816327</v>
      </c>
      <c r="D176" s="87">
        <f>C176*B176</f>
        <v>1402.3102040816327</v>
      </c>
    </row>
    <row r="177" spans="1:4">
      <c r="A177" s="406" t="s">
        <v>238</v>
      </c>
      <c r="B177" s="397">
        <v>1</v>
      </c>
      <c r="C177" s="573">
        <f>C176/32*96</f>
        <v>4206.9306122448979</v>
      </c>
      <c r="D177" s="87">
        <f>C177*B177</f>
        <v>4206.9306122448979</v>
      </c>
    </row>
    <row r="178" spans="1:4">
      <c r="A178" s="406" t="s">
        <v>239</v>
      </c>
      <c r="B178" s="397">
        <v>1</v>
      </c>
      <c r="C178" s="573">
        <f>C176/32*136</f>
        <v>5959.8183673469393</v>
      </c>
      <c r="D178" s="87">
        <f>C178*B178</f>
        <v>5959.8183673469393</v>
      </c>
    </row>
    <row r="179" spans="1:4">
      <c r="A179" s="406" t="s">
        <v>248</v>
      </c>
      <c r="B179" s="396">
        <v>1</v>
      </c>
      <c r="C179" s="235">
        <f>C123*B107*32/78</f>
        <v>0</v>
      </c>
      <c r="D179" s="87">
        <f>C179*B179</f>
        <v>0</v>
      </c>
    </row>
    <row r="180" spans="1:4" ht="14.65" thickBot="1">
      <c r="A180" s="187" t="s">
        <v>86</v>
      </c>
      <c r="B180" s="751">
        <v>0</v>
      </c>
      <c r="C180" s="236">
        <f>G55</f>
        <v>11.12795065864373</v>
      </c>
      <c r="D180" s="88">
        <f t="shared" si="12"/>
        <v>0</v>
      </c>
    </row>
    <row r="182" spans="1:4" ht="14.65" thickBot="1">
      <c r="A182" s="79" t="s">
        <v>272</v>
      </c>
      <c r="D182" s="99"/>
    </row>
    <row r="183" spans="1:4" ht="14.65" thickBot="1">
      <c r="A183" s="103" t="s">
        <v>90</v>
      </c>
      <c r="B183" s="102" t="s">
        <v>18</v>
      </c>
      <c r="C183" s="17" t="s">
        <v>91</v>
      </c>
    </row>
    <row r="184" spans="1:4">
      <c r="A184" s="276" t="s">
        <v>4</v>
      </c>
      <c r="B184" s="296" t="s">
        <v>35</v>
      </c>
      <c r="C184" s="286">
        <f>C117</f>
        <v>56208</v>
      </c>
    </row>
    <row r="185" spans="1:4">
      <c r="A185" s="281" t="s">
        <v>334</v>
      </c>
      <c r="B185" s="278" t="s">
        <v>35</v>
      </c>
      <c r="C185" s="289">
        <f>C123</f>
        <v>0</v>
      </c>
    </row>
    <row r="186" spans="1:4" ht="14.65" thickBot="1">
      <c r="A186" s="255" t="s">
        <v>6</v>
      </c>
      <c r="B186" s="271" t="s">
        <v>35</v>
      </c>
      <c r="C186" s="280">
        <f>C184+C185</f>
        <v>56208</v>
      </c>
    </row>
    <row r="188" spans="1:4" ht="14.65" thickBot="1">
      <c r="A188" s="79" t="s">
        <v>279</v>
      </c>
      <c r="B188" s="79"/>
      <c r="C188" s="79"/>
      <c r="D188" s="99"/>
    </row>
    <row r="189" spans="1:4" ht="14.65" thickBot="1">
      <c r="A189" s="3" t="s">
        <v>90</v>
      </c>
      <c r="B189" s="14" t="s">
        <v>18</v>
      </c>
      <c r="C189" s="15" t="s">
        <v>91</v>
      </c>
      <c r="D189" s="99"/>
    </row>
    <row r="190" spans="1:4">
      <c r="A190" s="308" t="s">
        <v>623</v>
      </c>
      <c r="B190" s="309" t="s">
        <v>35</v>
      </c>
      <c r="C190" s="294">
        <f>C23</f>
        <v>12000</v>
      </c>
      <c r="D190" s="99"/>
    </row>
    <row r="191" spans="1:4">
      <c r="A191" s="282" t="s">
        <v>329</v>
      </c>
      <c r="B191" s="288" t="s">
        <v>35</v>
      </c>
      <c r="C191" s="295">
        <f>C26</f>
        <v>3600</v>
      </c>
      <c r="D191" s="99"/>
    </row>
    <row r="192" spans="1:4">
      <c r="A192" s="282" t="s">
        <v>428</v>
      </c>
      <c r="B192" s="288" t="s">
        <v>35</v>
      </c>
      <c r="C192" s="295">
        <f>C31</f>
        <v>6600.0000000000009</v>
      </c>
      <c r="D192" s="99"/>
    </row>
    <row r="193" spans="1:12">
      <c r="A193" s="282" t="s">
        <v>115</v>
      </c>
      <c r="B193" s="288" t="s">
        <v>24</v>
      </c>
      <c r="C193" s="312">
        <f>$B$107</f>
        <v>0.05</v>
      </c>
      <c r="D193" s="99"/>
    </row>
    <row r="194" spans="1:12">
      <c r="A194" s="282" t="s">
        <v>334</v>
      </c>
      <c r="B194" s="288" t="s">
        <v>35</v>
      </c>
      <c r="C194" s="295">
        <f>C123</f>
        <v>0</v>
      </c>
      <c r="D194" s="99"/>
    </row>
    <row r="195" spans="1:12">
      <c r="A195" s="282" t="s">
        <v>429</v>
      </c>
      <c r="B195" s="288" t="s">
        <v>35</v>
      </c>
      <c r="C195" s="295">
        <f>C194*C193</f>
        <v>0</v>
      </c>
      <c r="D195" s="99"/>
    </row>
    <row r="196" spans="1:12">
      <c r="A196" s="282" t="s">
        <v>337</v>
      </c>
      <c r="B196" s="288" t="s">
        <v>35</v>
      </c>
      <c r="C196" s="279">
        <f>C190+C191+C192+C195</f>
        <v>22200</v>
      </c>
      <c r="D196" s="99"/>
    </row>
    <row r="197" spans="1:12">
      <c r="A197" s="282" t="s">
        <v>6</v>
      </c>
      <c r="B197" s="288" t="s">
        <v>35</v>
      </c>
      <c r="C197" s="289">
        <f>C186</f>
        <v>56208</v>
      </c>
    </row>
    <row r="198" spans="1:12">
      <c r="A198" s="310" t="s">
        <v>64</v>
      </c>
      <c r="B198" s="283" t="s">
        <v>24</v>
      </c>
      <c r="C198" s="300">
        <f>C196/C197</f>
        <v>0.39496157130657555</v>
      </c>
    </row>
    <row r="199" spans="1:12">
      <c r="A199" s="282" t="s">
        <v>366</v>
      </c>
      <c r="B199" s="288" t="s">
        <v>35</v>
      </c>
      <c r="C199" s="279">
        <f>C25</f>
        <v>34008</v>
      </c>
    </row>
    <row r="200" spans="1:12">
      <c r="A200" s="282" t="s">
        <v>117</v>
      </c>
      <c r="B200" s="288" t="s">
        <v>24</v>
      </c>
      <c r="C200" s="312">
        <f>1-$B$107</f>
        <v>0.95</v>
      </c>
    </row>
    <row r="201" spans="1:12">
      <c r="A201" s="282" t="s">
        <v>334</v>
      </c>
      <c r="B201" s="288" t="s">
        <v>35</v>
      </c>
      <c r="C201" s="295">
        <f>C123</f>
        <v>0</v>
      </c>
    </row>
    <row r="202" spans="1:12">
      <c r="A202" s="282" t="s">
        <v>356</v>
      </c>
      <c r="B202" s="288" t="s">
        <v>35</v>
      </c>
      <c r="C202" s="279">
        <f>C200*C201</f>
        <v>0</v>
      </c>
    </row>
    <row r="203" spans="1:12">
      <c r="A203" s="282" t="s">
        <v>335</v>
      </c>
      <c r="B203" s="288" t="s">
        <v>35</v>
      </c>
      <c r="C203" s="279">
        <f>C199+C202</f>
        <v>34008</v>
      </c>
    </row>
    <row r="204" spans="1:12">
      <c r="A204" s="282" t="s">
        <v>6</v>
      </c>
      <c r="B204" s="288" t="s">
        <v>35</v>
      </c>
      <c r="C204" s="289">
        <f>C186</f>
        <v>56208</v>
      </c>
    </row>
    <row r="205" spans="1:12" ht="14.65" thickBot="1">
      <c r="A205" s="311" t="s">
        <v>66</v>
      </c>
      <c r="B205" s="284" t="s">
        <v>24</v>
      </c>
      <c r="C205" s="303">
        <f>C203/C204</f>
        <v>0.60503842869342439</v>
      </c>
    </row>
    <row r="206" spans="1:12">
      <c r="A206" s="83"/>
      <c r="B206" s="77"/>
      <c r="C206" s="96"/>
    </row>
    <row r="207" spans="1:12" ht="14.65" thickBot="1">
      <c r="A207" s="79" t="s">
        <v>124</v>
      </c>
    </row>
    <row r="208" spans="1:12" ht="14.65" thickBot="1">
      <c r="A208" s="419"/>
      <c r="B208" s="1062" t="s">
        <v>262</v>
      </c>
      <c r="C208" s="1063"/>
      <c r="D208" s="1063"/>
      <c r="E208" s="1063"/>
      <c r="F208" s="1064"/>
      <c r="G208" s="1062" t="s">
        <v>263</v>
      </c>
      <c r="H208" s="1063"/>
      <c r="I208" s="1063"/>
      <c r="J208" s="1063"/>
      <c r="K208" s="1063"/>
      <c r="L208" s="1066"/>
    </row>
    <row r="209" spans="1:12">
      <c r="A209" s="452"/>
      <c r="B209" s="1024" t="s">
        <v>275</v>
      </c>
      <c r="C209" s="1041" t="s">
        <v>243</v>
      </c>
      <c r="D209" s="1041" t="s">
        <v>256</v>
      </c>
      <c r="E209" s="1041" t="s">
        <v>337</v>
      </c>
      <c r="F209" s="1041" t="s">
        <v>276</v>
      </c>
      <c r="G209" s="1032" t="s">
        <v>269</v>
      </c>
      <c r="H209" s="1054"/>
      <c r="I209" s="1022" t="s">
        <v>277</v>
      </c>
      <c r="J209" s="1032"/>
      <c r="K209" s="1032"/>
      <c r="L209" s="1023"/>
    </row>
    <row r="210" spans="1:12">
      <c r="A210" s="219" t="s">
        <v>93</v>
      </c>
      <c r="B210" s="1067"/>
      <c r="C210" s="1042"/>
      <c r="D210" s="1042"/>
      <c r="E210" s="1042"/>
      <c r="F210" s="1042"/>
      <c r="G210" s="1034"/>
      <c r="H210" s="1046"/>
      <c r="I210" s="1033" t="s">
        <v>243</v>
      </c>
      <c r="J210" s="1034"/>
      <c r="K210" s="1034" t="s">
        <v>256</v>
      </c>
      <c r="L210" s="1035"/>
    </row>
    <row r="211" spans="1:12" ht="14.65" thickBot="1">
      <c r="A211" s="220" t="s">
        <v>18</v>
      </c>
      <c r="B211" s="403" t="s">
        <v>35</v>
      </c>
      <c r="C211" s="154" t="s">
        <v>35</v>
      </c>
      <c r="D211" s="154" t="s">
        <v>35</v>
      </c>
      <c r="E211" s="154" t="s">
        <v>35</v>
      </c>
      <c r="F211" s="154" t="s">
        <v>35</v>
      </c>
      <c r="G211" s="154" t="s">
        <v>257</v>
      </c>
      <c r="H211" s="423" t="s">
        <v>237</v>
      </c>
      <c r="I211" s="403" t="s">
        <v>70</v>
      </c>
      <c r="J211" s="154" t="s">
        <v>237</v>
      </c>
      <c r="K211" s="154" t="s">
        <v>70</v>
      </c>
      <c r="L211" s="155" t="s">
        <v>237</v>
      </c>
    </row>
    <row r="212" spans="1:12">
      <c r="A212" s="222" t="s">
        <v>72</v>
      </c>
      <c r="B212" s="159">
        <f>B83</f>
        <v>468.024</v>
      </c>
      <c r="C212" s="429">
        <f>B212-D212</f>
        <v>274.3722591870827</v>
      </c>
      <c r="D212" s="428">
        <f>D83+D162</f>
        <v>193.6517408129173</v>
      </c>
      <c r="E212" s="160">
        <f>$C$196</f>
        <v>22200</v>
      </c>
      <c r="F212" s="429">
        <f>$C$186</f>
        <v>56208</v>
      </c>
      <c r="G212" s="404">
        <f t="shared" ref="G212:G231" si="13">B212/E212*1000000</f>
        <v>21082.162162162163</v>
      </c>
      <c r="H212" s="560">
        <f>G212/1000000</f>
        <v>2.1082162162162164E-2</v>
      </c>
      <c r="I212" s="557">
        <f>C212/F212*1000000</f>
        <v>4881.3738113272611</v>
      </c>
      <c r="J212" s="430">
        <f>I212/1000000</f>
        <v>4.8813738113272611E-3</v>
      </c>
      <c r="K212" s="431">
        <f>D212/F212*1000000</f>
        <v>3445.2700827803387</v>
      </c>
      <c r="L212" s="433">
        <f>K212/1000000</f>
        <v>3.4452700827803389E-3</v>
      </c>
    </row>
    <row r="213" spans="1:12">
      <c r="A213" s="149" t="s">
        <v>73</v>
      </c>
      <c r="B213" s="161">
        <f>B84</f>
        <v>0.34320000000000001</v>
      </c>
      <c r="C213" s="424">
        <f t="shared" ref="C213:C233" si="14">B213-D213</f>
        <v>0.24757734658596844</v>
      </c>
      <c r="D213" s="235">
        <f>D84+D163</f>
        <v>9.5622653414031561E-2</v>
      </c>
      <c r="E213" s="119">
        <f t="shared" ref="E213:E233" si="15">$C$196</f>
        <v>22200</v>
      </c>
      <c r="F213" s="424">
        <f t="shared" ref="F213:F233" si="16">$C$186</f>
        <v>56208</v>
      </c>
      <c r="G213" s="395">
        <f t="shared" si="13"/>
        <v>15.459459459459461</v>
      </c>
      <c r="H213" s="561">
        <f t="shared" ref="H213:H233" si="17">G213/1000000</f>
        <v>1.5459459459459461E-5</v>
      </c>
      <c r="I213" s="558">
        <f t="shared" ref="I213:I233" si="18">C213/F213*1000000</f>
        <v>4.4046638661039079</v>
      </c>
      <c r="J213" s="425">
        <f t="shared" ref="J213:J233" si="19">I213/1000000</f>
        <v>4.4046638661039076E-6</v>
      </c>
      <c r="K213" s="426">
        <f t="shared" ref="K213:K233" si="20">D213/F213*1000000</f>
        <v>1.7012285335545039</v>
      </c>
      <c r="L213" s="434">
        <f t="shared" ref="L213:L233" si="21">K213/1000000</f>
        <v>1.7012285335545039E-6</v>
      </c>
    </row>
    <row r="214" spans="1:12">
      <c r="A214" s="149" t="s">
        <v>74</v>
      </c>
      <c r="B214" s="161">
        <f>B85</f>
        <v>1908</v>
      </c>
      <c r="C214" s="424">
        <f t="shared" si="14"/>
        <v>271.72517705305495</v>
      </c>
      <c r="D214" s="235">
        <f>D85</f>
        <v>1636.2748229469451</v>
      </c>
      <c r="E214" s="119">
        <f t="shared" si="15"/>
        <v>22200</v>
      </c>
      <c r="F214" s="424">
        <f t="shared" si="16"/>
        <v>56208</v>
      </c>
      <c r="G214" s="395">
        <f t="shared" si="13"/>
        <v>85945.945945945947</v>
      </c>
      <c r="H214" s="561">
        <f t="shared" si="17"/>
        <v>8.5945945945945942E-2</v>
      </c>
      <c r="I214" s="558">
        <f t="shared" si="18"/>
        <v>4834.2794095690106</v>
      </c>
      <c r="J214" s="425">
        <f t="shared" si="19"/>
        <v>4.8342794095690101E-3</v>
      </c>
      <c r="K214" s="426">
        <f t="shared" si="20"/>
        <v>29111.066448671809</v>
      </c>
      <c r="L214" s="434">
        <f t="shared" si="21"/>
        <v>2.9111066448671809E-2</v>
      </c>
    </row>
    <row r="215" spans="1:12">
      <c r="A215" s="149" t="s">
        <v>75</v>
      </c>
      <c r="B215" s="161">
        <f>B86</f>
        <v>4.2000000000000003E-2</v>
      </c>
      <c r="C215" s="424">
        <f t="shared" si="14"/>
        <v>9.5818202485183843E-3</v>
      </c>
      <c r="D215" s="235">
        <f>D164+D86</f>
        <v>3.2418179751481618E-2</v>
      </c>
      <c r="E215" s="119">
        <f t="shared" si="15"/>
        <v>22200</v>
      </c>
      <c r="F215" s="424">
        <f t="shared" si="16"/>
        <v>56208</v>
      </c>
      <c r="G215" s="395">
        <f t="shared" si="13"/>
        <v>1.8918918918918919</v>
      </c>
      <c r="H215" s="561">
        <f t="shared" si="17"/>
        <v>1.891891891891892E-6</v>
      </c>
      <c r="I215" s="558">
        <f t="shared" si="18"/>
        <v>0.17047075591585512</v>
      </c>
      <c r="J215" s="425">
        <f t="shared" si="19"/>
        <v>1.7047075591585512E-7</v>
      </c>
      <c r="K215" s="426">
        <f t="shared" si="20"/>
        <v>0.57675383844793648</v>
      </c>
      <c r="L215" s="434">
        <f t="shared" si="21"/>
        <v>5.7675383844793651E-7</v>
      </c>
    </row>
    <row r="216" spans="1:12">
      <c r="A216" s="149" t="s">
        <v>76</v>
      </c>
      <c r="B216" s="161">
        <f>B87</f>
        <v>1.6319999999999999</v>
      </c>
      <c r="C216" s="424">
        <f t="shared" si="14"/>
        <v>0.59275694306807303</v>
      </c>
      <c r="D216" s="235">
        <f>D87</f>
        <v>1.0392430569319269</v>
      </c>
      <c r="E216" s="119">
        <f t="shared" si="15"/>
        <v>22200</v>
      </c>
      <c r="F216" s="424">
        <f t="shared" si="16"/>
        <v>56208</v>
      </c>
      <c r="G216" s="395">
        <f t="shared" si="13"/>
        <v>73.513513513513502</v>
      </c>
      <c r="H216" s="561">
        <f t="shared" si="17"/>
        <v>7.3513513513513503E-5</v>
      </c>
      <c r="I216" s="558">
        <f t="shared" si="18"/>
        <v>10.545775389056237</v>
      </c>
      <c r="J216" s="425">
        <f t="shared" si="19"/>
        <v>1.0545775389056237E-5</v>
      </c>
      <c r="K216" s="426">
        <f t="shared" si="20"/>
        <v>18.489237420508235</v>
      </c>
      <c r="L216" s="434">
        <f t="shared" si="21"/>
        <v>1.8489237420508236E-5</v>
      </c>
    </row>
    <row r="217" spans="1:12">
      <c r="A217" s="150" t="s">
        <v>77</v>
      </c>
      <c r="B217" s="161">
        <f>B88</f>
        <v>7.8719999999999999</v>
      </c>
      <c r="C217" s="424">
        <f t="shared" si="14"/>
        <v>1.6551723138363226</v>
      </c>
      <c r="D217" s="235">
        <f>D88+D165</f>
        <v>6.2168276861636773</v>
      </c>
      <c r="E217" s="119">
        <f t="shared" si="15"/>
        <v>22200</v>
      </c>
      <c r="F217" s="424">
        <f t="shared" si="16"/>
        <v>56208</v>
      </c>
      <c r="G217" s="395">
        <f t="shared" si="13"/>
        <v>354.59459459459458</v>
      </c>
      <c r="H217" s="561">
        <f t="shared" si="17"/>
        <v>3.545945945945946E-4</v>
      </c>
      <c r="I217" s="558">
        <f t="shared" si="18"/>
        <v>29.447272876393441</v>
      </c>
      <c r="J217" s="425">
        <f t="shared" si="19"/>
        <v>2.9447272876393442E-5</v>
      </c>
      <c r="K217" s="426">
        <f t="shared" si="20"/>
        <v>110.60396538150579</v>
      </c>
      <c r="L217" s="434">
        <f t="shared" si="21"/>
        <v>1.1060396538150579E-4</v>
      </c>
    </row>
    <row r="218" spans="1:12">
      <c r="A218" s="150" t="s">
        <v>78</v>
      </c>
      <c r="B218" s="161">
        <f>B89</f>
        <v>1050.924</v>
      </c>
      <c r="C218" s="424">
        <f t="shared" si="14"/>
        <v>480.34059505272171</v>
      </c>
      <c r="D218" s="235">
        <f>D89+D166</f>
        <v>570.58340494727827</v>
      </c>
      <c r="E218" s="119">
        <f t="shared" si="15"/>
        <v>22200</v>
      </c>
      <c r="F218" s="424">
        <f t="shared" si="16"/>
        <v>56208</v>
      </c>
      <c r="G218" s="395">
        <f t="shared" si="13"/>
        <v>47338.91891891892</v>
      </c>
      <c r="H218" s="561">
        <f t="shared" si="17"/>
        <v>4.7338918918918921E-2</v>
      </c>
      <c r="I218" s="558">
        <f t="shared" si="18"/>
        <v>8545.7691974936261</v>
      </c>
      <c r="J218" s="425">
        <f t="shared" si="19"/>
        <v>8.5457691974936256E-3</v>
      </c>
      <c r="K218" s="426">
        <f t="shared" si="20"/>
        <v>10151.284602677169</v>
      </c>
      <c r="L218" s="434">
        <f t="shared" si="21"/>
        <v>1.015128460267717E-2</v>
      </c>
    </row>
    <row r="219" spans="1:12">
      <c r="A219" s="150" t="s">
        <v>79</v>
      </c>
      <c r="B219" s="161">
        <f>B90</f>
        <v>98.76</v>
      </c>
      <c r="C219" s="424">
        <f t="shared" si="14"/>
        <v>67.627816473220662</v>
      </c>
      <c r="D219" s="235">
        <f>D90+D167</f>
        <v>31.132183526779336</v>
      </c>
      <c r="E219" s="119">
        <f t="shared" si="15"/>
        <v>22200</v>
      </c>
      <c r="F219" s="424">
        <f t="shared" si="16"/>
        <v>56208</v>
      </c>
      <c r="G219" s="395">
        <f t="shared" si="13"/>
        <v>4448.6486486486492</v>
      </c>
      <c r="H219" s="561">
        <f t="shared" si="17"/>
        <v>4.448648648648649E-3</v>
      </c>
      <c r="I219" s="558">
        <f t="shared" si="18"/>
        <v>1203.1706602836014</v>
      </c>
      <c r="J219" s="425">
        <f t="shared" si="19"/>
        <v>1.2031706602836014E-3</v>
      </c>
      <c r="K219" s="426">
        <f t="shared" si="20"/>
        <v>553.87460017754302</v>
      </c>
      <c r="L219" s="434">
        <f t="shared" si="21"/>
        <v>5.5387460017754296E-4</v>
      </c>
    </row>
    <row r="220" spans="1:12">
      <c r="A220" s="150" t="s">
        <v>80</v>
      </c>
      <c r="B220" s="161">
        <f>B91</f>
        <v>154.80000000000001</v>
      </c>
      <c r="C220" s="424">
        <f t="shared" si="14"/>
        <v>107.7780243130932</v>
      </c>
      <c r="D220" s="235">
        <f>D91+D168</f>
        <v>47.021975686906814</v>
      </c>
      <c r="E220" s="119">
        <f t="shared" si="15"/>
        <v>22200</v>
      </c>
      <c r="F220" s="424">
        <f t="shared" si="16"/>
        <v>56208</v>
      </c>
      <c r="G220" s="395">
        <f t="shared" si="13"/>
        <v>6972.9729729729743</v>
      </c>
      <c r="H220" s="561">
        <f t="shared" si="17"/>
        <v>6.9729729729729739E-3</v>
      </c>
      <c r="I220" s="558">
        <f t="shared" si="18"/>
        <v>1917.4854880638557</v>
      </c>
      <c r="J220" s="425">
        <f t="shared" si="19"/>
        <v>1.9174854880638556E-3</v>
      </c>
      <c r="K220" s="426">
        <f t="shared" si="20"/>
        <v>836.5708740198337</v>
      </c>
      <c r="L220" s="434">
        <f t="shared" si="21"/>
        <v>8.3657087401983374E-4</v>
      </c>
    </row>
    <row r="221" spans="1:12">
      <c r="A221" s="150" t="s">
        <v>81</v>
      </c>
      <c r="B221" s="161">
        <f>B92+C123*B107*46/78</f>
        <v>97.2</v>
      </c>
      <c r="C221" s="424">
        <f t="shared" si="14"/>
        <v>71.781984985750185</v>
      </c>
      <c r="D221" s="235">
        <f>D92</f>
        <v>25.418015014249814</v>
      </c>
      <c r="E221" s="119">
        <f t="shared" si="15"/>
        <v>22200</v>
      </c>
      <c r="F221" s="424">
        <f t="shared" si="16"/>
        <v>56208</v>
      </c>
      <c r="G221" s="395">
        <f t="shared" si="13"/>
        <v>4378.3783783783783</v>
      </c>
      <c r="H221" s="561">
        <f t="shared" si="17"/>
        <v>4.3783783783783786E-3</v>
      </c>
      <c r="I221" s="558">
        <f t="shared" si="18"/>
        <v>1277.0777288953564</v>
      </c>
      <c r="J221" s="425">
        <f t="shared" si="19"/>
        <v>1.2770777288953563E-3</v>
      </c>
      <c r="K221" s="426">
        <f t="shared" si="20"/>
        <v>452.21347520370438</v>
      </c>
      <c r="L221" s="434">
        <f t="shared" si="21"/>
        <v>4.5221347520370438E-4</v>
      </c>
    </row>
    <row r="222" spans="1:12">
      <c r="A222" s="150" t="s">
        <v>82</v>
      </c>
      <c r="B222" s="161">
        <f>B93</f>
        <v>1.5</v>
      </c>
      <c r="C222" s="424">
        <f t="shared" si="14"/>
        <v>0.58828767303662877</v>
      </c>
      <c r="D222" s="235">
        <f>D93+D169</f>
        <v>0.91171232696337123</v>
      </c>
      <c r="E222" s="119">
        <f t="shared" si="15"/>
        <v>22200</v>
      </c>
      <c r="F222" s="424">
        <f t="shared" si="16"/>
        <v>56208</v>
      </c>
      <c r="G222" s="395">
        <f t="shared" si="13"/>
        <v>67.567567567567565</v>
      </c>
      <c r="H222" s="561">
        <f t="shared" si="17"/>
        <v>6.7567567567567569E-5</v>
      </c>
      <c r="I222" s="558">
        <f t="shared" si="18"/>
        <v>10.466262329857472</v>
      </c>
      <c r="J222" s="425">
        <f t="shared" si="19"/>
        <v>1.0466262329857472E-5</v>
      </c>
      <c r="K222" s="426">
        <f t="shared" si="20"/>
        <v>16.220330325992229</v>
      </c>
      <c r="L222" s="434">
        <f t="shared" si="21"/>
        <v>1.6220330325992231E-5</v>
      </c>
    </row>
    <row r="223" spans="1:12">
      <c r="A223" s="150" t="s">
        <v>630</v>
      </c>
      <c r="B223" s="161">
        <f>B94</f>
        <v>979.41600000000005</v>
      </c>
      <c r="C223" s="424">
        <f t="shared" si="14"/>
        <v>772.02296997744725</v>
      </c>
      <c r="D223" s="235">
        <f>D94+D170</f>
        <v>207.39303002255286</v>
      </c>
      <c r="E223" s="119">
        <f t="shared" si="15"/>
        <v>22200</v>
      </c>
      <c r="F223" s="424">
        <f t="shared" si="16"/>
        <v>56208</v>
      </c>
      <c r="G223" s="395">
        <f t="shared" si="13"/>
        <v>44117.83783783784</v>
      </c>
      <c r="H223" s="561">
        <f t="shared" si="17"/>
        <v>4.4117837837837841E-2</v>
      </c>
      <c r="I223" s="558">
        <f t="shared" si="18"/>
        <v>13735.108347164945</v>
      </c>
      <c r="J223" s="425">
        <f t="shared" si="19"/>
        <v>1.3735108347164945E-2</v>
      </c>
      <c r="K223" s="426">
        <f t="shared" si="20"/>
        <v>3689.7422079161838</v>
      </c>
      <c r="L223" s="434">
        <f t="shared" si="21"/>
        <v>3.689742207916184E-3</v>
      </c>
    </row>
    <row r="224" spans="1:12">
      <c r="A224" s="150" t="s">
        <v>96</v>
      </c>
      <c r="B224" s="161">
        <f>B95</f>
        <v>2087.7551020408168</v>
      </c>
      <c r="C224" s="424">
        <f t="shared" si="14"/>
        <v>2087.7551020408168</v>
      </c>
      <c r="D224" s="235">
        <f>D95+D171</f>
        <v>0</v>
      </c>
      <c r="E224" s="119">
        <f t="shared" si="15"/>
        <v>22200</v>
      </c>
      <c r="F224" s="424">
        <f t="shared" si="16"/>
        <v>56208</v>
      </c>
      <c r="G224" s="395">
        <f t="shared" si="13"/>
        <v>94043.022614451198</v>
      </c>
      <c r="H224" s="561">
        <f t="shared" si="17"/>
        <v>9.4043022614451202E-2</v>
      </c>
      <c r="I224" s="558">
        <f t="shared" si="18"/>
        <v>37143.379982223472</v>
      </c>
      <c r="J224" s="425">
        <f t="shared" si="19"/>
        <v>3.7143379982223473E-2</v>
      </c>
      <c r="K224" s="426">
        <f t="shared" si="20"/>
        <v>0</v>
      </c>
      <c r="L224" s="434">
        <f t="shared" si="21"/>
        <v>0</v>
      </c>
    </row>
    <row r="225" spans="1:12">
      <c r="A225" s="150" t="s">
        <v>97</v>
      </c>
      <c r="B225" s="161">
        <f>B96</f>
        <v>3067.171102040817</v>
      </c>
      <c r="C225" s="424">
        <f t="shared" si="14"/>
        <v>2859.7780720182641</v>
      </c>
      <c r="D225" s="235">
        <f>D96+D172</f>
        <v>207.39303002255286</v>
      </c>
      <c r="E225" s="119">
        <f t="shared" si="15"/>
        <v>22200</v>
      </c>
      <c r="F225" s="424">
        <f t="shared" si="16"/>
        <v>56208</v>
      </c>
      <c r="G225" s="395">
        <f t="shared" si="13"/>
        <v>138160.86045228905</v>
      </c>
      <c r="H225" s="561">
        <f t="shared" si="17"/>
        <v>0.13816086045228906</v>
      </c>
      <c r="I225" s="558">
        <f t="shared" si="18"/>
        <v>50878.48832938842</v>
      </c>
      <c r="J225" s="425">
        <f t="shared" si="19"/>
        <v>5.0878488329388419E-2</v>
      </c>
      <c r="K225" s="426">
        <f t="shared" si="20"/>
        <v>3689.7422079161838</v>
      </c>
      <c r="L225" s="434">
        <f t="shared" si="21"/>
        <v>3.689742207916184E-3</v>
      </c>
    </row>
    <row r="226" spans="1:12">
      <c r="A226" s="150" t="s">
        <v>84</v>
      </c>
      <c r="B226" s="161">
        <f>B97</f>
        <v>1.488</v>
      </c>
      <c r="C226" s="424">
        <f t="shared" si="14"/>
        <v>0.30867724183637857</v>
      </c>
      <c r="D226" s="235">
        <f>D173+D97</f>
        <v>1.1793227581636214</v>
      </c>
      <c r="E226" s="119">
        <f t="shared" si="15"/>
        <v>22200</v>
      </c>
      <c r="F226" s="424">
        <f t="shared" si="16"/>
        <v>56208</v>
      </c>
      <c r="G226" s="395">
        <f t="shared" si="13"/>
        <v>67.027027027027032</v>
      </c>
      <c r="H226" s="561">
        <f t="shared" si="17"/>
        <v>6.7027027027027027E-5</v>
      </c>
      <c r="I226" s="558">
        <f t="shared" si="18"/>
        <v>5.4916958766790955</v>
      </c>
      <c r="J226" s="425">
        <f t="shared" si="19"/>
        <v>5.4916958766790953E-6</v>
      </c>
      <c r="K226" s="426">
        <f t="shared" si="20"/>
        <v>20.981404037923809</v>
      </c>
      <c r="L226" s="434">
        <f t="shared" si="21"/>
        <v>2.0981404037923809E-5</v>
      </c>
    </row>
    <row r="227" spans="1:12">
      <c r="A227" s="150" t="s">
        <v>631</v>
      </c>
      <c r="B227" s="161">
        <f>B98</f>
        <v>226.8</v>
      </c>
      <c r="C227" s="424">
        <f t="shared" si="14"/>
        <v>0</v>
      </c>
      <c r="D227" s="235">
        <f>D174</f>
        <v>226.8</v>
      </c>
      <c r="E227" s="119">
        <f t="shared" si="15"/>
        <v>22200</v>
      </c>
      <c r="F227" s="424">
        <f t="shared" si="16"/>
        <v>56208</v>
      </c>
      <c r="G227" s="395">
        <f t="shared" si="13"/>
        <v>10216.216216216217</v>
      </c>
      <c r="H227" s="561">
        <f t="shared" si="17"/>
        <v>1.0216216216216217E-2</v>
      </c>
      <c r="I227" s="558">
        <f t="shared" si="18"/>
        <v>0</v>
      </c>
      <c r="J227" s="425">
        <f t="shared" si="19"/>
        <v>0</v>
      </c>
      <c r="K227" s="426">
        <f t="shared" si="20"/>
        <v>4035.0128095644745</v>
      </c>
      <c r="L227" s="434">
        <f t="shared" si="21"/>
        <v>4.0350128095644746E-3</v>
      </c>
    </row>
    <row r="228" spans="1:12">
      <c r="A228" s="150" t="s">
        <v>250</v>
      </c>
      <c r="B228" s="161">
        <f>B99</f>
        <v>1175.5102040816328</v>
      </c>
      <c r="C228" s="424">
        <f t="shared" si="14"/>
        <v>0</v>
      </c>
      <c r="D228" s="235">
        <f>D175</f>
        <v>1175.5102040816328</v>
      </c>
      <c r="E228" s="119">
        <f t="shared" si="15"/>
        <v>22200</v>
      </c>
      <c r="F228" s="424">
        <f t="shared" si="16"/>
        <v>56208</v>
      </c>
      <c r="G228" s="395">
        <f t="shared" si="13"/>
        <v>52950.910093767241</v>
      </c>
      <c r="H228" s="561">
        <f t="shared" si="17"/>
        <v>5.2950910093767241E-2</v>
      </c>
      <c r="I228" s="558">
        <f t="shared" si="18"/>
        <v>0</v>
      </c>
      <c r="J228" s="425">
        <f t="shared" si="19"/>
        <v>0</v>
      </c>
      <c r="K228" s="426">
        <f t="shared" si="20"/>
        <v>20913.574652747524</v>
      </c>
      <c r="L228" s="434">
        <f t="shared" si="21"/>
        <v>2.0913574652747523E-2</v>
      </c>
    </row>
    <row r="229" spans="1:12">
      <c r="A229" s="150" t="s">
        <v>251</v>
      </c>
      <c r="B229" s="161">
        <f>B227+B228</f>
        <v>1402.3102040816327</v>
      </c>
      <c r="C229" s="424">
        <f>B229-D229</f>
        <v>0</v>
      </c>
      <c r="D229" s="235">
        <f>D176</f>
        <v>1402.3102040816327</v>
      </c>
      <c r="E229" s="119">
        <f t="shared" si="15"/>
        <v>22200</v>
      </c>
      <c r="F229" s="424">
        <f t="shared" si="16"/>
        <v>56208</v>
      </c>
      <c r="G229" s="395">
        <f t="shared" si="13"/>
        <v>63167.126309983461</v>
      </c>
      <c r="H229" s="561">
        <f t="shared" si="17"/>
        <v>6.316712630998346E-2</v>
      </c>
      <c r="I229" s="558">
        <f>C229/F229*1000000</f>
        <v>0</v>
      </c>
      <c r="J229" s="425">
        <f>I229/1000000</f>
        <v>0</v>
      </c>
      <c r="K229" s="426">
        <f>D229/F229*1000000</f>
        <v>24948.587462311996</v>
      </c>
      <c r="L229" s="434">
        <f>K229/1000000</f>
        <v>2.4948587462311995E-2</v>
      </c>
    </row>
    <row r="230" spans="1:12">
      <c r="A230" s="151" t="s">
        <v>238</v>
      </c>
      <c r="B230" s="161">
        <f>B229/32*96</f>
        <v>4206.9306122448979</v>
      </c>
      <c r="C230" s="424">
        <f>B230-D230</f>
        <v>0</v>
      </c>
      <c r="D230" s="235">
        <f>D177</f>
        <v>4206.9306122448979</v>
      </c>
      <c r="E230" s="119">
        <f t="shared" si="15"/>
        <v>22200</v>
      </c>
      <c r="F230" s="424">
        <f t="shared" si="16"/>
        <v>56208</v>
      </c>
      <c r="G230" s="395">
        <f t="shared" si="13"/>
        <v>189501.37892995036</v>
      </c>
      <c r="H230" s="561">
        <f t="shared" si="17"/>
        <v>0.18950137892995036</v>
      </c>
      <c r="I230" s="558">
        <f>C230/F230*1000000</f>
        <v>0</v>
      </c>
      <c r="J230" s="425">
        <f>I230/1000000</f>
        <v>0</v>
      </c>
      <c r="K230" s="426">
        <f>D230/F230*1000000</f>
        <v>74845.762386935996</v>
      </c>
      <c r="L230" s="434">
        <f>K230/1000000</f>
        <v>7.4845762386935993E-2</v>
      </c>
    </row>
    <row r="231" spans="1:12">
      <c r="A231" s="151" t="s">
        <v>239</v>
      </c>
      <c r="B231" s="161">
        <f>B229/32*136</f>
        <v>5959.8183673469393</v>
      </c>
      <c r="C231" s="424">
        <f>B231-D231</f>
        <v>0</v>
      </c>
      <c r="D231" s="235">
        <f>D178</f>
        <v>5959.8183673469393</v>
      </c>
      <c r="E231" s="119">
        <f t="shared" si="15"/>
        <v>22200</v>
      </c>
      <c r="F231" s="424">
        <f t="shared" si="16"/>
        <v>56208</v>
      </c>
      <c r="G231" s="395">
        <f t="shared" si="13"/>
        <v>268460.2868174297</v>
      </c>
      <c r="H231" s="561">
        <f t="shared" si="17"/>
        <v>0.26846028681742973</v>
      </c>
      <c r="I231" s="558">
        <f>C231/F231*1000000</f>
        <v>0</v>
      </c>
      <c r="J231" s="425">
        <f>I231/1000000</f>
        <v>0</v>
      </c>
      <c r="K231" s="426">
        <f>D231/F231*1000000</f>
        <v>106031.49671482599</v>
      </c>
      <c r="L231" s="434">
        <f>K231/1000000</f>
        <v>0.10603149671482599</v>
      </c>
    </row>
    <row r="232" spans="1:12">
      <c r="A232" s="151" t="s">
        <v>248</v>
      </c>
      <c r="B232" s="161">
        <f>C179</f>
        <v>0</v>
      </c>
      <c r="C232" s="424">
        <f>B232-D232</f>
        <v>0</v>
      </c>
      <c r="D232" s="235">
        <f>D179</f>
        <v>0</v>
      </c>
      <c r="E232" s="119">
        <f t="shared" si="15"/>
        <v>22200</v>
      </c>
      <c r="F232" s="424">
        <f t="shared" si="16"/>
        <v>56208</v>
      </c>
      <c r="G232" s="395">
        <f>B232/E232*1000000</f>
        <v>0</v>
      </c>
      <c r="H232" s="561">
        <f t="shared" si="17"/>
        <v>0</v>
      </c>
      <c r="I232" s="558">
        <f>C232/F232*1000000</f>
        <v>0</v>
      </c>
      <c r="J232" s="425">
        <f>I232/1000000</f>
        <v>0</v>
      </c>
      <c r="K232" s="426">
        <f>D232/F232*1000000</f>
        <v>0</v>
      </c>
      <c r="L232" s="434">
        <f>K232/1000000</f>
        <v>0</v>
      </c>
    </row>
    <row r="233" spans="1:12" ht="14.65" thickBot="1">
      <c r="A233" s="152" t="s">
        <v>86</v>
      </c>
      <c r="B233" s="162">
        <f>B103</f>
        <v>28.236000000000001</v>
      </c>
      <c r="C233" s="435">
        <f t="shared" si="14"/>
        <v>11.12795065864373</v>
      </c>
      <c r="D233" s="236">
        <f>D103+D180</f>
        <v>17.108049341356271</v>
      </c>
      <c r="E233" s="135">
        <f t="shared" si="15"/>
        <v>22200</v>
      </c>
      <c r="F233" s="435">
        <f t="shared" si="16"/>
        <v>56208</v>
      </c>
      <c r="G233" s="405">
        <f>B233/E233*1000000</f>
        <v>1271.8918918918919</v>
      </c>
      <c r="H233" s="562">
        <f t="shared" si="17"/>
        <v>1.271891891891892E-3</v>
      </c>
      <c r="I233" s="559">
        <f t="shared" si="18"/>
        <v>197.9780575477464</v>
      </c>
      <c r="J233" s="436">
        <f t="shared" si="19"/>
        <v>1.979780575477464E-4</v>
      </c>
      <c r="K233" s="437">
        <f t="shared" si="20"/>
        <v>304.37036260596841</v>
      </c>
      <c r="L233" s="439">
        <f t="shared" si="21"/>
        <v>3.0437036260596841E-4</v>
      </c>
    </row>
    <row r="235" spans="1:12">
      <c r="A235" s="1" t="s">
        <v>125</v>
      </c>
      <c r="B235" s="1"/>
      <c r="C235" s="1"/>
    </row>
    <row r="236" spans="1:12" ht="14.65" thickBot="1">
      <c r="A236" s="816" t="s">
        <v>444</v>
      </c>
    </row>
    <row r="237" spans="1:12" ht="14.65" thickBot="1">
      <c r="A237" s="918" t="s">
        <v>444</v>
      </c>
      <c r="B237" s="101" t="s">
        <v>237</v>
      </c>
      <c r="C237" s="914">
        <f>'P-Ex(Sze.1 SEFoV mit F HS)'!C274</f>
        <v>1.2790628421965582E-2</v>
      </c>
    </row>
    <row r="239" spans="1:12" ht="14.65" thickBot="1">
      <c r="A239" s="823" t="s">
        <v>439</v>
      </c>
    </row>
    <row r="240" spans="1:12" ht="14.65" thickBot="1">
      <c r="A240" s="888" t="s">
        <v>461</v>
      </c>
      <c r="B240" s="889" t="s">
        <v>462</v>
      </c>
      <c r="C240" s="890" t="s">
        <v>463</v>
      </c>
    </row>
    <row r="241" spans="1:3" ht="14.65" thickBot="1">
      <c r="A241" s="456">
        <v>0.62634496250407568</v>
      </c>
      <c r="B241" s="457">
        <v>0.37365503749592438</v>
      </c>
      <c r="C241" s="458">
        <v>0.4094383112944317</v>
      </c>
    </row>
    <row r="243" spans="1:3" ht="14.65" thickBot="1">
      <c r="A243" s="329" t="s">
        <v>647</v>
      </c>
    </row>
    <row r="244" spans="1:3" ht="14.65" thickBot="1">
      <c r="A244" s="913" t="s">
        <v>647</v>
      </c>
      <c r="B244" s="516" t="s">
        <v>237</v>
      </c>
      <c r="C244" s="914">
        <v>1.0435000000000001</v>
      </c>
    </row>
    <row r="246" spans="1:3" ht="14.65" thickBot="1">
      <c r="A246" s="823" t="s">
        <v>577</v>
      </c>
      <c r="B246" s="824"/>
      <c r="C246" s="824"/>
    </row>
    <row r="247" spans="1:3" ht="14.65" thickBot="1">
      <c r="A247" s="891" t="s">
        <v>578</v>
      </c>
      <c r="B247" s="892" t="s">
        <v>579</v>
      </c>
      <c r="C247" s="915" t="s">
        <v>580</v>
      </c>
    </row>
    <row r="248" spans="1:3" ht="14.65" thickBot="1">
      <c r="A248" s="893">
        <f>C282</f>
        <v>0.64192138237093976</v>
      </c>
      <c r="B248" s="894">
        <f>C284</f>
        <v>0.35807861762906024</v>
      </c>
      <c r="C248" s="916">
        <f>TSFE*C244</f>
        <v>0.4272488778357395</v>
      </c>
    </row>
    <row r="250" spans="1:3" ht="14.65" thickBot="1">
      <c r="A250" s="79" t="s">
        <v>287</v>
      </c>
    </row>
    <row r="251" spans="1:3" ht="14.65" thickBot="1">
      <c r="A251" s="103" t="s">
        <v>53</v>
      </c>
      <c r="B251" s="102" t="s">
        <v>18</v>
      </c>
      <c r="C251" s="17" t="s">
        <v>106</v>
      </c>
    </row>
    <row r="252" spans="1:3">
      <c r="A252" s="243" t="s">
        <v>6</v>
      </c>
      <c r="B252" s="269" t="s">
        <v>35</v>
      </c>
      <c r="C252" s="386">
        <f>C186</f>
        <v>56208</v>
      </c>
    </row>
    <row r="253" spans="1:3">
      <c r="A253" s="415" t="s">
        <v>338</v>
      </c>
      <c r="B253" s="37" t="s">
        <v>52</v>
      </c>
      <c r="C253" s="631">
        <v>1.5</v>
      </c>
    </row>
    <row r="254" spans="1:3">
      <c r="A254" s="257" t="s">
        <v>623</v>
      </c>
      <c r="B254" s="278" t="s">
        <v>35</v>
      </c>
      <c r="C254" s="279">
        <f>C23</f>
        <v>12000</v>
      </c>
    </row>
    <row r="255" spans="1:3" ht="14.65" thickBot="1">
      <c r="A255" s="255" t="s">
        <v>338</v>
      </c>
      <c r="B255" s="271" t="s">
        <v>35</v>
      </c>
      <c r="C255" s="256">
        <f>WWK*C254</f>
        <v>18000</v>
      </c>
    </row>
    <row r="256" spans="1:3">
      <c r="A256" s="83"/>
      <c r="B256" s="77"/>
      <c r="C256" s="96"/>
    </row>
    <row r="257" spans="1:3" ht="14.65" thickBot="1">
      <c r="A257" s="823" t="s">
        <v>452</v>
      </c>
      <c r="B257" s="824"/>
      <c r="C257" s="824"/>
    </row>
    <row r="258" spans="1:3" ht="14.65" thickBot="1">
      <c r="A258" s="825" t="s">
        <v>90</v>
      </c>
      <c r="B258" s="826" t="s">
        <v>18</v>
      </c>
      <c r="C258" s="827" t="s">
        <v>91</v>
      </c>
    </row>
    <row r="259" spans="1:3">
      <c r="A259" s="828" t="s">
        <v>6</v>
      </c>
      <c r="B259" s="829" t="s">
        <v>35</v>
      </c>
      <c r="C259" s="830">
        <f>C252</f>
        <v>56208</v>
      </c>
    </row>
    <row r="260" spans="1:3">
      <c r="A260" s="655" t="s">
        <v>338</v>
      </c>
      <c r="B260" s="831" t="s">
        <v>35</v>
      </c>
      <c r="C260" s="832">
        <f>C255</f>
        <v>18000</v>
      </c>
    </row>
    <row r="261" spans="1:3">
      <c r="A261" s="655" t="s">
        <v>339</v>
      </c>
      <c r="B261" s="831" t="s">
        <v>35</v>
      </c>
      <c r="C261" s="832">
        <f>C259+C260</f>
        <v>74208</v>
      </c>
    </row>
    <row r="262" spans="1:3">
      <c r="A262" s="655" t="s">
        <v>444</v>
      </c>
      <c r="B262" s="831" t="s">
        <v>237</v>
      </c>
      <c r="C262" s="833">
        <f>C237</f>
        <v>1.2790628421965582E-2</v>
      </c>
    </row>
    <row r="263" spans="1:3">
      <c r="A263" s="655" t="s">
        <v>443</v>
      </c>
      <c r="B263" s="831" t="s">
        <v>35</v>
      </c>
      <c r="C263" s="832">
        <f>C261*C262</f>
        <v>949.16695393722193</v>
      </c>
    </row>
    <row r="264" spans="1:3">
      <c r="A264" s="655" t="s">
        <v>445</v>
      </c>
      <c r="B264" s="831" t="s">
        <v>35</v>
      </c>
      <c r="C264" s="832">
        <f>C261-C263</f>
        <v>73258.833046062777</v>
      </c>
    </row>
    <row r="265" spans="1:3">
      <c r="A265" s="655" t="s">
        <v>456</v>
      </c>
      <c r="B265" s="831" t="s">
        <v>24</v>
      </c>
      <c r="C265" s="834">
        <f>A241</f>
        <v>0.62634496250407568</v>
      </c>
    </row>
    <row r="266" spans="1:3">
      <c r="A266" s="897" t="s">
        <v>9</v>
      </c>
      <c r="B266" s="835" t="s">
        <v>35</v>
      </c>
      <c r="C266" s="898">
        <f>C264*C265</f>
        <v>45885.301037328529</v>
      </c>
    </row>
    <row r="267" spans="1:3">
      <c r="A267" s="655" t="s">
        <v>457</v>
      </c>
      <c r="B267" s="831" t="s">
        <v>24</v>
      </c>
      <c r="C267" s="834">
        <f>B241</f>
        <v>0.37365503749592438</v>
      </c>
    </row>
    <row r="268" spans="1:3">
      <c r="A268" s="897" t="s">
        <v>11</v>
      </c>
      <c r="B268" s="835" t="s">
        <v>35</v>
      </c>
      <c r="C268" s="899">
        <f>C264*C267</f>
        <v>27373.532008734252</v>
      </c>
    </row>
    <row r="269" spans="1:3">
      <c r="A269" s="655" t="s">
        <v>458</v>
      </c>
      <c r="B269" s="831" t="s">
        <v>24</v>
      </c>
      <c r="C269" s="836">
        <f>C241</f>
        <v>0.4094383112944317</v>
      </c>
    </row>
    <row r="270" spans="1:3">
      <c r="A270" s="655" t="s">
        <v>421</v>
      </c>
      <c r="B270" s="831" t="s">
        <v>35</v>
      </c>
      <c r="C270" s="837">
        <f>C268*C269</f>
        <v>11207.772719820225</v>
      </c>
    </row>
    <row r="271" spans="1:3">
      <c r="A271" s="655" t="s">
        <v>132</v>
      </c>
      <c r="B271" s="831" t="s">
        <v>24</v>
      </c>
      <c r="C271" s="836">
        <f>1-C269</f>
        <v>0.59056168870556824</v>
      </c>
    </row>
    <row r="272" spans="1:3" ht="14.65" thickBot="1">
      <c r="A272" s="821" t="s">
        <v>340</v>
      </c>
      <c r="B272" s="838" t="s">
        <v>35</v>
      </c>
      <c r="C272" s="839">
        <f>C268*C271</f>
        <v>16165.759288914025</v>
      </c>
    </row>
    <row r="273" spans="1:3">
      <c r="A273" s="895"/>
      <c r="B273" s="895"/>
      <c r="C273" s="896"/>
    </row>
    <row r="274" spans="1:3" ht="14.65" thickBot="1">
      <c r="A274" s="823" t="s">
        <v>464</v>
      </c>
      <c r="B274" s="824"/>
      <c r="C274" s="824"/>
    </row>
    <row r="275" spans="1:3" ht="14.65" thickBot="1">
      <c r="A275" s="825" t="s">
        <v>90</v>
      </c>
      <c r="B275" s="826" t="s">
        <v>18</v>
      </c>
      <c r="C275" s="827" t="s">
        <v>91</v>
      </c>
    </row>
    <row r="276" spans="1:3">
      <c r="A276" s="828" t="s">
        <v>6</v>
      </c>
      <c r="B276" s="829" t="s">
        <v>35</v>
      </c>
      <c r="C276" s="830">
        <f>C252</f>
        <v>56208</v>
      </c>
    </row>
    <row r="277" spans="1:3">
      <c r="A277" s="655" t="s">
        <v>338</v>
      </c>
      <c r="B277" s="831" t="s">
        <v>35</v>
      </c>
      <c r="C277" s="832">
        <f>C255</f>
        <v>18000</v>
      </c>
    </row>
    <row r="278" spans="1:3">
      <c r="A278" s="655" t="s">
        <v>339</v>
      </c>
      <c r="B278" s="831" t="s">
        <v>35</v>
      </c>
      <c r="C278" s="832">
        <f>C276+C277</f>
        <v>74208</v>
      </c>
    </row>
    <row r="279" spans="1:3">
      <c r="A279" s="655" t="s">
        <v>444</v>
      </c>
      <c r="B279" s="831" t="s">
        <v>237</v>
      </c>
      <c r="C279" s="833">
        <f>C262</f>
        <v>1.2790628421965582E-2</v>
      </c>
    </row>
    <row r="280" spans="1:3">
      <c r="A280" s="655" t="s">
        <v>443</v>
      </c>
      <c r="B280" s="831" t="s">
        <v>35</v>
      </c>
      <c r="C280" s="832">
        <f>C278*C279</f>
        <v>949.16695393722193</v>
      </c>
    </row>
    <row r="281" spans="1:3">
      <c r="A281" s="655" t="s">
        <v>445</v>
      </c>
      <c r="B281" s="831" t="s">
        <v>35</v>
      </c>
      <c r="C281" s="832">
        <f>C278-C280</f>
        <v>73258.833046062777</v>
      </c>
    </row>
    <row r="282" spans="1:3">
      <c r="A282" s="655" t="s">
        <v>578</v>
      </c>
      <c r="B282" s="831" t="s">
        <v>24</v>
      </c>
      <c r="C282" s="834">
        <f>C283/C281</f>
        <v>0.64192138237093976</v>
      </c>
    </row>
    <row r="283" spans="1:3">
      <c r="A283" s="841" t="s">
        <v>9</v>
      </c>
      <c r="B283" s="835" t="s">
        <v>35</v>
      </c>
      <c r="C283" s="842">
        <f>C281-C285</f>
        <v>47026.411379810503</v>
      </c>
    </row>
    <row r="284" spans="1:3">
      <c r="A284" s="655" t="s">
        <v>579</v>
      </c>
      <c r="B284" s="831" t="s">
        <v>24</v>
      </c>
      <c r="C284" s="834">
        <f>C285/C281</f>
        <v>0.35807861762906024</v>
      </c>
    </row>
    <row r="285" spans="1:3">
      <c r="A285" s="841" t="s">
        <v>11</v>
      </c>
      <c r="B285" s="835" t="s">
        <v>35</v>
      </c>
      <c r="C285" s="843">
        <f>C287/C286</f>
        <v>26232.421666252274</v>
      </c>
    </row>
    <row r="286" spans="1:3">
      <c r="A286" s="655" t="s">
        <v>580</v>
      </c>
      <c r="B286" s="831" t="s">
        <v>24</v>
      </c>
      <c r="C286" s="836">
        <f>C248</f>
        <v>0.4272488778357395</v>
      </c>
    </row>
    <row r="287" spans="1:3">
      <c r="A287" s="655" t="s">
        <v>421</v>
      </c>
      <c r="B287" s="831" t="s">
        <v>35</v>
      </c>
      <c r="C287" s="837">
        <f>C270</f>
        <v>11207.772719820225</v>
      </c>
    </row>
    <row r="288" spans="1:3">
      <c r="A288" s="655" t="s">
        <v>132</v>
      </c>
      <c r="B288" s="831" t="s">
        <v>24</v>
      </c>
      <c r="C288" s="836">
        <f>1-C286</f>
        <v>0.5727511221642605</v>
      </c>
    </row>
    <row r="289" spans="1:3" ht="14.65" thickBot="1">
      <c r="A289" s="821" t="s">
        <v>340</v>
      </c>
      <c r="B289" s="838" t="s">
        <v>35</v>
      </c>
      <c r="C289" s="839">
        <f>C285*C288</f>
        <v>15024.648946432049</v>
      </c>
    </row>
    <row r="291" spans="1:3" ht="14.65" thickBot="1">
      <c r="A291" s="79" t="s">
        <v>133</v>
      </c>
      <c r="B291" s="79"/>
      <c r="C291" s="79"/>
    </row>
    <row r="292" spans="1:3" ht="14.65" thickBot="1">
      <c r="A292" s="103" t="s">
        <v>90</v>
      </c>
      <c r="B292" s="102" t="s">
        <v>18</v>
      </c>
      <c r="C292" s="17" t="s">
        <v>106</v>
      </c>
    </row>
    <row r="293" spans="1:3">
      <c r="A293" s="272" t="s">
        <v>623</v>
      </c>
      <c r="B293" s="296" t="s">
        <v>35</v>
      </c>
      <c r="C293" s="297">
        <f>$C$23</f>
        <v>12000</v>
      </c>
    </row>
    <row r="294" spans="1:3">
      <c r="A294" s="257" t="s">
        <v>329</v>
      </c>
      <c r="B294" s="278" t="s">
        <v>35</v>
      </c>
      <c r="C294" s="295">
        <f>$C$26</f>
        <v>3600</v>
      </c>
    </row>
    <row r="295" spans="1:3">
      <c r="A295" s="257" t="s">
        <v>428</v>
      </c>
      <c r="B295" s="278" t="s">
        <v>35</v>
      </c>
      <c r="C295" s="295">
        <f>$C$31</f>
        <v>6600.0000000000009</v>
      </c>
    </row>
    <row r="296" spans="1:3">
      <c r="A296" s="257" t="s">
        <v>115</v>
      </c>
      <c r="B296" s="278" t="s">
        <v>24</v>
      </c>
      <c r="C296" s="312">
        <f>$B$107</f>
        <v>0.05</v>
      </c>
    </row>
    <row r="297" spans="1:3">
      <c r="A297" s="257" t="s">
        <v>334</v>
      </c>
      <c r="B297" s="278" t="s">
        <v>35</v>
      </c>
      <c r="C297" s="295">
        <f>$C$123</f>
        <v>0</v>
      </c>
    </row>
    <row r="298" spans="1:3">
      <c r="A298" s="257" t="s">
        <v>429</v>
      </c>
      <c r="B298" s="278" t="s">
        <v>35</v>
      </c>
      <c r="C298" s="295">
        <f>C297*C296</f>
        <v>0</v>
      </c>
    </row>
    <row r="299" spans="1:3">
      <c r="A299" s="281" t="s">
        <v>421</v>
      </c>
      <c r="B299" s="278" t="s">
        <v>35</v>
      </c>
      <c r="C299" s="289">
        <f>C287</f>
        <v>11207.772719820225</v>
      </c>
    </row>
    <row r="300" spans="1:3">
      <c r="A300" s="281" t="s">
        <v>448</v>
      </c>
      <c r="B300" s="278" t="s">
        <v>237</v>
      </c>
      <c r="C300" s="840">
        <f>C248</f>
        <v>0.4272488778357395</v>
      </c>
    </row>
    <row r="301" spans="1:3">
      <c r="A301" s="281" t="s">
        <v>446</v>
      </c>
      <c r="B301" s="278" t="s">
        <v>35</v>
      </c>
      <c r="C301" s="289">
        <f>C263*C300</f>
        <v>405.5305159484451</v>
      </c>
    </row>
    <row r="302" spans="1:3">
      <c r="A302" s="257" t="s">
        <v>341</v>
      </c>
      <c r="B302" s="278" t="s">
        <v>35</v>
      </c>
      <c r="C302" s="279">
        <f>C293+C294+C295+C298-C299-C301</f>
        <v>10586.69676423133</v>
      </c>
    </row>
    <row r="303" spans="1:3">
      <c r="A303" s="257" t="s">
        <v>9</v>
      </c>
      <c r="B303" s="278" t="s">
        <v>35</v>
      </c>
      <c r="C303" s="279">
        <f>C283</f>
        <v>47026.411379810503</v>
      </c>
    </row>
    <row r="304" spans="1:3">
      <c r="A304" s="299" t="s">
        <v>64</v>
      </c>
      <c r="B304" s="260" t="s">
        <v>24</v>
      </c>
      <c r="C304" s="300">
        <f>C302/C303</f>
        <v>0.22512236110741032</v>
      </c>
    </row>
    <row r="305" spans="1:8">
      <c r="A305" s="257" t="s">
        <v>366</v>
      </c>
      <c r="B305" s="278" t="s">
        <v>35</v>
      </c>
      <c r="C305" s="279">
        <f>$C$25</f>
        <v>34008</v>
      </c>
    </row>
    <row r="306" spans="1:8">
      <c r="A306" s="257" t="s">
        <v>117</v>
      </c>
      <c r="B306" s="278" t="s">
        <v>24</v>
      </c>
      <c r="C306" s="312">
        <f>1-$B$107</f>
        <v>0.95</v>
      </c>
    </row>
    <row r="307" spans="1:8">
      <c r="A307" s="257" t="s">
        <v>334</v>
      </c>
      <c r="B307" s="278" t="s">
        <v>35</v>
      </c>
      <c r="C307" s="295">
        <f>$C$123</f>
        <v>0</v>
      </c>
    </row>
    <row r="308" spans="1:8">
      <c r="A308" s="257" t="s">
        <v>356</v>
      </c>
      <c r="B308" s="278" t="s">
        <v>35</v>
      </c>
      <c r="C308" s="279">
        <f>C306*C307</f>
        <v>0</v>
      </c>
    </row>
    <row r="309" spans="1:8">
      <c r="A309" s="257" t="s">
        <v>338</v>
      </c>
      <c r="B309" s="278" t="s">
        <v>35</v>
      </c>
      <c r="C309" s="279">
        <f>$C$255</f>
        <v>18000</v>
      </c>
    </row>
    <row r="310" spans="1:8">
      <c r="A310" s="281" t="s">
        <v>340</v>
      </c>
      <c r="B310" s="278" t="s">
        <v>35</v>
      </c>
      <c r="C310" s="289">
        <f>C289</f>
        <v>15024.648946432049</v>
      </c>
    </row>
    <row r="311" spans="1:8">
      <c r="A311" s="281" t="s">
        <v>449</v>
      </c>
      <c r="B311" s="278" t="s">
        <v>237</v>
      </c>
      <c r="C311" s="840">
        <f>1-C300</f>
        <v>0.5727511221642605</v>
      </c>
    </row>
    <row r="312" spans="1:8">
      <c r="A312" s="281" t="s">
        <v>447</v>
      </c>
      <c r="B312" s="278" t="s">
        <v>35</v>
      </c>
      <c r="C312" s="289">
        <f>C263*C311</f>
        <v>543.63643798877683</v>
      </c>
    </row>
    <row r="313" spans="1:8">
      <c r="A313" s="257" t="s">
        <v>342</v>
      </c>
      <c r="B313" s="278" t="s">
        <v>35</v>
      </c>
      <c r="C313" s="279">
        <f>C305+C308+C309-C310-C312</f>
        <v>36439.714615579178</v>
      </c>
    </row>
    <row r="314" spans="1:8">
      <c r="A314" s="257" t="s">
        <v>9</v>
      </c>
      <c r="B314" s="278" t="s">
        <v>35</v>
      </c>
      <c r="C314" s="279">
        <f>C283</f>
        <v>47026.411379810503</v>
      </c>
    </row>
    <row r="315" spans="1:8" ht="14.65" thickBot="1">
      <c r="A315" s="301" t="s">
        <v>66</v>
      </c>
      <c r="B315" s="277" t="s">
        <v>24</v>
      </c>
      <c r="C315" s="303">
        <f>C313/C314</f>
        <v>0.77487763889258976</v>
      </c>
    </row>
    <row r="316" spans="1:8">
      <c r="A316" s="77"/>
      <c r="B316" s="77"/>
      <c r="C316" s="117"/>
    </row>
    <row r="317" spans="1:8" ht="14.65" thickBot="1">
      <c r="A317" s="79" t="s">
        <v>135</v>
      </c>
    </row>
    <row r="318" spans="1:8" ht="14.65" thickBot="1">
      <c r="A318" s="419"/>
      <c r="B318" s="1028" t="s">
        <v>262</v>
      </c>
      <c r="C318" s="1029"/>
      <c r="D318" s="1031"/>
      <c r="E318" s="1065" t="s">
        <v>263</v>
      </c>
      <c r="F318" s="1061"/>
      <c r="G318" s="1061"/>
      <c r="H318" s="1009"/>
    </row>
    <row r="319" spans="1:8">
      <c r="A319" s="92" t="s">
        <v>93</v>
      </c>
      <c r="B319" s="377" t="s">
        <v>243</v>
      </c>
      <c r="C319" s="491" t="s">
        <v>341</v>
      </c>
      <c r="D319" s="492" t="s">
        <v>281</v>
      </c>
      <c r="E319" s="1039" t="s">
        <v>269</v>
      </c>
      <c r="F319" s="1040"/>
      <c r="G319" s="1022" t="s">
        <v>282</v>
      </c>
      <c r="H319" s="1023"/>
    </row>
    <row r="320" spans="1:8" ht="14.65" thickBot="1">
      <c r="A320" s="93" t="s">
        <v>18</v>
      </c>
      <c r="B320" s="403" t="s">
        <v>35</v>
      </c>
      <c r="C320" s="154" t="s">
        <v>35</v>
      </c>
      <c r="D320" s="155" t="s">
        <v>35</v>
      </c>
      <c r="E320" s="153" t="s">
        <v>257</v>
      </c>
      <c r="F320" s="423" t="s">
        <v>237</v>
      </c>
      <c r="G320" s="403" t="s">
        <v>71</v>
      </c>
      <c r="H320" s="155" t="s">
        <v>237</v>
      </c>
    </row>
    <row r="321" spans="1:8">
      <c r="A321" s="148" t="s">
        <v>72</v>
      </c>
      <c r="B321" s="459">
        <f>C212*(1-C237)</f>
        <v>270.86286557052551</v>
      </c>
      <c r="C321" s="160">
        <f>$C$302</f>
        <v>10586.69676423133</v>
      </c>
      <c r="D321" s="467">
        <f>$C$283</f>
        <v>47026.411379810503</v>
      </c>
      <c r="E321" s="465">
        <f>B321/C321*1000000</f>
        <v>25585.210533815844</v>
      </c>
      <c r="F321" s="560">
        <f>E321/1000000</f>
        <v>2.5585210533815843E-2</v>
      </c>
      <c r="G321" s="443">
        <f>B321/D321*1000000</f>
        <v>5759.8030048028086</v>
      </c>
      <c r="H321" s="460">
        <f>G321/1000000</f>
        <v>5.7598030048028083E-3</v>
      </c>
    </row>
    <row r="322" spans="1:8">
      <c r="A322" s="149" t="s">
        <v>73</v>
      </c>
      <c r="B322" s="461">
        <f>C213*(1-C237)</f>
        <v>0.24441067674009115</v>
      </c>
      <c r="C322" s="119">
        <f t="shared" ref="C322:C342" si="22">$C$302</f>
        <v>10586.69676423133</v>
      </c>
      <c r="D322" s="468">
        <f t="shared" ref="D322:D342" si="23">$C$283</f>
        <v>47026.411379810503</v>
      </c>
      <c r="E322" s="331">
        <f t="shared" ref="E322:E342" si="24">B322/C322*1000000</f>
        <v>23.0865851911304</v>
      </c>
      <c r="F322" s="561">
        <f t="shared" ref="F322:F342" si="25">E322/1000000</f>
        <v>2.3086585191130399E-5</v>
      </c>
      <c r="G322" s="444">
        <f t="shared" ref="G322:G342" si="26">B322/D322*1000000</f>
        <v>5.1973065681346498</v>
      </c>
      <c r="H322" s="462">
        <f t="shared" ref="H322:H342" si="27">G322/1000000</f>
        <v>5.1973065681346497E-6</v>
      </c>
    </row>
    <row r="323" spans="1:8">
      <c r="A323" s="149" t="s">
        <v>74</v>
      </c>
      <c r="B323" s="461">
        <f>C214*(1-C237)</f>
        <v>268.24964128047651</v>
      </c>
      <c r="C323" s="119">
        <f t="shared" si="22"/>
        <v>10586.69676423133</v>
      </c>
      <c r="D323" s="468">
        <f t="shared" si="23"/>
        <v>47026.411379810503</v>
      </c>
      <c r="E323" s="331">
        <f t="shared" si="24"/>
        <v>25338.370150243303</v>
      </c>
      <c r="F323" s="561">
        <f t="shared" si="25"/>
        <v>2.5338370150243303E-2</v>
      </c>
      <c r="G323" s="444">
        <f t="shared" si="26"/>
        <v>5704.2337148363004</v>
      </c>
      <c r="H323" s="462">
        <f t="shared" si="27"/>
        <v>5.7042337148362999E-3</v>
      </c>
    </row>
    <row r="324" spans="1:8">
      <c r="A324" s="149" t="s">
        <v>75</v>
      </c>
      <c r="B324" s="461">
        <f>C215*(1-C237)</f>
        <v>9.4592627461135195E-3</v>
      </c>
      <c r="C324" s="119">
        <f t="shared" si="22"/>
        <v>10586.69676423133</v>
      </c>
      <c r="D324" s="468">
        <f t="shared" si="23"/>
        <v>47026.411379810503</v>
      </c>
      <c r="E324" s="331">
        <f t="shared" si="24"/>
        <v>0.89350464613976588</v>
      </c>
      <c r="F324" s="561">
        <f t="shared" si="25"/>
        <v>8.9350464613976586E-7</v>
      </c>
      <c r="G324" s="444">
        <f t="shared" si="26"/>
        <v>0.20114787559942526</v>
      </c>
      <c r="H324" s="462">
        <f t="shared" si="27"/>
        <v>2.0114787559942525E-7</v>
      </c>
    </row>
    <row r="325" spans="1:8">
      <c r="A325" s="149" t="s">
        <v>76</v>
      </c>
      <c r="B325" s="461">
        <f>C216*(1-C237)</f>
        <v>0.58517520926474909</v>
      </c>
      <c r="C325" s="119">
        <f t="shared" si="22"/>
        <v>10586.69676423133</v>
      </c>
      <c r="D325" s="468">
        <f t="shared" si="23"/>
        <v>47026.411379810503</v>
      </c>
      <c r="E325" s="331">
        <f t="shared" si="24"/>
        <v>55.274579247593756</v>
      </c>
      <c r="F325" s="561">
        <f t="shared" si="25"/>
        <v>5.5274579247593758E-5</v>
      </c>
      <c r="G325" s="444">
        <f t="shared" si="26"/>
        <v>12.443543789436971</v>
      </c>
      <c r="H325" s="462">
        <f t="shared" si="27"/>
        <v>1.2443543789436971E-5</v>
      </c>
    </row>
    <row r="326" spans="1:8">
      <c r="A326" s="150" t="s">
        <v>77</v>
      </c>
      <c r="B326" s="461">
        <f>C217*(1-C237)</f>
        <v>1.6340016197957172</v>
      </c>
      <c r="C326" s="119">
        <f t="shared" si="22"/>
        <v>10586.69676423133</v>
      </c>
      <c r="D326" s="468">
        <f t="shared" si="23"/>
        <v>47026.411379810503</v>
      </c>
      <c r="E326" s="331">
        <f t="shared" si="24"/>
        <v>154.34480236710147</v>
      </c>
      <c r="F326" s="561">
        <f t="shared" si="25"/>
        <v>1.5434480236710147E-4</v>
      </c>
      <c r="G326" s="444">
        <f t="shared" si="26"/>
        <v>34.7464663335385</v>
      </c>
      <c r="H326" s="462">
        <f t="shared" si="27"/>
        <v>3.4746466333538499E-5</v>
      </c>
    </row>
    <row r="327" spans="1:8">
      <c r="A327" s="150" t="s">
        <v>78</v>
      </c>
      <c r="B327" s="461">
        <f>C218*(1-C237)</f>
        <v>474.19673698541652</v>
      </c>
      <c r="C327" s="119">
        <f t="shared" si="22"/>
        <v>10586.69676423133</v>
      </c>
      <c r="D327" s="468">
        <f t="shared" si="23"/>
        <v>47026.411379810503</v>
      </c>
      <c r="E327" s="331">
        <f t="shared" si="24"/>
        <v>44791.755874935232</v>
      </c>
      <c r="F327" s="561">
        <f t="shared" si="25"/>
        <v>4.4791755874935231E-2</v>
      </c>
      <c r="G327" s="444">
        <f t="shared" si="26"/>
        <v>10083.625840712137</v>
      </c>
      <c r="H327" s="462">
        <f t="shared" si="27"/>
        <v>1.0083625840712138E-2</v>
      </c>
    </row>
    <row r="328" spans="1:8">
      <c r="A328" s="150" t="s">
        <v>79</v>
      </c>
      <c r="B328" s="461">
        <f>C219*(1-C237)</f>
        <v>66.762814201722819</v>
      </c>
      <c r="C328" s="119">
        <f t="shared" si="22"/>
        <v>10586.69676423133</v>
      </c>
      <c r="D328" s="468">
        <f t="shared" si="23"/>
        <v>47026.411379810503</v>
      </c>
      <c r="E328" s="331">
        <f t="shared" si="24"/>
        <v>6306.293236554252</v>
      </c>
      <c r="F328" s="561">
        <f t="shared" si="25"/>
        <v>6.306293236554252E-3</v>
      </c>
      <c r="G328" s="444">
        <f t="shared" si="26"/>
        <v>1419.6876232487857</v>
      </c>
      <c r="H328" s="462">
        <f t="shared" si="27"/>
        <v>1.4196876232487857E-3</v>
      </c>
    </row>
    <row r="329" spans="1:8">
      <c r="A329" s="150" t="s">
        <v>80</v>
      </c>
      <c r="B329" s="461">
        <f>C220*(1-C237)</f>
        <v>106.39947565205085</v>
      </c>
      <c r="C329" s="119">
        <f t="shared" si="22"/>
        <v>10586.69676423133</v>
      </c>
      <c r="D329" s="468">
        <f t="shared" si="23"/>
        <v>47026.411379810503</v>
      </c>
      <c r="E329" s="331">
        <f t="shared" si="24"/>
        <v>10050.299731974632</v>
      </c>
      <c r="F329" s="561">
        <f t="shared" si="25"/>
        <v>1.0050299731974632E-2</v>
      </c>
      <c r="G329" s="444">
        <f t="shared" si="26"/>
        <v>2262.5472054993024</v>
      </c>
      <c r="H329" s="462">
        <f t="shared" si="27"/>
        <v>2.2625472054993026E-3</v>
      </c>
    </row>
    <row r="330" spans="1:8">
      <c r="A330" s="150" t="s">
        <v>81</v>
      </c>
      <c r="B330" s="461">
        <f>C221*(1-C237)</f>
        <v>70.863848288406345</v>
      </c>
      <c r="C330" s="119">
        <f t="shared" si="22"/>
        <v>10586.69676423133</v>
      </c>
      <c r="D330" s="468">
        <f t="shared" si="23"/>
        <v>47026.411379810503</v>
      </c>
      <c r="E330" s="331">
        <f t="shared" si="24"/>
        <v>6693.6694104463249</v>
      </c>
      <c r="F330" s="561">
        <f t="shared" si="25"/>
        <v>6.6936694104463247E-3</v>
      </c>
      <c r="G330" s="444">
        <f t="shared" si="26"/>
        <v>1506.8946621521238</v>
      </c>
      <c r="H330" s="462">
        <f t="shared" si="27"/>
        <v>1.5068946621521239E-3</v>
      </c>
    </row>
    <row r="331" spans="1:8">
      <c r="A331" s="150" t="s">
        <v>82</v>
      </c>
      <c r="B331" s="461">
        <f>C222*(1-C237)</f>
        <v>0.5807631040055945</v>
      </c>
      <c r="C331" s="119">
        <f t="shared" si="22"/>
        <v>10586.69676423133</v>
      </c>
      <c r="D331" s="468">
        <f t="shared" si="23"/>
        <v>47026.411379810503</v>
      </c>
      <c r="E331" s="331">
        <f t="shared" si="24"/>
        <v>54.857819860089478</v>
      </c>
      <c r="F331" s="561">
        <f t="shared" si="25"/>
        <v>5.485781986008948E-5</v>
      </c>
      <c r="G331" s="444">
        <f t="shared" si="26"/>
        <v>12.349721932108329</v>
      </c>
      <c r="H331" s="462">
        <f t="shared" si="27"/>
        <v>1.2349721932108329E-5</v>
      </c>
    </row>
    <row r="332" spans="1:8">
      <c r="A332" s="150" t="s">
        <v>630</v>
      </c>
      <c r="B332" s="461">
        <f>C223*(1-C237)</f>
        <v>762.14831103524341</v>
      </c>
      <c r="C332" s="119">
        <f t="shared" si="22"/>
        <v>10586.69676423133</v>
      </c>
      <c r="D332" s="468">
        <f t="shared" si="23"/>
        <v>47026.411379810503</v>
      </c>
      <c r="E332" s="331">
        <f t="shared" si="24"/>
        <v>71991.13453502045</v>
      </c>
      <c r="F332" s="561">
        <f t="shared" si="25"/>
        <v>7.1991134535020457E-2</v>
      </c>
      <c r="G332" s="444">
        <f t="shared" si="26"/>
        <v>16206.814185325033</v>
      </c>
      <c r="H332" s="462">
        <f t="shared" si="27"/>
        <v>1.6206814185325033E-2</v>
      </c>
    </row>
    <row r="333" spans="1:8">
      <c r="A333" s="150" t="s">
        <v>96</v>
      </c>
      <c r="B333" s="461">
        <f>C224*(1-C237)</f>
        <v>2061.0514022945499</v>
      </c>
      <c r="C333" s="119">
        <f t="shared" si="22"/>
        <v>10586.69676423133</v>
      </c>
      <c r="D333" s="468">
        <f t="shared" si="23"/>
        <v>47026.411379810503</v>
      </c>
      <c r="E333" s="331">
        <f t="shared" si="24"/>
        <v>194683.14321215916</v>
      </c>
      <c r="F333" s="561">
        <f t="shared" si="25"/>
        <v>0.19468314321215915</v>
      </c>
      <c r="G333" s="444">
        <f t="shared" si="26"/>
        <v>43827.528867733366</v>
      </c>
      <c r="H333" s="462">
        <f t="shared" si="27"/>
        <v>4.3827528867733369E-2</v>
      </c>
    </row>
    <row r="334" spans="1:8">
      <c r="A334" s="150" t="s">
        <v>97</v>
      </c>
      <c r="B334" s="461">
        <f>C225*(1-C237)</f>
        <v>2823.1997133297937</v>
      </c>
      <c r="C334" s="119">
        <f t="shared" si="22"/>
        <v>10586.69676423133</v>
      </c>
      <c r="D334" s="468">
        <f t="shared" si="23"/>
        <v>47026.411379810503</v>
      </c>
      <c r="E334" s="331">
        <f t="shared" si="24"/>
        <v>266674.27774717961</v>
      </c>
      <c r="F334" s="561">
        <f t="shared" si="25"/>
        <v>0.26667427774717961</v>
      </c>
      <c r="G334" s="444">
        <f t="shared" si="26"/>
        <v>60034.343053058408</v>
      </c>
      <c r="H334" s="462">
        <f t="shared" si="27"/>
        <v>6.0034343053058409E-2</v>
      </c>
    </row>
    <row r="335" spans="1:8">
      <c r="A335" s="150" t="s">
        <v>84</v>
      </c>
      <c r="B335" s="461">
        <f>C226*(1-C237)</f>
        <v>0.30472906593373228</v>
      </c>
      <c r="C335" s="119">
        <f t="shared" si="22"/>
        <v>10586.69676423133</v>
      </c>
      <c r="D335" s="468">
        <f t="shared" si="23"/>
        <v>47026.411379810503</v>
      </c>
      <c r="E335" s="331">
        <f t="shared" si="24"/>
        <v>28.784149836359063</v>
      </c>
      <c r="F335" s="561">
        <f t="shared" si="25"/>
        <v>2.8784149836359063E-5</v>
      </c>
      <c r="G335" s="444">
        <f t="shared" si="26"/>
        <v>6.479955773630631</v>
      </c>
      <c r="H335" s="462">
        <f t="shared" si="27"/>
        <v>6.4799557736306306E-6</v>
      </c>
    </row>
    <row r="336" spans="1:8">
      <c r="A336" s="150" t="s">
        <v>631</v>
      </c>
      <c r="B336" s="461">
        <f>C227*(1-C237)</f>
        <v>0</v>
      </c>
      <c r="C336" s="119">
        <f t="shared" si="22"/>
        <v>10586.69676423133</v>
      </c>
      <c r="D336" s="468">
        <f t="shared" si="23"/>
        <v>47026.411379810503</v>
      </c>
      <c r="E336" s="331">
        <f t="shared" si="24"/>
        <v>0</v>
      </c>
      <c r="F336" s="561">
        <f t="shared" si="25"/>
        <v>0</v>
      </c>
      <c r="G336" s="444">
        <f t="shared" si="26"/>
        <v>0</v>
      </c>
      <c r="H336" s="462">
        <f t="shared" si="27"/>
        <v>0</v>
      </c>
    </row>
    <row r="337" spans="1:8">
      <c r="A337" s="150" t="s">
        <v>250</v>
      </c>
      <c r="B337" s="461">
        <f>C228*(1-C237)</f>
        <v>0</v>
      </c>
      <c r="C337" s="119">
        <f t="shared" si="22"/>
        <v>10586.69676423133</v>
      </c>
      <c r="D337" s="468">
        <f t="shared" si="23"/>
        <v>47026.411379810503</v>
      </c>
      <c r="E337" s="331">
        <f t="shared" si="24"/>
        <v>0</v>
      </c>
      <c r="F337" s="561">
        <f t="shared" si="25"/>
        <v>0</v>
      </c>
      <c r="G337" s="444">
        <f t="shared" si="26"/>
        <v>0</v>
      </c>
      <c r="H337" s="462">
        <f t="shared" si="27"/>
        <v>0</v>
      </c>
    </row>
    <row r="338" spans="1:8">
      <c r="A338" s="150" t="s">
        <v>251</v>
      </c>
      <c r="B338" s="461">
        <f>C229*(1-C237)</f>
        <v>0</v>
      </c>
      <c r="C338" s="119">
        <f t="shared" si="22"/>
        <v>10586.69676423133</v>
      </c>
      <c r="D338" s="468">
        <f t="shared" si="23"/>
        <v>47026.411379810503</v>
      </c>
      <c r="E338" s="331">
        <f t="shared" si="24"/>
        <v>0</v>
      </c>
      <c r="F338" s="561">
        <f t="shared" si="25"/>
        <v>0</v>
      </c>
      <c r="G338" s="444">
        <f t="shared" si="26"/>
        <v>0</v>
      </c>
      <c r="H338" s="462">
        <f t="shared" si="27"/>
        <v>0</v>
      </c>
    </row>
    <row r="339" spans="1:8">
      <c r="A339" s="151" t="s">
        <v>238</v>
      </c>
      <c r="B339" s="461">
        <f>C230*(1-C237)</f>
        <v>0</v>
      </c>
      <c r="C339" s="119">
        <f t="shared" si="22"/>
        <v>10586.69676423133</v>
      </c>
      <c r="D339" s="468">
        <f t="shared" si="23"/>
        <v>47026.411379810503</v>
      </c>
      <c r="E339" s="331">
        <f t="shared" si="24"/>
        <v>0</v>
      </c>
      <c r="F339" s="561">
        <f t="shared" si="25"/>
        <v>0</v>
      </c>
      <c r="G339" s="444">
        <f t="shared" si="26"/>
        <v>0</v>
      </c>
      <c r="H339" s="462">
        <f t="shared" si="27"/>
        <v>0</v>
      </c>
    </row>
    <row r="340" spans="1:8">
      <c r="A340" s="151" t="s">
        <v>239</v>
      </c>
      <c r="B340" s="461">
        <f>C231*(1-C237)</f>
        <v>0</v>
      </c>
      <c r="C340" s="119">
        <f t="shared" si="22"/>
        <v>10586.69676423133</v>
      </c>
      <c r="D340" s="468">
        <f t="shared" si="23"/>
        <v>47026.411379810503</v>
      </c>
      <c r="E340" s="331">
        <f t="shared" si="24"/>
        <v>0</v>
      </c>
      <c r="F340" s="561">
        <f t="shared" si="25"/>
        <v>0</v>
      </c>
      <c r="G340" s="444">
        <f t="shared" si="26"/>
        <v>0</v>
      </c>
      <c r="H340" s="462">
        <f t="shared" si="27"/>
        <v>0</v>
      </c>
    </row>
    <row r="341" spans="1:8">
      <c r="A341" s="151" t="s">
        <v>248</v>
      </c>
      <c r="B341" s="461">
        <f>C232*(1-C237)</f>
        <v>0</v>
      </c>
      <c r="C341" s="119">
        <f t="shared" si="22"/>
        <v>10586.69676423133</v>
      </c>
      <c r="D341" s="468">
        <f t="shared" si="23"/>
        <v>47026.411379810503</v>
      </c>
      <c r="E341" s="331">
        <f>B341/C341*1000000</f>
        <v>0</v>
      </c>
      <c r="F341" s="561">
        <f>E341/1000000</f>
        <v>0</v>
      </c>
      <c r="G341" s="444">
        <f>B341/D341*1000000</f>
        <v>0</v>
      </c>
      <c r="H341" s="462">
        <f>G341/1000000</f>
        <v>0</v>
      </c>
    </row>
    <row r="342" spans="1:8" ht="14.65" thickBot="1">
      <c r="A342" s="152" t="s">
        <v>86</v>
      </c>
      <c r="B342" s="463">
        <f>C233*(1-C237)</f>
        <v>10.985617176671051</v>
      </c>
      <c r="C342" s="135">
        <f t="shared" si="22"/>
        <v>10586.69676423133</v>
      </c>
      <c r="D342" s="469">
        <f t="shared" si="23"/>
        <v>47026.411379810503</v>
      </c>
      <c r="E342" s="466">
        <f t="shared" si="24"/>
        <v>1037.6812920331799</v>
      </c>
      <c r="F342" s="562">
        <f t="shared" si="25"/>
        <v>1.0376812920331799E-3</v>
      </c>
      <c r="G342" s="445">
        <f t="shared" si="26"/>
        <v>233.6052625394976</v>
      </c>
      <c r="H342" s="464">
        <f t="shared" si="27"/>
        <v>2.3360526253949761E-4</v>
      </c>
    </row>
    <row r="343" spans="1:8">
      <c r="A343" s="145"/>
      <c r="B343" s="146"/>
      <c r="C343" s="96"/>
      <c r="D343" s="96"/>
      <c r="E343" s="96"/>
      <c r="F343" s="95"/>
    </row>
    <row r="344" spans="1:8" ht="14.65" thickBot="1">
      <c r="A344" s="79" t="s">
        <v>137</v>
      </c>
    </row>
    <row r="345" spans="1:8" ht="14.65" thickBot="1">
      <c r="A345" s="419"/>
      <c r="B345" s="1028" t="s">
        <v>262</v>
      </c>
      <c r="C345" s="1029"/>
      <c r="D345" s="1031"/>
      <c r="E345" s="1036" t="s">
        <v>263</v>
      </c>
      <c r="F345" s="1037"/>
      <c r="G345" s="1037"/>
      <c r="H345" s="1038"/>
    </row>
    <row r="346" spans="1:8">
      <c r="A346" s="92" t="s">
        <v>93</v>
      </c>
      <c r="B346" s="377" t="s">
        <v>256</v>
      </c>
      <c r="C346" s="491" t="s">
        <v>421</v>
      </c>
      <c r="D346" s="492" t="s">
        <v>284</v>
      </c>
      <c r="E346" s="1039" t="s">
        <v>269</v>
      </c>
      <c r="F346" s="1040"/>
      <c r="G346" s="1022" t="s">
        <v>242</v>
      </c>
      <c r="H346" s="1023"/>
    </row>
    <row r="347" spans="1:8" ht="14.65" thickBot="1">
      <c r="A347" s="93" t="s">
        <v>18</v>
      </c>
      <c r="B347" s="403" t="s">
        <v>35</v>
      </c>
      <c r="C347" s="154" t="s">
        <v>35</v>
      </c>
      <c r="D347" s="155" t="s">
        <v>35</v>
      </c>
      <c r="E347" s="153" t="s">
        <v>257</v>
      </c>
      <c r="F347" s="423" t="s">
        <v>237</v>
      </c>
      <c r="G347" s="403" t="s">
        <v>71</v>
      </c>
      <c r="H347" s="155" t="s">
        <v>237</v>
      </c>
    </row>
    <row r="348" spans="1:8">
      <c r="A348" s="222" t="s">
        <v>72</v>
      </c>
      <c r="B348" s="459">
        <f>D212*(1-C237)</f>
        <v>191.17481335291248</v>
      </c>
      <c r="C348" s="160">
        <f>$C$287</f>
        <v>11207.772719820225</v>
      </c>
      <c r="D348" s="467">
        <f>$C$285</f>
        <v>26232.421666252274</v>
      </c>
      <c r="E348" s="465">
        <f>B348/C348*1000000</f>
        <v>17057.342090354148</v>
      </c>
      <c r="F348" s="560">
        <f>E348/1000000</f>
        <v>1.7057342090354147E-2</v>
      </c>
      <c r="G348" s="443">
        <f>B348/D348*1000000</f>
        <v>7287.7302669641367</v>
      </c>
      <c r="H348" s="460">
        <f>G348/1000000</f>
        <v>7.2877302669641366E-3</v>
      </c>
    </row>
    <row r="349" spans="1:8">
      <c r="A349" s="149" t="s">
        <v>73</v>
      </c>
      <c r="B349" s="461">
        <f>D213*(1-C237)</f>
        <v>9.4399579585490292E-2</v>
      </c>
      <c r="C349" s="119">
        <f t="shared" ref="C349:C369" si="28">$C$287</f>
        <v>11207.772719820225</v>
      </c>
      <c r="D349" s="468">
        <f t="shared" ref="D349:D369" si="29">$C$285</f>
        <v>26232.421666252274</v>
      </c>
      <c r="E349" s="331">
        <f t="shared" ref="E349:E369" si="30">B349/C349*1000000</f>
        <v>8.4226886059663499</v>
      </c>
      <c r="F349" s="561">
        <f t="shared" ref="F349:F369" si="31">E349/1000000</f>
        <v>8.4226886059663493E-6</v>
      </c>
      <c r="G349" s="444">
        <f t="shared" ref="G349:G369" si="32">B349/D349*1000000</f>
        <v>3.5985842552589919</v>
      </c>
      <c r="H349" s="462">
        <f t="shared" ref="H349:H369" si="33">G349/1000000</f>
        <v>3.5985842552589921E-6</v>
      </c>
    </row>
    <row r="350" spans="1:8">
      <c r="A350" s="149" t="s">
        <v>74</v>
      </c>
      <c r="B350" s="461">
        <f>D214*(1-C237)</f>
        <v>1615.3458396904132</v>
      </c>
      <c r="C350" s="119">
        <f t="shared" si="28"/>
        <v>11207.772719820225</v>
      </c>
      <c r="D350" s="468">
        <f t="shared" si="29"/>
        <v>26232.421666252274</v>
      </c>
      <c r="E350" s="331">
        <f t="shared" si="30"/>
        <v>144127.28381204396</v>
      </c>
      <c r="F350" s="561">
        <f t="shared" si="31"/>
        <v>0.14412728381204395</v>
      </c>
      <c r="G350" s="444">
        <f t="shared" si="32"/>
        <v>61578.220274208921</v>
      </c>
      <c r="H350" s="462">
        <f t="shared" si="33"/>
        <v>6.1578220274208922E-2</v>
      </c>
    </row>
    <row r="351" spans="1:8">
      <c r="A351" s="149" t="s">
        <v>75</v>
      </c>
      <c r="B351" s="461">
        <f>D215*(1-C237)</f>
        <v>3.2003530860163928E-2</v>
      </c>
      <c r="C351" s="119">
        <f t="shared" si="28"/>
        <v>11207.772719820225</v>
      </c>
      <c r="D351" s="468">
        <f t="shared" si="29"/>
        <v>26232.421666252274</v>
      </c>
      <c r="E351" s="331">
        <f t="shared" si="30"/>
        <v>2.855476432312706</v>
      </c>
      <c r="F351" s="561">
        <f t="shared" si="31"/>
        <v>2.855476432312706E-6</v>
      </c>
      <c r="G351" s="444">
        <f t="shared" si="32"/>
        <v>1.2199991013920046</v>
      </c>
      <c r="H351" s="462">
        <f t="shared" si="33"/>
        <v>1.2199991013920047E-6</v>
      </c>
    </row>
    <row r="352" spans="1:8">
      <c r="A352" s="149" t="s">
        <v>76</v>
      </c>
      <c r="B352" s="461">
        <f>D216*(1-C237)</f>
        <v>1.0259504851506029</v>
      </c>
      <c r="C352" s="119">
        <f t="shared" si="28"/>
        <v>11207.772719820225</v>
      </c>
      <c r="D352" s="468">
        <f t="shared" si="29"/>
        <v>26232.421666252274</v>
      </c>
      <c r="E352" s="331">
        <f t="shared" si="30"/>
        <v>91.539194342893438</v>
      </c>
      <c r="F352" s="561">
        <f t="shared" si="31"/>
        <v>9.1539194342893441E-5</v>
      </c>
      <c r="G352" s="444">
        <f t="shared" si="32"/>
        <v>39.110018060988899</v>
      </c>
      <c r="H352" s="462">
        <f t="shared" si="33"/>
        <v>3.9110018060988899E-5</v>
      </c>
    </row>
    <row r="353" spans="1:8">
      <c r="A353" s="150" t="s">
        <v>77</v>
      </c>
      <c r="B353" s="461">
        <f>D217*(1-C237)</f>
        <v>6.1373105532665697</v>
      </c>
      <c r="C353" s="119">
        <f t="shared" si="28"/>
        <v>11207.772719820225</v>
      </c>
      <c r="D353" s="468">
        <f t="shared" si="29"/>
        <v>26232.421666252274</v>
      </c>
      <c r="E353" s="331">
        <f t="shared" si="30"/>
        <v>547.59413013552023</v>
      </c>
      <c r="F353" s="561">
        <f t="shared" si="31"/>
        <v>5.4759413013552019E-4</v>
      </c>
      <c r="G353" s="444">
        <f t="shared" si="32"/>
        <v>233.95897760983894</v>
      </c>
      <c r="H353" s="462">
        <f t="shared" si="33"/>
        <v>2.3395897760983893E-4</v>
      </c>
    </row>
    <row r="354" spans="1:8">
      <c r="A354" s="150" t="s">
        <v>78</v>
      </c>
      <c r="B354" s="461">
        <f>D218*(1-C237)</f>
        <v>563.28528463085775</v>
      </c>
      <c r="C354" s="119">
        <f t="shared" si="28"/>
        <v>11207.772719820225</v>
      </c>
      <c r="D354" s="468">
        <f t="shared" si="29"/>
        <v>26232.421666252274</v>
      </c>
      <c r="E354" s="331">
        <f t="shared" si="30"/>
        <v>50258.449980407262</v>
      </c>
      <c r="F354" s="561">
        <f t="shared" si="31"/>
        <v>5.0258449980407259E-2</v>
      </c>
      <c r="G354" s="444">
        <f t="shared" si="32"/>
        <v>21472.866355892646</v>
      </c>
      <c r="H354" s="462">
        <f t="shared" si="33"/>
        <v>2.1472866355892645E-2</v>
      </c>
    </row>
    <row r="355" spans="1:8">
      <c r="A355" s="150" t="s">
        <v>79</v>
      </c>
      <c r="B355" s="461">
        <f>D219*(1-C237)</f>
        <v>30.733983335323863</v>
      </c>
      <c r="C355" s="119">
        <f t="shared" si="28"/>
        <v>11207.772719820225</v>
      </c>
      <c r="D355" s="468">
        <f t="shared" si="29"/>
        <v>26232.421666252274</v>
      </c>
      <c r="E355" s="331">
        <f t="shared" si="30"/>
        <v>2742.2025859761407</v>
      </c>
      <c r="F355" s="561">
        <f t="shared" si="31"/>
        <v>2.7422025859761404E-3</v>
      </c>
      <c r="G355" s="444">
        <f t="shared" si="32"/>
        <v>1171.602977656569</v>
      </c>
      <c r="H355" s="462">
        <f t="shared" si="33"/>
        <v>1.1716029776565691E-3</v>
      </c>
    </row>
    <row r="356" spans="1:8">
      <c r="A356" s="150" t="s">
        <v>80</v>
      </c>
      <c r="B356" s="461">
        <f>D220*(1-C237)</f>
        <v>46.420535068228894</v>
      </c>
      <c r="C356" s="119">
        <f t="shared" si="28"/>
        <v>11207.772719820225</v>
      </c>
      <c r="D356" s="468">
        <f t="shared" si="29"/>
        <v>26232.421666252274</v>
      </c>
      <c r="E356" s="331">
        <f t="shared" si="30"/>
        <v>4141.8162402720009</v>
      </c>
      <c r="F356" s="561">
        <f t="shared" si="31"/>
        <v>4.1418162402720006E-3</v>
      </c>
      <c r="G356" s="444">
        <f t="shared" si="32"/>
        <v>1769.586340858054</v>
      </c>
      <c r="H356" s="462">
        <f t="shared" si="33"/>
        <v>1.7695863408580539E-3</v>
      </c>
    </row>
    <row r="357" spans="1:8">
      <c r="A357" s="150" t="s">
        <v>81</v>
      </c>
      <c r="B357" s="461">
        <f>D221*(1-C237)</f>
        <v>25.092902628978603</v>
      </c>
      <c r="C357" s="119">
        <f t="shared" si="28"/>
        <v>11207.772719820225</v>
      </c>
      <c r="D357" s="468">
        <f t="shared" si="29"/>
        <v>26232.421666252274</v>
      </c>
      <c r="E357" s="331">
        <f t="shared" si="30"/>
        <v>2238.8839652862894</v>
      </c>
      <c r="F357" s="561">
        <f t="shared" si="31"/>
        <v>2.2388839652862894E-3</v>
      </c>
      <c r="G357" s="444">
        <f t="shared" si="32"/>
        <v>956.56066177299795</v>
      </c>
      <c r="H357" s="462">
        <f t="shared" si="33"/>
        <v>9.5656066177299791E-4</v>
      </c>
    </row>
    <row r="358" spans="1:8">
      <c r="A358" s="150" t="s">
        <v>82</v>
      </c>
      <c r="B358" s="461">
        <f>D222*(1-C237)</f>
        <v>0.90005095336145724</v>
      </c>
      <c r="C358" s="119">
        <f t="shared" si="28"/>
        <v>11207.772719820225</v>
      </c>
      <c r="D358" s="468">
        <f t="shared" si="29"/>
        <v>26232.421666252274</v>
      </c>
      <c r="E358" s="331">
        <f t="shared" si="30"/>
        <v>80.305960502729945</v>
      </c>
      <c r="F358" s="561">
        <f t="shared" si="31"/>
        <v>8.0305960502729948E-5</v>
      </c>
      <c r="G358" s="444">
        <f t="shared" si="32"/>
        <v>34.310631508312596</v>
      </c>
      <c r="H358" s="462">
        <f t="shared" si="33"/>
        <v>3.4310631508312598E-5</v>
      </c>
    </row>
    <row r="359" spans="1:8">
      <c r="A359" s="150" t="s">
        <v>630</v>
      </c>
      <c r="B359" s="461">
        <f>D223*(1-C237)</f>
        <v>204.74034283822886</v>
      </c>
      <c r="C359" s="119">
        <f t="shared" si="28"/>
        <v>11207.772719820225</v>
      </c>
      <c r="D359" s="468">
        <f t="shared" si="29"/>
        <v>26232.421666252274</v>
      </c>
      <c r="E359" s="331">
        <f t="shared" si="30"/>
        <v>18267.710093385347</v>
      </c>
      <c r="F359" s="561">
        <f t="shared" si="31"/>
        <v>1.8267710093385348E-2</v>
      </c>
      <c r="G359" s="444">
        <f t="shared" si="32"/>
        <v>7804.8586380275019</v>
      </c>
      <c r="H359" s="462">
        <f t="shared" si="33"/>
        <v>7.8048586380275019E-3</v>
      </c>
    </row>
    <row r="360" spans="1:8">
      <c r="A360" s="150" t="s">
        <v>96</v>
      </c>
      <c r="B360" s="461">
        <f>D224*(1-C237)</f>
        <v>0</v>
      </c>
      <c r="C360" s="119">
        <f t="shared" si="28"/>
        <v>11207.772719820225</v>
      </c>
      <c r="D360" s="468">
        <f t="shared" si="29"/>
        <v>26232.421666252274</v>
      </c>
      <c r="E360" s="331">
        <f t="shared" si="30"/>
        <v>0</v>
      </c>
      <c r="F360" s="561">
        <f t="shared" si="31"/>
        <v>0</v>
      </c>
      <c r="G360" s="444">
        <f t="shared" si="32"/>
        <v>0</v>
      </c>
      <c r="H360" s="462">
        <f t="shared" si="33"/>
        <v>0</v>
      </c>
    </row>
    <row r="361" spans="1:8">
      <c r="A361" s="150" t="s">
        <v>97</v>
      </c>
      <c r="B361" s="461">
        <f>D225*(1-C237)</f>
        <v>204.74034283822886</v>
      </c>
      <c r="C361" s="119">
        <f t="shared" si="28"/>
        <v>11207.772719820225</v>
      </c>
      <c r="D361" s="468">
        <f t="shared" si="29"/>
        <v>26232.421666252274</v>
      </c>
      <c r="E361" s="331">
        <f t="shared" si="30"/>
        <v>18267.710093385347</v>
      </c>
      <c r="F361" s="561">
        <f t="shared" si="31"/>
        <v>1.8267710093385348E-2</v>
      </c>
      <c r="G361" s="444">
        <f t="shared" si="32"/>
        <v>7804.8586380275019</v>
      </c>
      <c r="H361" s="462">
        <f t="shared" si="33"/>
        <v>7.8048586380275019E-3</v>
      </c>
    </row>
    <row r="362" spans="1:8">
      <c r="A362" s="150" t="s">
        <v>84</v>
      </c>
      <c r="B362" s="461">
        <f>D226*(1-C237)</f>
        <v>1.1642384789743829</v>
      </c>
      <c r="C362" s="119">
        <f t="shared" si="28"/>
        <v>11207.772719820225</v>
      </c>
      <c r="D362" s="468">
        <f t="shared" si="29"/>
        <v>26232.421666252274</v>
      </c>
      <c r="E362" s="331">
        <f t="shared" si="30"/>
        <v>103.87777376280143</v>
      </c>
      <c r="F362" s="561">
        <f t="shared" si="31"/>
        <v>1.0387777376280143E-4</v>
      </c>
      <c r="G362" s="444">
        <f t="shared" si="32"/>
        <v>44.381662272231736</v>
      </c>
      <c r="H362" s="462">
        <f t="shared" si="33"/>
        <v>4.4381662272231739E-5</v>
      </c>
    </row>
    <row r="363" spans="1:8">
      <c r="A363" s="150" t="s">
        <v>631</v>
      </c>
      <c r="B363" s="461">
        <f>D227*(1-C237)</f>
        <v>223.89908547389823</v>
      </c>
      <c r="C363" s="119">
        <f t="shared" si="28"/>
        <v>11207.772719820225</v>
      </c>
      <c r="D363" s="468">
        <f t="shared" si="29"/>
        <v>26232.421666252274</v>
      </c>
      <c r="E363" s="331">
        <f t="shared" si="30"/>
        <v>19977.125792169849</v>
      </c>
      <c r="F363" s="561">
        <f t="shared" si="31"/>
        <v>1.9977125792169849E-2</v>
      </c>
      <c r="G363" s="444">
        <f t="shared" si="32"/>
        <v>8535.2045770879777</v>
      </c>
      <c r="H363" s="462">
        <f t="shared" si="33"/>
        <v>8.5352045770879775E-3</v>
      </c>
    </row>
    <row r="364" spans="1:8">
      <c r="A364" s="150" t="s">
        <v>250</v>
      </c>
      <c r="B364" s="461">
        <f>D228*(1-C237)</f>
        <v>1160.4746898549956</v>
      </c>
      <c r="C364" s="119">
        <f t="shared" si="28"/>
        <v>11207.772719820225</v>
      </c>
      <c r="D364" s="468">
        <f t="shared" si="29"/>
        <v>26232.421666252274</v>
      </c>
      <c r="E364" s="331">
        <f t="shared" si="30"/>
        <v>103541.95421921527</v>
      </c>
      <c r="F364" s="561">
        <f t="shared" si="31"/>
        <v>0.10354195421921528</v>
      </c>
      <c r="G364" s="444">
        <f t="shared" si="32"/>
        <v>44238.183749079246</v>
      </c>
      <c r="H364" s="462">
        <f t="shared" si="33"/>
        <v>4.4238183749079243E-2</v>
      </c>
    </row>
    <row r="365" spans="1:8">
      <c r="A365" s="150" t="s">
        <v>251</v>
      </c>
      <c r="B365" s="461">
        <f>D229*(1-C237)</f>
        <v>1384.373775328894</v>
      </c>
      <c r="C365" s="119">
        <f t="shared" si="28"/>
        <v>11207.772719820225</v>
      </c>
      <c r="D365" s="468">
        <f t="shared" si="29"/>
        <v>26232.421666252274</v>
      </c>
      <c r="E365" s="331">
        <f t="shared" si="30"/>
        <v>123519.08001138514</v>
      </c>
      <c r="F365" s="561">
        <f t="shared" si="31"/>
        <v>0.12351908001138515</v>
      </c>
      <c r="G365" s="444">
        <f t="shared" si="32"/>
        <v>52773.388326167231</v>
      </c>
      <c r="H365" s="462">
        <f t="shared" si="33"/>
        <v>5.277338832616723E-2</v>
      </c>
    </row>
    <row r="366" spans="1:8">
      <c r="A366" s="151" t="s">
        <v>238</v>
      </c>
      <c r="B366" s="461">
        <f>D230*(1-C237)</f>
        <v>4153.1213259866818</v>
      </c>
      <c r="C366" s="119">
        <f t="shared" si="28"/>
        <v>11207.772719820225</v>
      </c>
      <c r="D366" s="468">
        <f t="shared" si="29"/>
        <v>26232.421666252274</v>
      </c>
      <c r="E366" s="331">
        <f t="shared" si="30"/>
        <v>370557.24003415543</v>
      </c>
      <c r="F366" s="561">
        <f t="shared" si="31"/>
        <v>0.37055724003415541</v>
      </c>
      <c r="G366" s="444">
        <f t="shared" si="32"/>
        <v>158320.16497850168</v>
      </c>
      <c r="H366" s="462">
        <f t="shared" si="33"/>
        <v>0.15832016497850168</v>
      </c>
    </row>
    <row r="367" spans="1:8">
      <c r="A367" s="151" t="s">
        <v>239</v>
      </c>
      <c r="B367" s="461">
        <f>D231*(1-C237)</f>
        <v>5883.5885451477989</v>
      </c>
      <c r="C367" s="119">
        <f t="shared" si="28"/>
        <v>11207.772719820225</v>
      </c>
      <c r="D367" s="468">
        <f t="shared" si="29"/>
        <v>26232.421666252274</v>
      </c>
      <c r="E367" s="331">
        <f t="shared" si="30"/>
        <v>524956.09004838683</v>
      </c>
      <c r="F367" s="561">
        <f t="shared" si="31"/>
        <v>0.52495609004838684</v>
      </c>
      <c r="G367" s="444">
        <f t="shared" si="32"/>
        <v>224286.90038621068</v>
      </c>
      <c r="H367" s="462">
        <f t="shared" si="33"/>
        <v>0.22428690038621069</v>
      </c>
    </row>
    <row r="368" spans="1:8">
      <c r="A368" s="151" t="s">
        <v>248</v>
      </c>
      <c r="B368" s="461">
        <f>D232*(1-C237)</f>
        <v>0</v>
      </c>
      <c r="C368" s="119">
        <f t="shared" si="28"/>
        <v>11207.772719820225</v>
      </c>
      <c r="D368" s="468">
        <f t="shared" si="29"/>
        <v>26232.421666252274</v>
      </c>
      <c r="E368" s="331">
        <f>B368/C368*1000000</f>
        <v>0</v>
      </c>
      <c r="F368" s="561">
        <f>E368/1000000</f>
        <v>0</v>
      </c>
      <c r="G368" s="444">
        <f>B368/D368*1000000</f>
        <v>0</v>
      </c>
      <c r="H368" s="462">
        <f>G368/1000000</f>
        <v>0</v>
      </c>
    </row>
    <row r="369" spans="1:8" ht="14.65" thickBot="1">
      <c r="A369" s="152" t="s">
        <v>86</v>
      </c>
      <c r="B369" s="463">
        <f>D233*(1-C237)</f>
        <v>16.889226639206331</v>
      </c>
      <c r="C369" s="135">
        <f t="shared" si="28"/>
        <v>11207.772719820225</v>
      </c>
      <c r="D369" s="469">
        <f t="shared" si="29"/>
        <v>26232.421666252274</v>
      </c>
      <c r="E369" s="466">
        <f t="shared" si="30"/>
        <v>1506.9208719176488</v>
      </c>
      <c r="F369" s="562">
        <f t="shared" si="31"/>
        <v>1.5069208719176489E-3</v>
      </c>
      <c r="G369" s="445">
        <f t="shared" si="32"/>
        <v>643.83025151406957</v>
      </c>
      <c r="H369" s="464">
        <f t="shared" si="33"/>
        <v>6.4383025151406952E-4</v>
      </c>
    </row>
    <row r="370" spans="1:8">
      <c r="D370" s="96"/>
    </row>
    <row r="371" spans="1:8">
      <c r="A371" s="1" t="s">
        <v>138</v>
      </c>
      <c r="B371" s="1"/>
      <c r="C371" s="1"/>
      <c r="D371" s="1"/>
    </row>
    <row r="372" spans="1:8" ht="14.65" thickBot="1">
      <c r="A372" s="79" t="s">
        <v>358</v>
      </c>
      <c r="B372" s="79"/>
      <c r="C372" s="79"/>
    </row>
    <row r="373" spans="1:8">
      <c r="A373" s="2"/>
      <c r="B373" s="323" t="s">
        <v>614</v>
      </c>
      <c r="C373" s="324" t="s">
        <v>615</v>
      </c>
      <c r="D373" s="369" t="s">
        <v>616</v>
      </c>
    </row>
    <row r="374" spans="1:8" ht="14.65" thickBot="1">
      <c r="A374" s="5"/>
      <c r="B374" s="215" t="s">
        <v>35</v>
      </c>
      <c r="C374" s="483" t="s">
        <v>35</v>
      </c>
      <c r="D374" s="319" t="s">
        <v>35</v>
      </c>
    </row>
    <row r="375" spans="1:8" ht="14.65" thickBot="1">
      <c r="A375" s="9" t="s">
        <v>347</v>
      </c>
      <c r="B375" s="250">
        <f>B10</f>
        <v>17500</v>
      </c>
      <c r="C375" s="729">
        <f>C10</f>
        <v>7000</v>
      </c>
      <c r="D375" s="627">
        <f>B375+C375</f>
        <v>24500</v>
      </c>
    </row>
    <row r="377" spans="1:8" ht="14.65" thickBot="1">
      <c r="A377" s="120" t="s">
        <v>641</v>
      </c>
      <c r="B377" s="79"/>
      <c r="C377" s="79"/>
    </row>
    <row r="378" spans="1:8" ht="14.65" thickBot="1">
      <c r="A378" s="519"/>
      <c r="B378" s="1055" t="s">
        <v>263</v>
      </c>
      <c r="C378" s="1056"/>
      <c r="D378" s="1021" t="s">
        <v>262</v>
      </c>
      <c r="E378" s="1021"/>
      <c r="F378" s="1020"/>
    </row>
    <row r="379" spans="1:8">
      <c r="A379" s="115"/>
      <c r="B379" s="488" t="s">
        <v>614</v>
      </c>
      <c r="C379" s="489" t="s">
        <v>615</v>
      </c>
      <c r="D379" s="377" t="s">
        <v>614</v>
      </c>
      <c r="E379" s="490" t="s">
        <v>617</v>
      </c>
      <c r="F379" s="338" t="s">
        <v>616</v>
      </c>
    </row>
    <row r="380" spans="1:8" ht="14.65" thickBot="1">
      <c r="A380" s="133" t="s">
        <v>18</v>
      </c>
      <c r="B380" s="6" t="s">
        <v>70</v>
      </c>
      <c r="C380" s="24" t="s">
        <v>71</v>
      </c>
      <c r="D380" s="6" t="s">
        <v>35</v>
      </c>
      <c r="E380" s="422" t="s">
        <v>35</v>
      </c>
      <c r="F380" s="73" t="s">
        <v>35</v>
      </c>
    </row>
    <row r="381" spans="1:8">
      <c r="A381" s="231" t="s">
        <v>72</v>
      </c>
      <c r="B381" s="262">
        <v>47700</v>
      </c>
      <c r="C381" s="407">
        <v>101832</v>
      </c>
      <c r="D381" s="227">
        <f>$B$375*B381/1000000</f>
        <v>834.75</v>
      </c>
      <c r="E381" s="726">
        <f>$C$375*C381/1000000</f>
        <v>712.82399999999996</v>
      </c>
      <c r="F381" s="472">
        <f>D381+E381</f>
        <v>1547.5740000000001</v>
      </c>
    </row>
    <row r="382" spans="1:8">
      <c r="A382" s="232" t="s">
        <v>73</v>
      </c>
      <c r="B382" s="356">
        <v>31</v>
      </c>
      <c r="C382" s="408">
        <v>10</v>
      </c>
      <c r="D382" s="228">
        <f t="shared" ref="D382:D395" si="34">$B$375*B382/1000000</f>
        <v>0.54249999999999998</v>
      </c>
      <c r="E382" s="136">
        <f t="shared" ref="E382:E395" si="35">$C$375*C382/1000000</f>
        <v>7.0000000000000007E-2</v>
      </c>
      <c r="F382" s="473">
        <f t="shared" ref="F382:F395" si="36">D382+E382</f>
        <v>0.61250000000000004</v>
      </c>
    </row>
    <row r="383" spans="1:8">
      <c r="A383" s="232" t="s">
        <v>74</v>
      </c>
      <c r="B383" s="356">
        <v>85425</v>
      </c>
      <c r="C383" s="408">
        <v>111453.2</v>
      </c>
      <c r="D383" s="228">
        <f t="shared" si="34"/>
        <v>1494.9375</v>
      </c>
      <c r="E383" s="136">
        <f t="shared" si="35"/>
        <v>780.17240000000004</v>
      </c>
      <c r="F383" s="473">
        <f t="shared" si="36"/>
        <v>2275.1098999999999</v>
      </c>
    </row>
    <row r="384" spans="1:8">
      <c r="A384" s="232" t="s">
        <v>75</v>
      </c>
      <c r="B384" s="356">
        <v>2.2000000000000002</v>
      </c>
      <c r="C384" s="408">
        <v>2</v>
      </c>
      <c r="D384" s="228">
        <f t="shared" si="34"/>
        <v>3.85E-2</v>
      </c>
      <c r="E384" s="136">
        <f t="shared" si="35"/>
        <v>1.4E-2</v>
      </c>
      <c r="F384" s="473">
        <f t="shared" si="36"/>
        <v>5.2499999999999998E-2</v>
      </c>
    </row>
    <row r="385" spans="1:7">
      <c r="A385" s="232" t="s">
        <v>76</v>
      </c>
      <c r="B385" s="356">
        <v>91</v>
      </c>
      <c r="C385" s="408">
        <v>53.9</v>
      </c>
      <c r="D385" s="228">
        <f t="shared" si="34"/>
        <v>1.5925</v>
      </c>
      <c r="E385" s="136">
        <f t="shared" si="35"/>
        <v>0.37730000000000002</v>
      </c>
      <c r="F385" s="473">
        <f t="shared" si="36"/>
        <v>1.9698</v>
      </c>
    </row>
    <row r="386" spans="1:7">
      <c r="A386" s="232" t="s">
        <v>77</v>
      </c>
      <c r="B386" s="356">
        <v>663</v>
      </c>
      <c r="C386" s="408">
        <v>1099</v>
      </c>
      <c r="D386" s="228">
        <f t="shared" si="34"/>
        <v>11.602499999999999</v>
      </c>
      <c r="E386" s="136">
        <f t="shared" si="35"/>
        <v>7.6929999999999996</v>
      </c>
      <c r="F386" s="473">
        <f t="shared" si="36"/>
        <v>19.295499999999997</v>
      </c>
    </row>
    <row r="387" spans="1:7">
      <c r="A387" s="232" t="s">
        <v>78</v>
      </c>
      <c r="B387" s="356">
        <v>109000</v>
      </c>
      <c r="C387" s="408">
        <v>24315</v>
      </c>
      <c r="D387" s="228">
        <f t="shared" si="34"/>
        <v>1907.5</v>
      </c>
      <c r="E387" s="136">
        <f t="shared" si="35"/>
        <v>170.20500000000001</v>
      </c>
      <c r="F387" s="473">
        <f t="shared" si="36"/>
        <v>2077.7049999999999</v>
      </c>
    </row>
    <row r="388" spans="1:7">
      <c r="A388" s="232" t="s">
        <v>79</v>
      </c>
      <c r="B388" s="356">
        <v>9375</v>
      </c>
      <c r="C388" s="408">
        <v>9848.1</v>
      </c>
      <c r="D388" s="228">
        <f t="shared" si="34"/>
        <v>164.0625</v>
      </c>
      <c r="E388" s="136">
        <f t="shared" si="35"/>
        <v>68.936700000000002</v>
      </c>
      <c r="F388" s="473">
        <f t="shared" si="36"/>
        <v>232.9992</v>
      </c>
    </row>
    <row r="389" spans="1:7">
      <c r="A389" s="232" t="s">
        <v>80</v>
      </c>
      <c r="B389" s="356">
        <v>12191.833333333334</v>
      </c>
      <c r="C389" s="408">
        <v>12706.1</v>
      </c>
      <c r="D389" s="228">
        <f t="shared" si="34"/>
        <v>213.35708333333335</v>
      </c>
      <c r="E389" s="136">
        <f t="shared" si="35"/>
        <v>88.942700000000002</v>
      </c>
      <c r="F389" s="473">
        <f t="shared" si="36"/>
        <v>302.29978333333338</v>
      </c>
    </row>
    <row r="390" spans="1:7">
      <c r="A390" s="232" t="s">
        <v>81</v>
      </c>
      <c r="B390" s="356">
        <v>2530</v>
      </c>
      <c r="C390" s="408">
        <v>3346.1</v>
      </c>
      <c r="D390" s="228">
        <f t="shared" si="34"/>
        <v>44.274999999999999</v>
      </c>
      <c r="E390" s="136">
        <f t="shared" si="35"/>
        <v>23.422699999999999</v>
      </c>
      <c r="F390" s="473">
        <f t="shared" si="36"/>
        <v>67.697699999999998</v>
      </c>
    </row>
    <row r="391" spans="1:7">
      <c r="A391" s="232" t="s">
        <v>82</v>
      </c>
      <c r="B391" s="356">
        <v>64.5</v>
      </c>
      <c r="C391" s="408">
        <v>47.6</v>
      </c>
      <c r="D391" s="228">
        <f t="shared" si="34"/>
        <v>1.1287499999999999</v>
      </c>
      <c r="E391" s="136">
        <f t="shared" si="35"/>
        <v>0.3332</v>
      </c>
      <c r="F391" s="473">
        <f t="shared" si="36"/>
        <v>1.4619499999999999</v>
      </c>
    </row>
    <row r="392" spans="1:7">
      <c r="A392" s="232" t="s">
        <v>83</v>
      </c>
      <c r="B392" s="356">
        <v>70700</v>
      </c>
      <c r="C392" s="408">
        <v>84567</v>
      </c>
      <c r="D392" s="228">
        <f t="shared" si="34"/>
        <v>1237.25</v>
      </c>
      <c r="E392" s="136">
        <f t="shared" si="35"/>
        <v>591.96900000000005</v>
      </c>
      <c r="F392" s="473">
        <f t="shared" si="36"/>
        <v>1829.2190000000001</v>
      </c>
    </row>
    <row r="393" spans="1:7">
      <c r="A393" s="232" t="s">
        <v>84</v>
      </c>
      <c r="B393" s="356">
        <v>117</v>
      </c>
      <c r="C393" s="408">
        <v>80.2</v>
      </c>
      <c r="D393" s="228">
        <f t="shared" si="34"/>
        <v>2.0474999999999999</v>
      </c>
      <c r="E393" s="136">
        <f t="shared" si="35"/>
        <v>0.56140000000000001</v>
      </c>
      <c r="F393" s="473">
        <f t="shared" si="36"/>
        <v>2.6088999999999998</v>
      </c>
    </row>
    <row r="394" spans="1:7">
      <c r="A394" s="232" t="s">
        <v>85</v>
      </c>
      <c r="B394" s="356">
        <v>5857.8888888888887</v>
      </c>
      <c r="C394" s="408">
        <v>3113.7</v>
      </c>
      <c r="D394" s="228">
        <f t="shared" si="34"/>
        <v>102.51305555555555</v>
      </c>
      <c r="E394" s="136">
        <f t="shared" si="35"/>
        <v>21.7959</v>
      </c>
      <c r="F394" s="473">
        <f t="shared" si="36"/>
        <v>124.30895555555556</v>
      </c>
    </row>
    <row r="395" spans="1:7" ht="14.65" thickBot="1">
      <c r="A395" s="233" t="s">
        <v>86</v>
      </c>
      <c r="B395" s="358">
        <v>2260</v>
      </c>
      <c r="C395" s="409">
        <v>1989</v>
      </c>
      <c r="D395" s="727">
        <f t="shared" si="34"/>
        <v>39.549999999999997</v>
      </c>
      <c r="E395" s="728">
        <f t="shared" si="35"/>
        <v>13.923</v>
      </c>
      <c r="F395" s="474">
        <f t="shared" si="36"/>
        <v>53.472999999999999</v>
      </c>
    </row>
    <row r="397" spans="1:7" ht="14.65" thickBot="1">
      <c r="A397" s="79" t="s">
        <v>645</v>
      </c>
    </row>
    <row r="398" spans="1:7" ht="14.65" thickBot="1">
      <c r="A398" s="419"/>
      <c r="B398" s="1019" t="s">
        <v>262</v>
      </c>
      <c r="C398" s="1021"/>
      <c r="D398" s="1021"/>
      <c r="E398" s="1021"/>
      <c r="F398" s="1019" t="s">
        <v>263</v>
      </c>
      <c r="G398" s="1020"/>
    </row>
    <row r="399" spans="1:7">
      <c r="A399" s="92" t="s">
        <v>93</v>
      </c>
      <c r="B399" s="266" t="s">
        <v>136</v>
      </c>
      <c r="C399" s="274" t="s">
        <v>618</v>
      </c>
      <c r="D399" s="274" t="s">
        <v>142</v>
      </c>
      <c r="E399" s="324" t="s">
        <v>619</v>
      </c>
      <c r="F399" s="1022" t="s">
        <v>459</v>
      </c>
      <c r="G399" s="1023"/>
    </row>
    <row r="400" spans="1:7" ht="14.65" thickBot="1">
      <c r="A400" s="93" t="s">
        <v>297</v>
      </c>
      <c r="B400" s="153" t="s">
        <v>35</v>
      </c>
      <c r="C400" s="154" t="s">
        <v>35</v>
      </c>
      <c r="D400" s="154" t="s">
        <v>35</v>
      </c>
      <c r="E400" s="423" t="s">
        <v>35</v>
      </c>
      <c r="F400" s="403" t="s">
        <v>257</v>
      </c>
      <c r="G400" s="155" t="s">
        <v>237</v>
      </c>
    </row>
    <row r="401" spans="1:7">
      <c r="A401" s="148" t="s">
        <v>72</v>
      </c>
      <c r="B401" s="540">
        <f>B321</f>
        <v>270.86286557052551</v>
      </c>
      <c r="C401" s="428">
        <f>F381</f>
        <v>1547.5740000000001</v>
      </c>
      <c r="D401" s="428">
        <f>B401+C401</f>
        <v>1818.4368655705257</v>
      </c>
      <c r="E401" s="382">
        <f t="shared" ref="E401:E417" si="37">$C$302+$D$375</f>
        <v>35086.696764231332</v>
      </c>
      <c r="F401" s="557">
        <f>D401/E401*1000000</f>
        <v>51826.961021429262</v>
      </c>
      <c r="G401" s="460">
        <f>F401/1000000</f>
        <v>5.1826961021429266E-2</v>
      </c>
    </row>
    <row r="402" spans="1:7">
      <c r="A402" s="149" t="s">
        <v>73</v>
      </c>
      <c r="B402" s="541">
        <f>B322</f>
        <v>0.24441067674009115</v>
      </c>
      <c r="C402" s="235">
        <f>F382</f>
        <v>0.61250000000000004</v>
      </c>
      <c r="D402" s="235">
        <f t="shared" ref="D402:D417" si="38">B402+C402</f>
        <v>0.85691067674009114</v>
      </c>
      <c r="E402" s="82">
        <f t="shared" si="37"/>
        <v>35086.696764231332</v>
      </c>
      <c r="F402" s="558">
        <f t="shared" ref="F402:F417" si="39">D402/E402*1000000</f>
        <v>24.422666017784191</v>
      </c>
      <c r="G402" s="462">
        <f t="shared" ref="G402:G417" si="40">F402/1000000</f>
        <v>2.4422666017784191E-5</v>
      </c>
    </row>
    <row r="403" spans="1:7">
      <c r="A403" s="232" t="s">
        <v>74</v>
      </c>
      <c r="B403" s="541">
        <f t="shared" ref="B403:B416" si="41">B323</f>
        <v>268.24964128047651</v>
      </c>
      <c r="C403" s="235">
        <f t="shared" ref="C403:C411" si="42">F383</f>
        <v>2275.1098999999999</v>
      </c>
      <c r="D403" s="235">
        <f t="shared" si="38"/>
        <v>2543.3595412804766</v>
      </c>
      <c r="E403" s="82">
        <f t="shared" si="37"/>
        <v>35086.696764231332</v>
      </c>
      <c r="F403" s="558">
        <f t="shared" si="39"/>
        <v>72487.859383596093</v>
      </c>
      <c r="G403" s="462">
        <f t="shared" si="40"/>
        <v>7.2487859383596087E-2</v>
      </c>
    </row>
    <row r="404" spans="1:7">
      <c r="A404" s="232" t="s">
        <v>75</v>
      </c>
      <c r="B404" s="541">
        <f t="shared" si="41"/>
        <v>9.4592627461135195E-3</v>
      </c>
      <c r="C404" s="235">
        <f t="shared" si="42"/>
        <v>5.2499999999999998E-2</v>
      </c>
      <c r="D404" s="235">
        <f t="shared" si="38"/>
        <v>6.1959262746113519E-2</v>
      </c>
      <c r="E404" s="82">
        <f t="shared" si="37"/>
        <v>35086.696764231332</v>
      </c>
      <c r="F404" s="558">
        <f t="shared" si="39"/>
        <v>1.7658904502311847</v>
      </c>
      <c r="G404" s="462">
        <f t="shared" si="40"/>
        <v>1.7658904502311847E-6</v>
      </c>
    </row>
    <row r="405" spans="1:7">
      <c r="A405" s="232" t="s">
        <v>76</v>
      </c>
      <c r="B405" s="541">
        <f t="shared" si="41"/>
        <v>0.58517520926474909</v>
      </c>
      <c r="C405" s="235">
        <f t="shared" si="42"/>
        <v>1.9698</v>
      </c>
      <c r="D405" s="235">
        <f t="shared" si="38"/>
        <v>2.5549752092647493</v>
      </c>
      <c r="E405" s="82">
        <f t="shared" si="37"/>
        <v>35086.696764231332</v>
      </c>
      <c r="F405" s="558">
        <f t="shared" si="39"/>
        <v>72.818915568859836</v>
      </c>
      <c r="G405" s="462">
        <f t="shared" si="40"/>
        <v>7.2818915568859842E-5</v>
      </c>
    </row>
    <row r="406" spans="1:7">
      <c r="A406" s="150" t="s">
        <v>77</v>
      </c>
      <c r="B406" s="541">
        <f t="shared" si="41"/>
        <v>1.6340016197957172</v>
      </c>
      <c r="C406" s="235">
        <f t="shared" si="42"/>
        <v>19.295499999999997</v>
      </c>
      <c r="D406" s="235">
        <f t="shared" si="38"/>
        <v>20.929501619795715</v>
      </c>
      <c r="E406" s="82">
        <f t="shared" si="37"/>
        <v>35086.696764231332</v>
      </c>
      <c r="F406" s="558">
        <f t="shared" si="39"/>
        <v>596.50817973642984</v>
      </c>
      <c r="G406" s="462">
        <f t="shared" si="40"/>
        <v>5.9650817973642988E-4</v>
      </c>
    </row>
    <row r="407" spans="1:7">
      <c r="A407" s="150" t="s">
        <v>78</v>
      </c>
      <c r="B407" s="541">
        <f t="shared" si="41"/>
        <v>474.19673698541652</v>
      </c>
      <c r="C407" s="235">
        <f t="shared" si="42"/>
        <v>2077.7049999999999</v>
      </c>
      <c r="D407" s="235">
        <f t="shared" si="38"/>
        <v>2551.9017369854164</v>
      </c>
      <c r="E407" s="82">
        <f t="shared" si="37"/>
        <v>35086.696764231332</v>
      </c>
      <c r="F407" s="558">
        <f t="shared" si="39"/>
        <v>72731.319056142063</v>
      </c>
      <c r="G407" s="462">
        <f t="shared" si="40"/>
        <v>7.2731319056142066E-2</v>
      </c>
    </row>
    <row r="408" spans="1:7">
      <c r="A408" s="150" t="s">
        <v>79</v>
      </c>
      <c r="B408" s="541">
        <f t="shared" si="41"/>
        <v>66.762814201722819</v>
      </c>
      <c r="C408" s="235">
        <f t="shared" si="42"/>
        <v>232.9992</v>
      </c>
      <c r="D408" s="235">
        <f t="shared" si="38"/>
        <v>299.76201420172282</v>
      </c>
      <c r="E408" s="82">
        <f t="shared" si="37"/>
        <v>35086.696764231332</v>
      </c>
      <c r="F408" s="558">
        <f t="shared" si="39"/>
        <v>8543.4663803208532</v>
      </c>
      <c r="G408" s="462">
        <f t="shared" si="40"/>
        <v>8.5434663803208525E-3</v>
      </c>
    </row>
    <row r="409" spans="1:7">
      <c r="A409" s="150" t="s">
        <v>80</v>
      </c>
      <c r="B409" s="541">
        <f t="shared" si="41"/>
        <v>106.39947565205085</v>
      </c>
      <c r="C409" s="235">
        <f t="shared" si="42"/>
        <v>302.29978333333338</v>
      </c>
      <c r="D409" s="235">
        <f t="shared" si="38"/>
        <v>408.69925898538423</v>
      </c>
      <c r="E409" s="82">
        <f t="shared" si="37"/>
        <v>35086.696764231332</v>
      </c>
      <c r="F409" s="558">
        <f t="shared" si="39"/>
        <v>11648.268337475052</v>
      </c>
      <c r="G409" s="462">
        <f t="shared" si="40"/>
        <v>1.1648268337475053E-2</v>
      </c>
    </row>
    <row r="410" spans="1:7">
      <c r="A410" s="150" t="s">
        <v>81</v>
      </c>
      <c r="B410" s="541">
        <f t="shared" si="41"/>
        <v>70.863848288406345</v>
      </c>
      <c r="C410" s="235">
        <f t="shared" si="42"/>
        <v>67.697699999999998</v>
      </c>
      <c r="D410" s="235">
        <f t="shared" si="38"/>
        <v>138.56154828840636</v>
      </c>
      <c r="E410" s="82">
        <f t="shared" si="37"/>
        <v>35086.696764231332</v>
      </c>
      <c r="F410" s="558">
        <f t="shared" si="39"/>
        <v>3949.1192123181308</v>
      </c>
      <c r="G410" s="462">
        <f t="shared" si="40"/>
        <v>3.949119212318131E-3</v>
      </c>
    </row>
    <row r="411" spans="1:7">
      <c r="A411" s="150" t="s">
        <v>82</v>
      </c>
      <c r="B411" s="541">
        <f t="shared" si="41"/>
        <v>0.5807631040055945</v>
      </c>
      <c r="C411" s="235">
        <f t="shared" si="42"/>
        <v>1.4619499999999999</v>
      </c>
      <c r="D411" s="235">
        <f t="shared" si="38"/>
        <v>2.0427131040055944</v>
      </c>
      <c r="E411" s="82">
        <f t="shared" si="37"/>
        <v>35086.696764231332</v>
      </c>
      <c r="F411" s="558">
        <f t="shared" si="39"/>
        <v>58.219020095616727</v>
      </c>
      <c r="G411" s="462">
        <f t="shared" si="40"/>
        <v>5.8219020095616726E-5</v>
      </c>
    </row>
    <row r="412" spans="1:7">
      <c r="A412" s="150" t="s">
        <v>630</v>
      </c>
      <c r="B412" s="541">
        <f t="shared" si="41"/>
        <v>762.14831103524341</v>
      </c>
      <c r="C412" s="235">
        <f>$F$392</f>
        <v>1829.2190000000001</v>
      </c>
      <c r="D412" s="235">
        <f t="shared" si="38"/>
        <v>2591.3673110352433</v>
      </c>
      <c r="E412" s="82">
        <f t="shared" si="37"/>
        <v>35086.696764231332</v>
      </c>
      <c r="F412" s="558">
        <f t="shared" si="39"/>
        <v>73856.120695778314</v>
      </c>
      <c r="G412" s="462">
        <f t="shared" si="40"/>
        <v>7.3856120695778321E-2</v>
      </c>
    </row>
    <row r="413" spans="1:7">
      <c r="A413" s="150" t="s">
        <v>96</v>
      </c>
      <c r="B413" s="541">
        <f t="shared" si="41"/>
        <v>2061.0514022945499</v>
      </c>
      <c r="C413" s="235">
        <v>0</v>
      </c>
      <c r="D413" s="235">
        <f t="shared" si="38"/>
        <v>2061.0514022945499</v>
      </c>
      <c r="E413" s="82">
        <f t="shared" si="37"/>
        <v>35086.696764231332</v>
      </c>
      <c r="F413" s="558">
        <f t="shared" si="39"/>
        <v>58741.676828229138</v>
      </c>
      <c r="G413" s="462">
        <f t="shared" si="40"/>
        <v>5.8741676828229138E-2</v>
      </c>
    </row>
    <row r="414" spans="1:7">
      <c r="A414" s="582" t="s">
        <v>97</v>
      </c>
      <c r="B414" s="541">
        <f t="shared" si="41"/>
        <v>2823.1997133297937</v>
      </c>
      <c r="C414" s="235">
        <f>C412+C413</f>
        <v>1829.2190000000001</v>
      </c>
      <c r="D414" s="235">
        <f t="shared" si="38"/>
        <v>4652.4187133297937</v>
      </c>
      <c r="E414" s="82">
        <f t="shared" si="37"/>
        <v>35086.696764231332</v>
      </c>
      <c r="F414" s="597">
        <f t="shared" si="39"/>
        <v>132597.79752400747</v>
      </c>
      <c r="G414" s="583">
        <f t="shared" si="40"/>
        <v>0.13259779752400747</v>
      </c>
    </row>
    <row r="415" spans="1:7">
      <c r="A415" s="186" t="s">
        <v>84</v>
      </c>
      <c r="B415" s="541">
        <f t="shared" si="41"/>
        <v>0.30472906593373228</v>
      </c>
      <c r="C415" s="235">
        <f>F393</f>
        <v>2.6088999999999998</v>
      </c>
      <c r="D415" s="235">
        <f t="shared" si="38"/>
        <v>2.9136290659337321</v>
      </c>
      <c r="E415" s="82">
        <f t="shared" si="37"/>
        <v>35086.696764231332</v>
      </c>
      <c r="F415" s="558">
        <f t="shared" si="39"/>
        <v>83.04084837373442</v>
      </c>
      <c r="G415" s="462">
        <f t="shared" si="40"/>
        <v>8.3040848373734414E-5</v>
      </c>
    </row>
    <row r="416" spans="1:7">
      <c r="A416" s="150" t="s">
        <v>85</v>
      </c>
      <c r="B416" s="541">
        <f t="shared" si="41"/>
        <v>0</v>
      </c>
      <c r="C416" s="235">
        <f>F394</f>
        <v>124.30895555555556</v>
      </c>
      <c r="D416" s="235">
        <f t="shared" si="38"/>
        <v>124.30895555555556</v>
      </c>
      <c r="E416" s="82">
        <f t="shared" si="37"/>
        <v>35086.696764231332</v>
      </c>
      <c r="F416" s="558">
        <f t="shared" si="39"/>
        <v>3542.9084815496417</v>
      </c>
      <c r="G416" s="462">
        <f t="shared" si="40"/>
        <v>3.5429084815496417E-3</v>
      </c>
    </row>
    <row r="417" spans="1:7" ht="14.65" thickBot="1">
      <c r="A417" s="152" t="s">
        <v>86</v>
      </c>
      <c r="B417" s="542">
        <f>B342</f>
        <v>10.985617176671051</v>
      </c>
      <c r="C417" s="236">
        <f>F395</f>
        <v>53.472999999999999</v>
      </c>
      <c r="D417" s="236">
        <f t="shared" si="38"/>
        <v>64.458617176671055</v>
      </c>
      <c r="E417" s="237">
        <f t="shared" si="37"/>
        <v>35086.696764231332</v>
      </c>
      <c r="F417" s="559">
        <f t="shared" si="39"/>
        <v>1837.1241274095239</v>
      </c>
      <c r="G417" s="464">
        <f t="shared" si="40"/>
        <v>1.837124127409524E-3</v>
      </c>
    </row>
    <row r="419" spans="1:7">
      <c r="A419" s="329" t="s">
        <v>328</v>
      </c>
      <c r="B419" s="329"/>
      <c r="C419" s="329"/>
      <c r="D419" s="329"/>
      <c r="E419" s="329"/>
    </row>
    <row r="420" spans="1:7">
      <c r="A420" s="329" t="s">
        <v>315</v>
      </c>
      <c r="B420" s="329"/>
      <c r="C420" s="329"/>
      <c r="D420" s="329"/>
      <c r="E420" s="329"/>
    </row>
    <row r="422" spans="1:7" ht="14.65" thickBot="1">
      <c r="A422" s="329" t="s">
        <v>432</v>
      </c>
    </row>
    <row r="423" spans="1:7">
      <c r="A423" s="388" t="s">
        <v>268</v>
      </c>
      <c r="B423" s="323" t="s">
        <v>146</v>
      </c>
      <c r="C423" s="324" t="s">
        <v>147</v>
      </c>
      <c r="D423" s="1024" t="s">
        <v>459</v>
      </c>
      <c r="E423" s="1025"/>
    </row>
    <row r="424" spans="1:7" ht="14.65" thickBot="1">
      <c r="A424" s="220"/>
      <c r="B424" s="403" t="s">
        <v>35</v>
      </c>
      <c r="C424" s="423" t="s">
        <v>35</v>
      </c>
      <c r="D424" s="403" t="s">
        <v>257</v>
      </c>
      <c r="E424" s="155" t="s">
        <v>237</v>
      </c>
    </row>
    <row r="425" spans="1:7">
      <c r="A425" s="477" t="s">
        <v>148</v>
      </c>
      <c r="B425" s="159">
        <f>B414</f>
        <v>2823.1997133297937</v>
      </c>
      <c r="C425" s="501">
        <f>$C$302</f>
        <v>10586.69676423133</v>
      </c>
      <c r="D425" s="227">
        <f>B425/C425*1000000</f>
        <v>266674.27774717961</v>
      </c>
      <c r="E425" s="475">
        <f>D425/1000000</f>
        <v>0.26667427774717961</v>
      </c>
    </row>
    <row r="426" spans="1:7">
      <c r="A426" s="150" t="s">
        <v>620</v>
      </c>
      <c r="B426" s="161">
        <f>C414</f>
        <v>1829.2190000000001</v>
      </c>
      <c r="C426" s="502">
        <f>$D$375</f>
        <v>24500</v>
      </c>
      <c r="D426" s="229">
        <f>B426/C426*1000000</f>
        <v>74662</v>
      </c>
      <c r="E426" s="476">
        <f t="shared" ref="E426:E428" si="43">D426/1000000</f>
        <v>7.4662000000000006E-2</v>
      </c>
    </row>
    <row r="427" spans="1:7">
      <c r="A427" s="478" t="s">
        <v>621</v>
      </c>
      <c r="B427" s="480">
        <f>C427*31/98</f>
        <v>2466.1391142228163</v>
      </c>
      <c r="C427" s="587">
        <v>7796.1817159301936</v>
      </c>
      <c r="D427" s="229">
        <f>B427/C427*1000000</f>
        <v>316326.53061224485</v>
      </c>
      <c r="E427" s="476">
        <f t="shared" si="43"/>
        <v>0.31632653061224486</v>
      </c>
    </row>
    <row r="428" spans="1:7" ht="14.65" thickBot="1">
      <c r="A428" s="479" t="s">
        <v>306</v>
      </c>
      <c r="B428" s="162">
        <f>SUM($B$425:$B$427)</f>
        <v>7118.5578275526095</v>
      </c>
      <c r="C428" s="503">
        <f>SUM($C$425:$C$427)</f>
        <v>42882.878480161526</v>
      </c>
      <c r="D428" s="588">
        <f>B428/C428*1000000</f>
        <v>165999.99999640408</v>
      </c>
      <c r="E428" s="584">
        <f t="shared" si="43"/>
        <v>0.16599999999640408</v>
      </c>
    </row>
    <row r="430" spans="1:7" ht="14.65" thickBot="1">
      <c r="A430" s="79" t="s">
        <v>434</v>
      </c>
    </row>
    <row r="431" spans="1:7" ht="14.65" thickBot="1">
      <c r="A431" s="691"/>
      <c r="B431" s="192" t="s">
        <v>18</v>
      </c>
      <c r="C431" s="193" t="s">
        <v>106</v>
      </c>
    </row>
    <row r="432" spans="1:7">
      <c r="A432" s="203" t="s">
        <v>435</v>
      </c>
      <c r="B432" s="692" t="s">
        <v>35</v>
      </c>
      <c r="C432" s="730">
        <f>$C$427</f>
        <v>7796.1817159301936</v>
      </c>
    </row>
    <row r="433" spans="1:4">
      <c r="A433" s="257" t="s">
        <v>436</v>
      </c>
      <c r="B433" s="178" t="s">
        <v>35</v>
      </c>
      <c r="C433" s="84">
        <f>C432/75%*25%</f>
        <v>2598.7272386433979</v>
      </c>
      <c r="D433" s="99"/>
    </row>
    <row r="434" spans="1:4" ht="14.65" thickBot="1">
      <c r="A434" s="693" t="s">
        <v>437</v>
      </c>
      <c r="B434" s="694" t="s">
        <v>35</v>
      </c>
      <c r="C434" s="335">
        <f>C432+C433</f>
        <v>10394.908954573591</v>
      </c>
      <c r="D434" s="99"/>
    </row>
    <row r="436" spans="1:4">
      <c r="A436" s="329" t="s">
        <v>316</v>
      </c>
    </row>
    <row r="437" spans="1:4">
      <c r="A437" s="329" t="s">
        <v>317</v>
      </c>
    </row>
    <row r="438" spans="1:4">
      <c r="A438" s="329"/>
    </row>
    <row r="439" spans="1:4" ht="14.65" thickBot="1">
      <c r="A439" s="329" t="s">
        <v>307</v>
      </c>
    </row>
    <row r="440" spans="1:4">
      <c r="A440" s="664" t="s">
        <v>64</v>
      </c>
      <c r="B440" s="665" t="s">
        <v>24</v>
      </c>
      <c r="C440" s="666">
        <v>0.45</v>
      </c>
    </row>
    <row r="441" spans="1:4" ht="14.65" thickBot="1">
      <c r="A441" s="667" t="s">
        <v>66</v>
      </c>
      <c r="B441" s="284" t="s">
        <v>24</v>
      </c>
      <c r="C441" s="663">
        <v>0.55000000000000004</v>
      </c>
    </row>
    <row r="442" spans="1:4">
      <c r="A442" s="329"/>
    </row>
    <row r="443" spans="1:4" ht="14.65" thickBot="1">
      <c r="A443" s="329" t="s">
        <v>363</v>
      </c>
    </row>
    <row r="444" spans="1:4" ht="14.65" thickBot="1">
      <c r="A444" s="103"/>
      <c r="B444" s="102" t="s">
        <v>18</v>
      </c>
      <c r="C444" s="17" t="s">
        <v>106</v>
      </c>
    </row>
    <row r="445" spans="1:4">
      <c r="A445" s="272" t="s">
        <v>341</v>
      </c>
      <c r="B445" s="298" t="s">
        <v>35</v>
      </c>
      <c r="C445" s="669">
        <f>$C$302</f>
        <v>10586.69676423133</v>
      </c>
    </row>
    <row r="446" spans="1:4">
      <c r="A446" s="257" t="s">
        <v>607</v>
      </c>
      <c r="B446" s="346" t="s">
        <v>35</v>
      </c>
      <c r="C446" s="347">
        <f>$B$375</f>
        <v>17500</v>
      </c>
    </row>
    <row r="447" spans="1:4">
      <c r="A447" s="257" t="s">
        <v>605</v>
      </c>
      <c r="B447" s="346" t="s">
        <v>35</v>
      </c>
      <c r="C447" s="347">
        <f>$C$375</f>
        <v>7000</v>
      </c>
    </row>
    <row r="448" spans="1:4">
      <c r="A448" s="348" t="s">
        <v>435</v>
      </c>
      <c r="B448" s="278" t="s">
        <v>35</v>
      </c>
      <c r="C448" s="347">
        <f>$C$432</f>
        <v>7796.1817159301936</v>
      </c>
    </row>
    <row r="449" spans="1:3" ht="14.65" thickBot="1">
      <c r="A449" s="360" t="s">
        <v>309</v>
      </c>
      <c r="B449" s="320" t="s">
        <v>35</v>
      </c>
      <c r="C449" s="668">
        <f>C445+C446+C447+C448</f>
        <v>42882.878480161526</v>
      </c>
    </row>
    <row r="450" spans="1:3">
      <c r="A450" s="276" t="s">
        <v>345</v>
      </c>
      <c r="B450" s="296" t="s">
        <v>35</v>
      </c>
      <c r="C450" s="342">
        <f>C449/C440*C441</f>
        <v>52412.407031308532</v>
      </c>
    </row>
    <row r="451" spans="1:3">
      <c r="A451" s="257" t="s">
        <v>342</v>
      </c>
      <c r="B451" s="278" t="s">
        <v>35</v>
      </c>
      <c r="C451" s="347">
        <f>$C$313</f>
        <v>36439.714615579178</v>
      </c>
    </row>
    <row r="452" spans="1:3">
      <c r="A452" s="257" t="s">
        <v>436</v>
      </c>
      <c r="B452" s="278" t="s">
        <v>35</v>
      </c>
      <c r="C452" s="347">
        <f>$C$433</f>
        <v>2598.7272386433979</v>
      </c>
    </row>
    <row r="453" spans="1:3" ht="14.65" thickBot="1">
      <c r="A453" s="670" t="s">
        <v>363</v>
      </c>
      <c r="B453" s="713" t="s">
        <v>35</v>
      </c>
      <c r="C453" s="671">
        <f>C450-C451-C452</f>
        <v>13373.965177085956</v>
      </c>
    </row>
    <row r="454" spans="1:3" ht="14.65" hidden="1" thickBot="1">
      <c r="A454" s="695" t="s">
        <v>311</v>
      </c>
      <c r="B454" s="696" t="s">
        <v>35</v>
      </c>
      <c r="C454" s="697">
        <f>C452+C453</f>
        <v>15972.692415729354</v>
      </c>
    </row>
    <row r="456" spans="1:3" ht="14.65" thickBot="1">
      <c r="A456" s="79" t="s">
        <v>289</v>
      </c>
    </row>
    <row r="457" spans="1:3" ht="14.65" thickBot="1">
      <c r="A457" s="103" t="s">
        <v>53</v>
      </c>
      <c r="B457" s="102" t="s">
        <v>18</v>
      </c>
      <c r="C457" s="17" t="s">
        <v>106</v>
      </c>
    </row>
    <row r="458" spans="1:3">
      <c r="A458" s="336" t="s">
        <v>9</v>
      </c>
      <c r="B458" s="269" t="s">
        <v>35</v>
      </c>
      <c r="C458" s="328">
        <f>C283</f>
        <v>47026.411379810503</v>
      </c>
    </row>
    <row r="459" spans="1:3">
      <c r="A459" s="336" t="s">
        <v>607</v>
      </c>
      <c r="B459" s="269" t="s">
        <v>35</v>
      </c>
      <c r="C459" s="337">
        <f>$B$375</f>
        <v>17500</v>
      </c>
    </row>
    <row r="460" spans="1:3">
      <c r="A460" s="336" t="s">
        <v>605</v>
      </c>
      <c r="B460" s="269" t="s">
        <v>35</v>
      </c>
      <c r="C460" s="337">
        <f>$C$375</f>
        <v>7000</v>
      </c>
    </row>
    <row r="461" spans="1:3">
      <c r="A461" s="338" t="s">
        <v>437</v>
      </c>
      <c r="B461" s="269" t="s">
        <v>35</v>
      </c>
      <c r="C461" s="328">
        <f>$C$434</f>
        <v>10394.908954573591</v>
      </c>
    </row>
    <row r="462" spans="1:3" ht="14.65" thickBot="1">
      <c r="A462" s="339" t="s">
        <v>363</v>
      </c>
      <c r="B462" s="271" t="s">
        <v>35</v>
      </c>
      <c r="C462" s="340">
        <f>$C$453</f>
        <v>13373.965177085956</v>
      </c>
    </row>
    <row r="464" spans="1:3" ht="14.65" thickBot="1">
      <c r="A464" s="79" t="s">
        <v>290</v>
      </c>
    </row>
    <row r="465" spans="1:3" ht="14.65" thickBot="1">
      <c r="A465" s="191" t="s">
        <v>90</v>
      </c>
      <c r="B465" s="192" t="s">
        <v>18</v>
      </c>
      <c r="C465" s="193" t="s">
        <v>91</v>
      </c>
    </row>
    <row r="466" spans="1:3">
      <c r="A466" s="678" t="s">
        <v>9</v>
      </c>
      <c r="B466" s="293" t="s">
        <v>35</v>
      </c>
      <c r="C466" s="313">
        <f>C283</f>
        <v>47026.411379810503</v>
      </c>
    </row>
    <row r="467" spans="1:3">
      <c r="A467" s="679" t="s">
        <v>607</v>
      </c>
      <c r="B467" s="282" t="s">
        <v>35</v>
      </c>
      <c r="C467" s="347">
        <f>$B$375</f>
        <v>17500</v>
      </c>
    </row>
    <row r="468" spans="1:3">
      <c r="A468" s="679" t="s">
        <v>605</v>
      </c>
      <c r="B468" s="282" t="s">
        <v>35</v>
      </c>
      <c r="C468" s="347">
        <f>$C$375</f>
        <v>7000</v>
      </c>
    </row>
    <row r="469" spans="1:3">
      <c r="A469" s="375" t="s">
        <v>437</v>
      </c>
      <c r="B469" s="287" t="s">
        <v>35</v>
      </c>
      <c r="C469" s="279">
        <f>$C$434</f>
        <v>10394.908954573591</v>
      </c>
    </row>
    <row r="470" spans="1:3">
      <c r="A470" s="375" t="s">
        <v>363</v>
      </c>
      <c r="B470" s="287" t="s">
        <v>35</v>
      </c>
      <c r="C470" s="279">
        <f>$C$453</f>
        <v>13373.965177085956</v>
      </c>
    </row>
    <row r="471" spans="1:3" ht="14.65" thickBot="1">
      <c r="A471" s="689" t="s">
        <v>305</v>
      </c>
      <c r="B471" s="677" t="s">
        <v>35</v>
      </c>
      <c r="C471" s="256">
        <f>SUM(C466:C470)</f>
        <v>95295.285511470051</v>
      </c>
    </row>
    <row r="473" spans="1:3" ht="14.65" thickBot="1">
      <c r="A473" s="79" t="s">
        <v>307</v>
      </c>
      <c r="B473" s="79"/>
      <c r="C473" s="79"/>
    </row>
    <row r="474" spans="1:3" ht="14.65" thickBot="1">
      <c r="A474" s="191" t="s">
        <v>90</v>
      </c>
      <c r="B474" s="192" t="s">
        <v>18</v>
      </c>
      <c r="C474" s="193" t="s">
        <v>106</v>
      </c>
    </row>
    <row r="475" spans="1:3">
      <c r="A475" s="272" t="s">
        <v>341</v>
      </c>
      <c r="B475" s="293" t="s">
        <v>35</v>
      </c>
      <c r="C475" s="294">
        <f>$C$302</f>
        <v>10586.69676423133</v>
      </c>
    </row>
    <row r="476" spans="1:3">
      <c r="A476" s="257" t="s">
        <v>607</v>
      </c>
      <c r="B476" s="282" t="s">
        <v>35</v>
      </c>
      <c r="C476" s="347">
        <f>$B$375</f>
        <v>17500</v>
      </c>
    </row>
    <row r="477" spans="1:3">
      <c r="A477" s="257" t="s">
        <v>605</v>
      </c>
      <c r="B477" s="282" t="s">
        <v>35</v>
      </c>
      <c r="C477" s="347">
        <f>$C$375</f>
        <v>7000</v>
      </c>
    </row>
    <row r="478" spans="1:3">
      <c r="A478" s="348" t="s">
        <v>435</v>
      </c>
      <c r="B478" s="287" t="s">
        <v>35</v>
      </c>
      <c r="C478" s="279">
        <f>$C$432</f>
        <v>7796.1817159301936</v>
      </c>
    </row>
    <row r="479" spans="1:3">
      <c r="A479" s="257" t="s">
        <v>309</v>
      </c>
      <c r="B479" s="287" t="s">
        <v>35</v>
      </c>
      <c r="C479" s="279">
        <f>C475+C476+C477+C478</f>
        <v>42882.878480161526</v>
      </c>
    </row>
    <row r="480" spans="1:3">
      <c r="A480" s="257" t="s">
        <v>305</v>
      </c>
      <c r="B480" s="287" t="s">
        <v>35</v>
      </c>
      <c r="C480" s="279">
        <f>$C$471</f>
        <v>95295.285511470051</v>
      </c>
    </row>
    <row r="481" spans="1:8">
      <c r="A481" s="299" t="s">
        <v>64</v>
      </c>
      <c r="B481" s="258" t="s">
        <v>24</v>
      </c>
      <c r="C481" s="300">
        <f>C479/C480</f>
        <v>0.45</v>
      </c>
    </row>
    <row r="482" spans="1:8">
      <c r="A482" s="68" t="s">
        <v>436</v>
      </c>
      <c r="B482" s="287" t="s">
        <v>35</v>
      </c>
      <c r="C482" s="279">
        <f>C452</f>
        <v>2598.7272386433979</v>
      </c>
    </row>
    <row r="483" spans="1:8">
      <c r="A483" s="375" t="s">
        <v>363</v>
      </c>
      <c r="B483" s="287" t="s">
        <v>35</v>
      </c>
      <c r="C483" s="279">
        <f>$C$453</f>
        <v>13373.965177085956</v>
      </c>
    </row>
    <row r="484" spans="1:8">
      <c r="A484" s="257" t="s">
        <v>342</v>
      </c>
      <c r="B484" s="287" t="s">
        <v>35</v>
      </c>
      <c r="C484" s="279">
        <f>$C$313</f>
        <v>36439.714615579178</v>
      </c>
    </row>
    <row r="485" spans="1:8">
      <c r="A485" s="257" t="s">
        <v>345</v>
      </c>
      <c r="B485" s="287" t="s">
        <v>35</v>
      </c>
      <c r="C485" s="279">
        <f>C482+C483+C484</f>
        <v>52412.407031308532</v>
      </c>
    </row>
    <row r="486" spans="1:8">
      <c r="A486" s="257" t="s">
        <v>305</v>
      </c>
      <c r="B486" s="287" t="s">
        <v>35</v>
      </c>
      <c r="C486" s="279">
        <f>$C$471</f>
        <v>95295.285511470051</v>
      </c>
    </row>
    <row r="487" spans="1:8" ht="14.65" thickBot="1">
      <c r="A487" s="301" t="s">
        <v>66</v>
      </c>
      <c r="B487" s="259" t="s">
        <v>24</v>
      </c>
      <c r="C487" s="303">
        <f>C485/C486</f>
        <v>0.55000000000000004</v>
      </c>
    </row>
    <row r="489" spans="1:8" ht="14.65" thickBot="1">
      <c r="A489" s="79" t="s">
        <v>308</v>
      </c>
    </row>
    <row r="490" spans="1:8" ht="14.65" thickBot="1">
      <c r="A490" s="482"/>
      <c r="B490" s="1028" t="s">
        <v>262</v>
      </c>
      <c r="C490" s="1029"/>
      <c r="D490" s="1029"/>
      <c r="E490" s="1029"/>
      <c r="F490" s="1030"/>
      <c r="G490" s="1028" t="s">
        <v>263</v>
      </c>
      <c r="H490" s="1031"/>
    </row>
    <row r="491" spans="1:8">
      <c r="A491" s="219" t="s">
        <v>93</v>
      </c>
      <c r="B491" s="377" t="s">
        <v>136</v>
      </c>
      <c r="C491" s="421" t="s">
        <v>618</v>
      </c>
      <c r="D491" s="421" t="s">
        <v>153</v>
      </c>
      <c r="E491" s="421" t="s">
        <v>142</v>
      </c>
      <c r="F491" s="418" t="s">
        <v>309</v>
      </c>
      <c r="G491" s="1026" t="s">
        <v>459</v>
      </c>
      <c r="H491" s="1027"/>
    </row>
    <row r="492" spans="1:8" ht="14.65" thickBot="1">
      <c r="A492" s="220"/>
      <c r="B492" s="215" t="s">
        <v>35</v>
      </c>
      <c r="C492" s="325" t="s">
        <v>35</v>
      </c>
      <c r="D492" s="325" t="s">
        <v>35</v>
      </c>
      <c r="E492" s="325" t="s">
        <v>35</v>
      </c>
      <c r="F492" s="483" t="s">
        <v>35</v>
      </c>
      <c r="G492" s="6" t="s">
        <v>257</v>
      </c>
      <c r="H492" s="24" t="s">
        <v>237</v>
      </c>
    </row>
    <row r="493" spans="1:8">
      <c r="A493" s="148" t="s">
        <v>72</v>
      </c>
      <c r="B493" s="656">
        <f>B401</f>
        <v>270.86286557052551</v>
      </c>
      <c r="C493" s="378">
        <f>F381</f>
        <v>1547.5740000000001</v>
      </c>
      <c r="D493" s="378">
        <v>0</v>
      </c>
      <c r="E493" s="378">
        <f>B493+C493+D493</f>
        <v>1818.4368655705257</v>
      </c>
      <c r="F493" s="657">
        <f t="shared" ref="F493:F507" si="44">$C$479</f>
        <v>42882.878480161526</v>
      </c>
      <c r="G493" s="634">
        <f>E493/F493*1000000</f>
        <v>42404.729580169645</v>
      </c>
      <c r="H493" s="481">
        <f>G493/1000000</f>
        <v>4.2404729580169644E-2</v>
      </c>
    </row>
    <row r="494" spans="1:8">
      <c r="A494" s="149" t="s">
        <v>73</v>
      </c>
      <c r="B494" s="592">
        <f>B402</f>
        <v>0.24441067674009115</v>
      </c>
      <c r="C494" s="364">
        <f>F382</f>
        <v>0.61250000000000004</v>
      </c>
      <c r="D494" s="364">
        <v>0</v>
      </c>
      <c r="E494" s="364">
        <f t="shared" ref="E494:E507" si="45">B494+C494+D494</f>
        <v>0.85691067674009114</v>
      </c>
      <c r="F494" s="658">
        <f t="shared" si="44"/>
        <v>42882.878480161526</v>
      </c>
      <c r="G494" s="558">
        <f t="shared" ref="G494:G506" si="46">E494/F494*1000000</f>
        <v>19.982582958756257</v>
      </c>
      <c r="H494" s="462">
        <f t="shared" ref="H494:H507" si="47">G494/1000000</f>
        <v>1.9982582958756256E-5</v>
      </c>
    </row>
    <row r="495" spans="1:8">
      <c r="A495" s="149" t="s">
        <v>74</v>
      </c>
      <c r="B495" s="592">
        <f t="shared" ref="B495:B497" si="48">B403</f>
        <v>268.24964128047651</v>
      </c>
      <c r="C495" s="364">
        <f t="shared" ref="C495:C506" si="49">F383</f>
        <v>2275.1098999999999</v>
      </c>
      <c r="D495" s="364">
        <v>0</v>
      </c>
      <c r="E495" s="364">
        <f t="shared" si="45"/>
        <v>2543.3595412804766</v>
      </c>
      <c r="F495" s="658">
        <f t="shared" si="44"/>
        <v>42882.878480161526</v>
      </c>
      <c r="G495" s="558">
        <f t="shared" si="46"/>
        <v>59309.440770331814</v>
      </c>
      <c r="H495" s="462">
        <f t="shared" si="47"/>
        <v>5.9309440770331817E-2</v>
      </c>
    </row>
    <row r="496" spans="1:8">
      <c r="A496" s="149" t="s">
        <v>75</v>
      </c>
      <c r="B496" s="592">
        <f t="shared" si="48"/>
        <v>9.4592627461135195E-3</v>
      </c>
      <c r="C496" s="364">
        <f t="shared" si="49"/>
        <v>5.2499999999999998E-2</v>
      </c>
      <c r="D496" s="364">
        <v>0</v>
      </c>
      <c r="E496" s="364">
        <f t="shared" si="45"/>
        <v>6.1959262746113519E-2</v>
      </c>
      <c r="F496" s="658">
        <f t="shared" si="44"/>
        <v>42882.878480161526</v>
      </c>
      <c r="G496" s="558">
        <f t="shared" si="46"/>
        <v>1.4448485022939193</v>
      </c>
      <c r="H496" s="462">
        <f t="shared" si="47"/>
        <v>1.4448485022939193E-6</v>
      </c>
    </row>
    <row r="497" spans="1:8">
      <c r="A497" s="149" t="s">
        <v>76</v>
      </c>
      <c r="B497" s="592">
        <f t="shared" si="48"/>
        <v>0.58517520926474909</v>
      </c>
      <c r="C497" s="364">
        <f t="shared" si="49"/>
        <v>1.9698</v>
      </c>
      <c r="D497" s="364">
        <v>0</v>
      </c>
      <c r="E497" s="364">
        <f t="shared" si="45"/>
        <v>2.5549752092647493</v>
      </c>
      <c r="F497" s="658">
        <f t="shared" si="44"/>
        <v>42882.878480161526</v>
      </c>
      <c r="G497" s="558">
        <f t="shared" si="46"/>
        <v>59.580310366682397</v>
      </c>
      <c r="H497" s="462">
        <f t="shared" si="47"/>
        <v>5.9580310366682396E-5</v>
      </c>
    </row>
    <row r="498" spans="1:8">
      <c r="A498" s="150" t="s">
        <v>77</v>
      </c>
      <c r="B498" s="592">
        <f>B406</f>
        <v>1.6340016197957172</v>
      </c>
      <c r="C498" s="364">
        <f t="shared" si="49"/>
        <v>19.295499999999997</v>
      </c>
      <c r="D498" s="364">
        <v>0</v>
      </c>
      <c r="E498" s="364">
        <f t="shared" si="45"/>
        <v>20.929501619795715</v>
      </c>
      <c r="F498" s="658">
        <f t="shared" si="44"/>
        <v>42882.878480161526</v>
      </c>
      <c r="G498" s="558">
        <f t="shared" si="46"/>
        <v>488.0619576290365</v>
      </c>
      <c r="H498" s="462">
        <f t="shared" si="47"/>
        <v>4.8806195762903648E-4</v>
      </c>
    </row>
    <row r="499" spans="1:8">
      <c r="A499" s="150" t="s">
        <v>78</v>
      </c>
      <c r="B499" s="592">
        <f>B407</f>
        <v>474.19673698541652</v>
      </c>
      <c r="C499" s="364">
        <f t="shared" si="49"/>
        <v>2077.7049999999999</v>
      </c>
      <c r="D499" s="364">
        <v>0</v>
      </c>
      <c r="E499" s="364">
        <f t="shared" si="45"/>
        <v>2551.9017369854164</v>
      </c>
      <c r="F499" s="658">
        <f t="shared" si="44"/>
        <v>42882.878480161526</v>
      </c>
      <c r="G499" s="558">
        <f t="shared" si="46"/>
        <v>59508.639051969818</v>
      </c>
      <c r="H499" s="462">
        <f t="shared" si="47"/>
        <v>5.9508639051969819E-2</v>
      </c>
    </row>
    <row r="500" spans="1:8">
      <c r="A500" s="150" t="s">
        <v>79</v>
      </c>
      <c r="B500" s="592">
        <f>B408</f>
        <v>66.762814201722819</v>
      </c>
      <c r="C500" s="364">
        <f t="shared" si="49"/>
        <v>232.9992</v>
      </c>
      <c r="D500" s="364">
        <v>0</v>
      </c>
      <c r="E500" s="364">
        <f t="shared" si="45"/>
        <v>299.76201420172282</v>
      </c>
      <c r="F500" s="658">
        <f t="shared" si="44"/>
        <v>42882.878480161526</v>
      </c>
      <c r="G500" s="558">
        <f t="shared" si="46"/>
        <v>6990.2493681807928</v>
      </c>
      <c r="H500" s="462">
        <f t="shared" si="47"/>
        <v>6.9902493681807927E-3</v>
      </c>
    </row>
    <row r="501" spans="1:8">
      <c r="A501" s="150" t="s">
        <v>80</v>
      </c>
      <c r="B501" s="592">
        <f>B409</f>
        <v>106.39947565205085</v>
      </c>
      <c r="C501" s="364">
        <f t="shared" si="49"/>
        <v>302.29978333333338</v>
      </c>
      <c r="D501" s="364">
        <v>0</v>
      </c>
      <c r="E501" s="364">
        <f t="shared" si="45"/>
        <v>408.69925898538423</v>
      </c>
      <c r="F501" s="658">
        <f t="shared" si="44"/>
        <v>42882.878480161526</v>
      </c>
      <c r="G501" s="558">
        <f t="shared" si="46"/>
        <v>9530.5929422265035</v>
      </c>
      <c r="H501" s="462">
        <f t="shared" si="47"/>
        <v>9.5305929422265043E-3</v>
      </c>
    </row>
    <row r="502" spans="1:8">
      <c r="A502" s="150" t="s">
        <v>81</v>
      </c>
      <c r="B502" s="592">
        <f>B410</f>
        <v>70.863848288406345</v>
      </c>
      <c r="C502" s="364">
        <f t="shared" si="49"/>
        <v>67.697699999999998</v>
      </c>
      <c r="D502" s="364">
        <v>0</v>
      </c>
      <c r="E502" s="364">
        <f t="shared" si="45"/>
        <v>138.56154828840636</v>
      </c>
      <c r="F502" s="658">
        <f t="shared" si="44"/>
        <v>42882.878480161526</v>
      </c>
      <c r="G502" s="558">
        <f t="shared" si="46"/>
        <v>3231.1624872035509</v>
      </c>
      <c r="H502" s="462">
        <f t="shared" si="47"/>
        <v>3.231162487203551E-3</v>
      </c>
    </row>
    <row r="503" spans="1:8">
      <c r="A503" s="150" t="s">
        <v>82</v>
      </c>
      <c r="B503" s="592">
        <f t="shared" ref="B503" si="50">B411</f>
        <v>0.5807631040055945</v>
      </c>
      <c r="C503" s="364">
        <f t="shared" si="49"/>
        <v>1.4619499999999999</v>
      </c>
      <c r="D503" s="364">
        <v>0</v>
      </c>
      <c r="E503" s="364">
        <f t="shared" si="45"/>
        <v>2.0427131040055944</v>
      </c>
      <c r="F503" s="658">
        <f t="shared" si="44"/>
        <v>42882.878480161526</v>
      </c>
      <c r="G503" s="558">
        <f t="shared" si="46"/>
        <v>47.634701223486999</v>
      </c>
      <c r="H503" s="462">
        <f t="shared" si="47"/>
        <v>4.7634701223486996E-5</v>
      </c>
    </row>
    <row r="504" spans="1:8">
      <c r="A504" s="350" t="s">
        <v>154</v>
      </c>
      <c r="B504" s="592">
        <f>B414</f>
        <v>2823.1997133297937</v>
      </c>
      <c r="C504" s="364">
        <f t="shared" si="49"/>
        <v>1829.2190000000001</v>
      </c>
      <c r="D504" s="364">
        <f>$B$427</f>
        <v>2466.1391142228163</v>
      </c>
      <c r="E504" s="364">
        <f t="shared" si="45"/>
        <v>7118.5578275526095</v>
      </c>
      <c r="F504" s="658">
        <f t="shared" si="44"/>
        <v>42882.878480161526</v>
      </c>
      <c r="G504" s="597">
        <f t="shared" si="46"/>
        <v>165999.99999640408</v>
      </c>
      <c r="H504" s="583">
        <f t="shared" si="47"/>
        <v>0.16599999999640408</v>
      </c>
    </row>
    <row r="505" spans="1:8">
      <c r="A505" s="398" t="s">
        <v>84</v>
      </c>
      <c r="B505" s="592">
        <f>B415</f>
        <v>0.30472906593373228</v>
      </c>
      <c r="C505" s="364">
        <f t="shared" si="49"/>
        <v>2.6088999999999998</v>
      </c>
      <c r="D505" s="364">
        <v>0</v>
      </c>
      <c r="E505" s="364">
        <f t="shared" si="45"/>
        <v>2.9136290659337321</v>
      </c>
      <c r="F505" s="658">
        <f t="shared" si="44"/>
        <v>42882.878480161526</v>
      </c>
      <c r="G505" s="558">
        <f t="shared" si="46"/>
        <v>67.943878051041636</v>
      </c>
      <c r="H505" s="462">
        <f t="shared" si="47"/>
        <v>6.7943878051041634E-5</v>
      </c>
    </row>
    <row r="506" spans="1:8">
      <c r="A506" s="398" t="s">
        <v>85</v>
      </c>
      <c r="B506" s="592">
        <f t="shared" ref="B506:B507" si="51">B416</f>
        <v>0</v>
      </c>
      <c r="C506" s="364">
        <f t="shared" si="49"/>
        <v>124.30895555555556</v>
      </c>
      <c r="D506" s="364">
        <v>0</v>
      </c>
      <c r="E506" s="364">
        <f t="shared" si="45"/>
        <v>124.30895555555556</v>
      </c>
      <c r="F506" s="658">
        <f t="shared" si="44"/>
        <v>42882.878480161526</v>
      </c>
      <c r="G506" s="558">
        <f t="shared" si="46"/>
        <v>2898.8015721254196</v>
      </c>
      <c r="H506" s="462">
        <f t="shared" si="47"/>
        <v>2.8988015721254194E-3</v>
      </c>
    </row>
    <row r="507" spans="1:8" ht="14.65" thickBot="1">
      <c r="A507" s="152" t="s">
        <v>86</v>
      </c>
      <c r="B507" s="659">
        <f t="shared" si="51"/>
        <v>10.985617176671051</v>
      </c>
      <c r="C507" s="379">
        <f>F395</f>
        <v>53.472999999999999</v>
      </c>
      <c r="D507" s="379">
        <v>0</v>
      </c>
      <c r="E507" s="379">
        <f t="shared" si="45"/>
        <v>64.458617176671055</v>
      </c>
      <c r="F507" s="660">
        <f t="shared" si="44"/>
        <v>42882.878480161526</v>
      </c>
      <c r="G507" s="559">
        <f>E507/F507*1000000</f>
        <v>1503.1317733601045</v>
      </c>
      <c r="H507" s="464">
        <f t="shared" si="47"/>
        <v>1.5031317733601045E-3</v>
      </c>
    </row>
    <row r="509" spans="1:8">
      <c r="A509" s="1" t="s">
        <v>155</v>
      </c>
      <c r="B509" s="1"/>
      <c r="C509" s="1"/>
    </row>
    <row r="510" spans="1:8" ht="14.65" thickBot="1">
      <c r="A510" s="79" t="s">
        <v>291</v>
      </c>
    </row>
    <row r="511" spans="1:8" ht="14.65" thickBot="1">
      <c r="A511" s="16" t="s">
        <v>53</v>
      </c>
      <c r="B511" s="17" t="s">
        <v>18</v>
      </c>
      <c r="C511" s="249" t="s">
        <v>106</v>
      </c>
    </row>
    <row r="512" spans="1:8" ht="14.65" thickBot="1">
      <c r="A512" s="611" t="s">
        <v>305</v>
      </c>
      <c r="B512" s="612" t="s">
        <v>35</v>
      </c>
      <c r="C512" s="613">
        <f>$C$471</f>
        <v>95295.285511470051</v>
      </c>
    </row>
    <row r="513" spans="1:3">
      <c r="A513" s="78"/>
      <c r="B513" s="685"/>
      <c r="C513" s="686"/>
    </row>
    <row r="514" spans="1:3">
      <c r="A514" s="329" t="s">
        <v>319</v>
      </c>
      <c r="B514" s="685"/>
      <c r="C514" s="686"/>
    </row>
    <row r="516" spans="1:3" ht="14.65" thickBot="1">
      <c r="A516" s="79" t="s">
        <v>292</v>
      </c>
    </row>
    <row r="517" spans="1:3" ht="14.65" thickBot="1">
      <c r="A517" s="191" t="s">
        <v>90</v>
      </c>
      <c r="B517" s="192" t="s">
        <v>18</v>
      </c>
      <c r="C517" s="193" t="s">
        <v>91</v>
      </c>
    </row>
    <row r="518" spans="1:3">
      <c r="A518" s="703" t="s">
        <v>314</v>
      </c>
      <c r="B518" s="692" t="s">
        <v>35</v>
      </c>
      <c r="C518" s="730">
        <f>C479</f>
        <v>42882.878480161526</v>
      </c>
    </row>
    <row r="519" spans="1:3">
      <c r="A519" s="232" t="s">
        <v>320</v>
      </c>
      <c r="B519" s="178" t="s">
        <v>237</v>
      </c>
      <c r="C519" s="722">
        <v>0.95</v>
      </c>
    </row>
    <row r="520" spans="1:3">
      <c r="A520" s="688" t="s">
        <v>17</v>
      </c>
      <c r="B520" s="90" t="s">
        <v>35</v>
      </c>
      <c r="C520" s="254">
        <f>C518/C519</f>
        <v>45139.872084380557</v>
      </c>
    </row>
    <row r="521" spans="1:3">
      <c r="A521" s="232" t="s">
        <v>321</v>
      </c>
      <c r="B521" s="178" t="s">
        <v>237</v>
      </c>
      <c r="C521" s="722">
        <f>100%-C519</f>
        <v>5.0000000000000044E-2</v>
      </c>
    </row>
    <row r="522" spans="1:3">
      <c r="A522" s="232" t="s">
        <v>348</v>
      </c>
      <c r="B522" s="178" t="s">
        <v>35</v>
      </c>
      <c r="C522" s="84">
        <f>C520*C521</f>
        <v>2256.9936042190297</v>
      </c>
    </row>
    <row r="523" spans="1:3" ht="14.65" thickBot="1">
      <c r="A523" s="689" t="s">
        <v>16</v>
      </c>
      <c r="B523" s="163" t="s">
        <v>35</v>
      </c>
      <c r="C523" s="690">
        <f>$C$485-C522</f>
        <v>50155.413427089501</v>
      </c>
    </row>
    <row r="525" spans="1:3" ht="14.65" thickBot="1">
      <c r="A525" s="1" t="s">
        <v>401</v>
      </c>
      <c r="B525" s="1"/>
      <c r="C525" s="1"/>
    </row>
    <row r="526" spans="1:3" ht="14.65" thickBot="1">
      <c r="A526" s="9" t="s">
        <v>402</v>
      </c>
      <c r="B526" s="790" t="s">
        <v>297</v>
      </c>
      <c r="C526" s="789" t="s">
        <v>403</v>
      </c>
    </row>
    <row r="527" spans="1:3">
      <c r="A527" s="134" t="s">
        <v>329</v>
      </c>
      <c r="B527" s="793" t="s">
        <v>35</v>
      </c>
      <c r="C527" s="795">
        <f>C26</f>
        <v>3600</v>
      </c>
    </row>
    <row r="528" spans="1:3">
      <c r="A528" s="68" t="s">
        <v>331</v>
      </c>
      <c r="B528" s="105" t="s">
        <v>35</v>
      </c>
      <c r="C528" s="84">
        <f>C30</f>
        <v>27708</v>
      </c>
    </row>
    <row r="529" spans="1:5">
      <c r="A529" s="68" t="s">
        <v>409</v>
      </c>
      <c r="B529" s="105" t="s">
        <v>35</v>
      </c>
      <c r="C529" s="84">
        <f>C31</f>
        <v>6600.0000000000009</v>
      </c>
    </row>
    <row r="530" spans="1:5">
      <c r="A530" s="68" t="s">
        <v>410</v>
      </c>
      <c r="B530" s="105" t="s">
        <v>35</v>
      </c>
      <c r="C530" s="82">
        <f>C35</f>
        <v>16500</v>
      </c>
    </row>
    <row r="531" spans="1:5">
      <c r="A531" s="68" t="s">
        <v>404</v>
      </c>
      <c r="B531" s="105" t="s">
        <v>35</v>
      </c>
      <c r="C531" s="80">
        <f>ISH</f>
        <v>12000</v>
      </c>
    </row>
    <row r="532" spans="1:5">
      <c r="A532" s="68" t="s">
        <v>406</v>
      </c>
      <c r="B532" s="105" t="s">
        <v>35</v>
      </c>
      <c r="C532" s="80">
        <f>TVM</f>
        <v>17500</v>
      </c>
    </row>
    <row r="533" spans="1:5">
      <c r="A533" s="68" t="s">
        <v>405</v>
      </c>
      <c r="B533" s="105" t="s">
        <v>35</v>
      </c>
      <c r="C533" s="80">
        <f>SEF</f>
        <v>7000</v>
      </c>
    </row>
    <row r="534" spans="1:5">
      <c r="A534" s="68" t="s">
        <v>334</v>
      </c>
      <c r="B534" s="105" t="s">
        <v>35</v>
      </c>
      <c r="C534" s="86">
        <f>C123</f>
        <v>0</v>
      </c>
    </row>
    <row r="535" spans="1:5">
      <c r="A535" s="68" t="s">
        <v>338</v>
      </c>
      <c r="B535" s="105" t="s">
        <v>35</v>
      </c>
      <c r="C535" s="84">
        <f>C255</f>
        <v>18000</v>
      </c>
    </row>
    <row r="536" spans="1:5">
      <c r="A536" s="68" t="s">
        <v>408</v>
      </c>
      <c r="B536" s="105" t="s">
        <v>35</v>
      </c>
      <c r="C536" s="84">
        <f>C432</f>
        <v>7796.1817159301936</v>
      </c>
    </row>
    <row r="537" spans="1:5">
      <c r="A537" s="68" t="s">
        <v>411</v>
      </c>
      <c r="B537" s="105" t="s">
        <v>35</v>
      </c>
      <c r="C537" s="84">
        <f>C434</f>
        <v>10394.908954573591</v>
      </c>
    </row>
    <row r="538" spans="1:5">
      <c r="A538" s="794" t="s">
        <v>412</v>
      </c>
      <c r="B538" s="105" t="s">
        <v>35</v>
      </c>
      <c r="C538" s="84">
        <f>C529+C536</f>
        <v>14396.181715930194</v>
      </c>
    </row>
    <row r="539" spans="1:5" ht="14.65" thickBot="1">
      <c r="A539" s="73" t="s">
        <v>407</v>
      </c>
      <c r="B539" s="23" t="s">
        <v>35</v>
      </c>
      <c r="C539" s="237">
        <f>C453</f>
        <v>13373.965177085956</v>
      </c>
    </row>
    <row r="541" spans="1:5" ht="14.65" thickBot="1">
      <c r="A541" s="1" t="s">
        <v>235</v>
      </c>
      <c r="B541" s="1"/>
      <c r="C541" s="1"/>
      <c r="D541" s="79"/>
      <c r="E541" s="79"/>
    </row>
    <row r="542" spans="1:5" ht="14.65" thickBot="1">
      <c r="A542" s="512"/>
      <c r="B542" s="249" t="s">
        <v>18</v>
      </c>
      <c r="C542" s="249" t="s">
        <v>234</v>
      </c>
    </row>
    <row r="543" spans="1:5">
      <c r="A543" s="134" t="s">
        <v>232</v>
      </c>
      <c r="B543" s="509" t="s">
        <v>24</v>
      </c>
      <c r="C543" s="248">
        <v>0.38</v>
      </c>
    </row>
    <row r="544" spans="1:5">
      <c r="A544" s="68" t="s">
        <v>324</v>
      </c>
      <c r="B544" s="510" t="s">
        <v>35</v>
      </c>
      <c r="C544" s="244">
        <f>C518</f>
        <v>42882.878480161526</v>
      </c>
    </row>
    <row r="545" spans="1:4">
      <c r="A545" s="68" t="s">
        <v>349</v>
      </c>
      <c r="B545" s="510" t="s">
        <v>35</v>
      </c>
      <c r="C545" s="245">
        <f>C544*C543</f>
        <v>16295.49382246138</v>
      </c>
    </row>
    <row r="546" spans="1:4">
      <c r="A546" s="68" t="s">
        <v>350</v>
      </c>
      <c r="B546" s="510" t="s">
        <v>35</v>
      </c>
      <c r="C546" s="246">
        <f>E496</f>
        <v>6.1959262746113519E-2</v>
      </c>
    </row>
    <row r="547" spans="1:4" ht="14.65" thickBot="1">
      <c r="A547" s="73" t="s">
        <v>351</v>
      </c>
      <c r="B547" s="511" t="s">
        <v>236</v>
      </c>
      <c r="C547" s="931">
        <f>C546/C545*1000000</f>
        <v>3.8022329007734714</v>
      </c>
    </row>
    <row r="548" spans="1:4" ht="14.65" thickBot="1"/>
    <row r="549" spans="1:4" ht="14.65" thickBot="1">
      <c r="A549" s="212"/>
      <c r="B549" s="1010" t="s">
        <v>216</v>
      </c>
      <c r="C549" s="1005" t="s">
        <v>165</v>
      </c>
      <c r="D549" s="1012"/>
    </row>
    <row r="550" spans="1:4">
      <c r="A550" s="487" t="s">
        <v>67</v>
      </c>
      <c r="B550" s="1011"/>
      <c r="C550" s="3" t="s">
        <v>166</v>
      </c>
      <c r="D550" s="15" t="s">
        <v>167</v>
      </c>
    </row>
    <row r="551" spans="1:4" ht="14.65" thickBot="1">
      <c r="A551" s="133" t="s">
        <v>18</v>
      </c>
      <c r="B551" s="610" t="s">
        <v>352</v>
      </c>
      <c r="C551" s="6" t="s">
        <v>70</v>
      </c>
      <c r="D551" s="24" t="s">
        <v>70</v>
      </c>
    </row>
    <row r="552" spans="1:4">
      <c r="A552" s="134" t="s">
        <v>222</v>
      </c>
      <c r="B552" s="684">
        <f>G494</f>
        <v>19.982582958756257</v>
      </c>
      <c r="C552" s="484">
        <f>Rohdaten!$F$12</f>
        <v>40</v>
      </c>
      <c r="D552" s="110">
        <f>Rohdaten!$H$12</f>
        <v>40</v>
      </c>
    </row>
    <row r="553" spans="1:4">
      <c r="A553" s="68" t="s">
        <v>223</v>
      </c>
      <c r="B553" s="929">
        <f>C547</f>
        <v>3.8022329007734714</v>
      </c>
      <c r="C553" s="105" t="str">
        <f>Rohdaten!$F$14</f>
        <v>50mg/kgP2O5</v>
      </c>
      <c r="D553" s="80" t="str">
        <f>Rohdaten!$H$14</f>
        <v>60mg/kgP2O5</v>
      </c>
    </row>
    <row r="554" spans="1:4">
      <c r="A554" s="68" t="s">
        <v>224</v>
      </c>
      <c r="B554" s="606">
        <f>G498</f>
        <v>488.0619576290365</v>
      </c>
      <c r="C554" s="485">
        <f>Rohdaten!$F$16</f>
        <v>900</v>
      </c>
      <c r="D554" s="82">
        <f>Rohdaten!$H$16</f>
        <v>600</v>
      </c>
    </row>
    <row r="555" spans="1:4">
      <c r="A555" s="68" t="s">
        <v>225</v>
      </c>
      <c r="B555" s="606">
        <f>G503</f>
        <v>47.634701223486999</v>
      </c>
      <c r="C555" s="485">
        <f>Rohdaten!$F$21</f>
        <v>80</v>
      </c>
      <c r="D555" s="82">
        <f>Rohdaten!$H$21</f>
        <v>100</v>
      </c>
    </row>
    <row r="556" spans="1:4">
      <c r="A556" s="68" t="s">
        <v>226</v>
      </c>
      <c r="B556" s="607">
        <f>G505</f>
        <v>67.943878051041636</v>
      </c>
      <c r="C556" s="485">
        <f>Rohdaten!$F$23</f>
        <v>150</v>
      </c>
      <c r="D556" s="82">
        <f>Rohdaten!$H$23</f>
        <v>120</v>
      </c>
    </row>
    <row r="557" spans="1:4" ht="14.65" thickBot="1">
      <c r="A557" s="73" t="s">
        <v>227</v>
      </c>
      <c r="B557" s="608">
        <f>G507</f>
        <v>1503.1317733601045</v>
      </c>
      <c r="C557" s="486">
        <f>Rohdaten!$F$25</f>
        <v>5000</v>
      </c>
      <c r="D557" s="237">
        <f>Rohdaten!$H$25</f>
        <v>1500</v>
      </c>
    </row>
  </sheetData>
  <mergeCells count="44">
    <mergeCell ref="F38:H38"/>
    <mergeCell ref="B79:F79"/>
    <mergeCell ref="G79:L79"/>
    <mergeCell ref="B80:B81"/>
    <mergeCell ref="C80:C81"/>
    <mergeCell ref="D80:D81"/>
    <mergeCell ref="E80:E81"/>
    <mergeCell ref="F80:F81"/>
    <mergeCell ref="G80:H81"/>
    <mergeCell ref="I80:L80"/>
    <mergeCell ref="I81:J81"/>
    <mergeCell ref="K81:L81"/>
    <mergeCell ref="B145:C145"/>
    <mergeCell ref="B146:C146"/>
    <mergeCell ref="B208:F208"/>
    <mergeCell ref="G208:L208"/>
    <mergeCell ref="E319:F319"/>
    <mergeCell ref="G319:H319"/>
    <mergeCell ref="B209:B210"/>
    <mergeCell ref="C209:C210"/>
    <mergeCell ref="D209:D210"/>
    <mergeCell ref="E209:E210"/>
    <mergeCell ref="F209:F210"/>
    <mergeCell ref="G209:H210"/>
    <mergeCell ref="I209:L209"/>
    <mergeCell ref="I210:J210"/>
    <mergeCell ref="K210:L210"/>
    <mergeCell ref="B318:D318"/>
    <mergeCell ref="E318:H318"/>
    <mergeCell ref="B345:D345"/>
    <mergeCell ref="E345:H345"/>
    <mergeCell ref="E346:F346"/>
    <mergeCell ref="G346:H346"/>
    <mergeCell ref="B378:C378"/>
    <mergeCell ref="D378:F378"/>
    <mergeCell ref="G491:H491"/>
    <mergeCell ref="B549:B550"/>
    <mergeCell ref="C549:D549"/>
    <mergeCell ref="B398:E398"/>
    <mergeCell ref="F398:G398"/>
    <mergeCell ref="F399:G399"/>
    <mergeCell ref="D423:E423"/>
    <mergeCell ref="B490:F490"/>
    <mergeCell ref="G490:H490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7B038-7B65-433D-BE88-F8B48439498E}">
  <sheetPr codeName="Tabelle17"/>
  <dimension ref="A1:L492"/>
  <sheetViews>
    <sheetView topLeftCell="A444" zoomScale="65" zoomScaleNormal="50" workbookViewId="0">
      <selection activeCell="B491" sqref="B491"/>
    </sheetView>
  </sheetViews>
  <sheetFormatPr baseColWidth="10" defaultColWidth="8.86328125" defaultRowHeight="14.25"/>
  <cols>
    <col min="1" max="1" width="36.46484375" customWidth="1"/>
    <col min="2" max="2" width="34.33203125" customWidth="1"/>
    <col min="3" max="3" width="45.46484375" customWidth="1"/>
    <col min="4" max="4" width="42.19921875" customWidth="1"/>
    <col min="5" max="5" width="31.796875" customWidth="1"/>
    <col min="6" max="6" width="40.9296875" customWidth="1"/>
    <col min="7" max="7" width="26.59765625" customWidth="1"/>
    <col min="8" max="8" width="22.06640625" customWidth="1"/>
    <col min="9" max="9" width="22.33203125" customWidth="1"/>
    <col min="10" max="10" width="18.19921875" customWidth="1"/>
    <col min="11" max="11" width="17.53125" customWidth="1"/>
    <col min="12" max="12" width="16.8632812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5" spans="1:4">
      <c r="A5" s="1" t="s">
        <v>41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18"/>
      <c r="B7" s="166" t="s">
        <v>614</v>
      </c>
      <c r="C7" s="189" t="s">
        <v>632</v>
      </c>
      <c r="D7" s="190" t="s">
        <v>622</v>
      </c>
    </row>
    <row r="8" spans="1:4" ht="14.65" thickBot="1">
      <c r="A8" s="252"/>
      <c r="B8" s="6" t="s">
        <v>35</v>
      </c>
      <c r="C8" s="7" t="s">
        <v>35</v>
      </c>
      <c r="D8" s="24" t="s">
        <v>35</v>
      </c>
    </row>
    <row r="9" spans="1:4" ht="14.65" thickBot="1">
      <c r="A9" s="251" t="s">
        <v>347</v>
      </c>
      <c r="B9" s="264">
        <v>17500</v>
      </c>
      <c r="C9" s="264">
        <v>7000</v>
      </c>
      <c r="D9" s="265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500"/>
      <c r="B12" s="16" t="s">
        <v>18</v>
      </c>
      <c r="C12" s="17" t="s">
        <v>48</v>
      </c>
    </row>
    <row r="13" spans="1:4">
      <c r="A13" s="498" t="s">
        <v>329</v>
      </c>
      <c r="B13" s="25" t="s">
        <v>21</v>
      </c>
      <c r="C13" s="629">
        <v>0.3</v>
      </c>
    </row>
    <row r="14" spans="1:4">
      <c r="A14" s="415" t="s">
        <v>330</v>
      </c>
      <c r="B14" s="37" t="s">
        <v>22</v>
      </c>
      <c r="C14" s="630">
        <v>0.55000000000000004</v>
      </c>
    </row>
    <row r="15" spans="1:4">
      <c r="A15" s="415" t="s">
        <v>366</v>
      </c>
      <c r="B15" s="37" t="s">
        <v>19</v>
      </c>
      <c r="C15" s="391">
        <v>2.8340000000000001</v>
      </c>
    </row>
    <row r="16" spans="1:4" ht="14.65" thickBot="1">
      <c r="A16" s="417" t="s">
        <v>23</v>
      </c>
      <c r="B16" s="6" t="s">
        <v>237</v>
      </c>
      <c r="C16" s="416">
        <v>1.7</v>
      </c>
    </row>
    <row r="18" spans="1:3">
      <c r="A18" s="79" t="s">
        <v>451</v>
      </c>
    </row>
    <row r="19" spans="1:3">
      <c r="A19" s="5"/>
    </row>
    <row r="20" spans="1:3" ht="14.65" thickBot="1">
      <c r="A20" s="79" t="s">
        <v>264</v>
      </c>
    </row>
    <row r="21" spans="1:3" ht="14.65" thickBot="1">
      <c r="A21" s="191" t="s">
        <v>53</v>
      </c>
      <c r="B21" s="192" t="s">
        <v>18</v>
      </c>
      <c r="C21" s="193" t="s">
        <v>54</v>
      </c>
    </row>
    <row r="22" spans="1:3">
      <c r="A22" s="388" t="s">
        <v>623</v>
      </c>
      <c r="B22" s="323" t="s">
        <v>35</v>
      </c>
      <c r="C22" s="687">
        <f>SEF+D9</f>
        <v>19000</v>
      </c>
    </row>
    <row r="23" spans="1:3" hidden="1">
      <c r="A23" s="679" t="s">
        <v>49</v>
      </c>
      <c r="B23" s="721" t="s">
        <v>21</v>
      </c>
      <c r="C23" s="292">
        <f>$C$13</f>
        <v>0.3</v>
      </c>
    </row>
    <row r="24" spans="1:3">
      <c r="A24" s="679" t="s">
        <v>366</v>
      </c>
      <c r="B24" s="287" t="s">
        <v>35</v>
      </c>
      <c r="C24" s="84">
        <f>C22*WK</f>
        <v>53846</v>
      </c>
    </row>
    <row r="25" spans="1:3">
      <c r="A25" s="232" t="s">
        <v>329</v>
      </c>
      <c r="B25" s="287" t="s">
        <v>35</v>
      </c>
      <c r="C25" s="84">
        <f>C22*SSK</f>
        <v>5700</v>
      </c>
    </row>
    <row r="26" spans="1:3" ht="14.25" hidden="1" customHeight="1">
      <c r="A26" s="232" t="s">
        <v>327</v>
      </c>
      <c r="B26" s="721" t="s">
        <v>22</v>
      </c>
      <c r="C26" s="85">
        <f>$C$14</f>
        <v>0.55000000000000004</v>
      </c>
    </row>
    <row r="27" spans="1:3">
      <c r="A27" s="232" t="s">
        <v>327</v>
      </c>
      <c r="B27" s="721" t="s">
        <v>237</v>
      </c>
      <c r="C27" s="732">
        <f>C25/(C25+C28)</f>
        <v>0.12992637505413598</v>
      </c>
    </row>
    <row r="28" spans="1:3">
      <c r="A28" s="232" t="s">
        <v>367</v>
      </c>
      <c r="B28" s="287" t="s">
        <v>35</v>
      </c>
      <c r="C28" s="753">
        <f>C24-C33</f>
        <v>38171</v>
      </c>
    </row>
    <row r="29" spans="1:3">
      <c r="A29" s="720" t="s">
        <v>331</v>
      </c>
      <c r="B29" s="746" t="s">
        <v>35</v>
      </c>
      <c r="C29" s="754">
        <f>C25+C28</f>
        <v>43871</v>
      </c>
    </row>
    <row r="30" spans="1:3">
      <c r="A30" s="232" t="s">
        <v>428</v>
      </c>
      <c r="B30" s="287" t="s">
        <v>35</v>
      </c>
      <c r="C30" s="84">
        <f>C22*PSK</f>
        <v>10450</v>
      </c>
    </row>
    <row r="31" spans="1:3">
      <c r="A31" s="232" t="s">
        <v>326</v>
      </c>
      <c r="B31" s="287" t="s">
        <v>237</v>
      </c>
      <c r="C31" s="752">
        <v>0.4</v>
      </c>
    </row>
    <row r="32" spans="1:3" ht="14.25" hidden="1" customHeight="1">
      <c r="A32" s="232" t="s">
        <v>426</v>
      </c>
      <c r="B32" s="721" t="s">
        <v>19</v>
      </c>
      <c r="C32" s="292">
        <f>$C$15</f>
        <v>2.8340000000000001</v>
      </c>
    </row>
    <row r="33" spans="1:9">
      <c r="A33" s="232" t="s">
        <v>426</v>
      </c>
      <c r="B33" s="287" t="s">
        <v>35</v>
      </c>
      <c r="C33" s="753">
        <f>C30/C31*(1-C31)</f>
        <v>15675</v>
      </c>
    </row>
    <row r="34" spans="1:9" ht="14.65" thickBot="1">
      <c r="A34" s="680" t="s">
        <v>427</v>
      </c>
      <c r="B34" s="698" t="s">
        <v>35</v>
      </c>
      <c r="C34" s="335">
        <f>C30+C33</f>
        <v>26125</v>
      </c>
    </row>
    <row r="35" spans="1:9">
      <c r="A35" s="83"/>
      <c r="B35" s="77"/>
      <c r="C35" s="95"/>
    </row>
    <row r="36" spans="1:9" ht="14.65" thickBot="1">
      <c r="A36" s="183" t="s">
        <v>644</v>
      </c>
      <c r="B36" s="181"/>
      <c r="C36" s="182"/>
    </row>
    <row r="37" spans="1:9" ht="14.65" thickBot="1">
      <c r="A37" s="410"/>
      <c r="B37" s="169"/>
      <c r="C37" s="1013" t="s">
        <v>263</v>
      </c>
      <c r="D37" s="1015"/>
      <c r="E37" s="1016" t="s">
        <v>262</v>
      </c>
      <c r="F37" s="1017"/>
      <c r="G37" s="1017"/>
      <c r="H37" s="1075"/>
      <c r="I37" s="1076"/>
    </row>
    <row r="38" spans="1:9">
      <c r="A38" s="92" t="s">
        <v>268</v>
      </c>
      <c r="B38" s="621" t="s">
        <v>88</v>
      </c>
      <c r="C38" s="166" t="s">
        <v>622</v>
      </c>
      <c r="D38" s="190" t="s">
        <v>632</v>
      </c>
      <c r="E38" s="623" t="s">
        <v>624</v>
      </c>
      <c r="F38" s="267" t="s">
        <v>633</v>
      </c>
      <c r="G38" s="268" t="s">
        <v>623</v>
      </c>
      <c r="H38" s="269" t="s">
        <v>625</v>
      </c>
      <c r="I38" s="492" t="s">
        <v>626</v>
      </c>
    </row>
    <row r="39" spans="1:9" ht="14.65" thickBot="1">
      <c r="A39" s="93" t="s">
        <v>18</v>
      </c>
      <c r="B39" s="622" t="s">
        <v>24</v>
      </c>
      <c r="C39" s="6" t="s">
        <v>71</v>
      </c>
      <c r="D39" s="24" t="s">
        <v>71</v>
      </c>
      <c r="E39" s="23" t="s">
        <v>35</v>
      </c>
      <c r="F39" s="7" t="s">
        <v>35</v>
      </c>
      <c r="G39" s="24" t="s">
        <v>35</v>
      </c>
      <c r="H39" s="153" t="s">
        <v>35</v>
      </c>
      <c r="I39" s="155" t="s">
        <v>35</v>
      </c>
    </row>
    <row r="40" spans="1:9">
      <c r="A40" s="106" t="s">
        <v>72</v>
      </c>
      <c r="B40" s="447">
        <v>0.65137271969690658</v>
      </c>
      <c r="C40" s="413">
        <v>39002</v>
      </c>
      <c r="D40" s="616">
        <v>101832</v>
      </c>
      <c r="E40" s="228">
        <f t="shared" ref="E40:E54" si="0">$D$9*C40/1000000</f>
        <v>468.024</v>
      </c>
      <c r="F40" s="223">
        <f>$C$9*D40/1000000</f>
        <v>712.82399999999996</v>
      </c>
      <c r="G40" s="136">
        <f>E40+F40</f>
        <v>1180.848</v>
      </c>
      <c r="H40" s="618">
        <f>B40*G40</f>
        <v>769.17217330865276</v>
      </c>
      <c r="I40" s="467">
        <f>G40*(1-B40)</f>
        <v>411.67582669134725</v>
      </c>
    </row>
    <row r="41" spans="1:9">
      <c r="A41" s="107" t="s">
        <v>73</v>
      </c>
      <c r="B41" s="448">
        <v>0.80153246110453391</v>
      </c>
      <c r="C41" s="413">
        <v>28.6</v>
      </c>
      <c r="D41" s="357">
        <v>10</v>
      </c>
      <c r="E41" s="229">
        <f t="shared" si="0"/>
        <v>0.34320000000000001</v>
      </c>
      <c r="F41" s="224">
        <f t="shared" ref="F41:F54" si="1">$C$9*D41/1000000</f>
        <v>7.0000000000000007E-2</v>
      </c>
      <c r="G41" s="86">
        <f t="shared" ref="G41:G54" si="2">E41+F41</f>
        <v>0.41320000000000001</v>
      </c>
      <c r="H41" s="619">
        <f t="shared" ref="H41:H54" si="3">B41*G41</f>
        <v>0.33119321292839343</v>
      </c>
      <c r="I41" s="468">
        <f t="shared" ref="I41:I54" si="4">G41*(1-B41)</f>
        <v>8.2006787071606593E-2</v>
      </c>
    </row>
    <row r="42" spans="1:9">
      <c r="A42" s="108" t="s">
        <v>74</v>
      </c>
      <c r="B42" s="448">
        <v>0.15823734978631154</v>
      </c>
      <c r="C42" s="413">
        <v>159000</v>
      </c>
      <c r="D42" s="357">
        <v>111453.2</v>
      </c>
      <c r="E42" s="229">
        <f t="shared" si="0"/>
        <v>1908</v>
      </c>
      <c r="F42" s="224">
        <f t="shared" si="1"/>
        <v>780.17240000000004</v>
      </c>
      <c r="G42" s="86">
        <f t="shared" si="2"/>
        <v>2688.1723999999999</v>
      </c>
      <c r="H42" s="619">
        <f t="shared" si="3"/>
        <v>425.36927634470857</v>
      </c>
      <c r="I42" s="468">
        <f t="shared" si="4"/>
        <v>2262.8031236552915</v>
      </c>
    </row>
    <row r="43" spans="1:9">
      <c r="A43" s="108" t="s">
        <v>75</v>
      </c>
      <c r="B43" s="448">
        <v>0.25348730816186238</v>
      </c>
      <c r="C43" s="413">
        <v>3.5</v>
      </c>
      <c r="D43" s="357">
        <v>2</v>
      </c>
      <c r="E43" s="229">
        <f t="shared" si="0"/>
        <v>4.2000000000000003E-2</v>
      </c>
      <c r="F43" s="224">
        <f t="shared" si="1"/>
        <v>1.4E-2</v>
      </c>
      <c r="G43" s="86">
        <f t="shared" si="2"/>
        <v>5.6000000000000001E-2</v>
      </c>
      <c r="H43" s="619">
        <f t="shared" si="3"/>
        <v>1.4195289257064293E-2</v>
      </c>
      <c r="I43" s="468">
        <f t="shared" si="4"/>
        <v>4.1804710742935708E-2</v>
      </c>
    </row>
    <row r="44" spans="1:9">
      <c r="A44" s="108" t="s">
        <v>76</v>
      </c>
      <c r="B44" s="448">
        <v>0.40356545688185752</v>
      </c>
      <c r="C44" s="413">
        <v>136</v>
      </c>
      <c r="D44" s="357">
        <v>53.9</v>
      </c>
      <c r="E44" s="229">
        <f t="shared" si="0"/>
        <v>1.6319999999999999</v>
      </c>
      <c r="F44" s="224">
        <f t="shared" si="1"/>
        <v>0.37730000000000002</v>
      </c>
      <c r="G44" s="86">
        <f t="shared" si="2"/>
        <v>2.0093000000000001</v>
      </c>
      <c r="H44" s="619">
        <f t="shared" si="3"/>
        <v>0.81088407251271633</v>
      </c>
      <c r="I44" s="468">
        <f t="shared" si="4"/>
        <v>1.1984159274872836</v>
      </c>
    </row>
    <row r="45" spans="1:9">
      <c r="A45" s="108" t="s">
        <v>77</v>
      </c>
      <c r="B45" s="448">
        <v>0.23362301177680689</v>
      </c>
      <c r="C45" s="413">
        <v>656</v>
      </c>
      <c r="D45" s="357">
        <v>1099</v>
      </c>
      <c r="E45" s="229">
        <f t="shared" si="0"/>
        <v>7.8719999999999999</v>
      </c>
      <c r="F45" s="224">
        <f t="shared" si="1"/>
        <v>7.6929999999999996</v>
      </c>
      <c r="G45" s="86">
        <f t="shared" si="2"/>
        <v>15.565</v>
      </c>
      <c r="H45" s="619">
        <f t="shared" si="3"/>
        <v>3.6363421783059993</v>
      </c>
      <c r="I45" s="468">
        <f t="shared" si="4"/>
        <v>11.928657821694001</v>
      </c>
    </row>
    <row r="46" spans="1:9">
      <c r="A46" s="108" t="s">
        <v>78</v>
      </c>
      <c r="B46" s="448">
        <v>0.50785001796590601</v>
      </c>
      <c r="C46" s="413">
        <v>87577</v>
      </c>
      <c r="D46" s="357">
        <v>24315</v>
      </c>
      <c r="E46" s="229">
        <f t="shared" si="0"/>
        <v>1050.924</v>
      </c>
      <c r="F46" s="224">
        <f t="shared" si="1"/>
        <v>170.20500000000001</v>
      </c>
      <c r="G46" s="86">
        <f t="shared" si="2"/>
        <v>1221.1289999999999</v>
      </c>
      <c r="H46" s="619">
        <f t="shared" si="3"/>
        <v>620.15038458868878</v>
      </c>
      <c r="I46" s="468">
        <f t="shared" si="4"/>
        <v>600.97861541131113</v>
      </c>
    </row>
    <row r="47" spans="1:9">
      <c r="A47" s="108" t="s">
        <v>79</v>
      </c>
      <c r="B47" s="448">
        <v>0.76085478233676074</v>
      </c>
      <c r="C47" s="413">
        <v>8230</v>
      </c>
      <c r="D47" s="357">
        <v>9848.1</v>
      </c>
      <c r="E47" s="229">
        <f t="shared" si="0"/>
        <v>98.76</v>
      </c>
      <c r="F47" s="224">
        <f t="shared" si="1"/>
        <v>68.936700000000002</v>
      </c>
      <c r="G47" s="86">
        <f t="shared" si="2"/>
        <v>167.69670000000002</v>
      </c>
      <c r="H47" s="619">
        <f t="shared" si="3"/>
        <v>127.59283617709308</v>
      </c>
      <c r="I47" s="468">
        <f t="shared" si="4"/>
        <v>40.103863822906938</v>
      </c>
    </row>
    <row r="48" spans="1:9">
      <c r="A48" s="108" t="s">
        <v>80</v>
      </c>
      <c r="B48" s="448">
        <v>0.77360051904316074</v>
      </c>
      <c r="C48" s="413">
        <v>12900</v>
      </c>
      <c r="D48" s="357">
        <v>12706.1</v>
      </c>
      <c r="E48" s="229">
        <f t="shared" si="0"/>
        <v>154.80000000000001</v>
      </c>
      <c r="F48" s="224">
        <f t="shared" si="1"/>
        <v>88.942700000000002</v>
      </c>
      <c r="G48" s="86">
        <f t="shared" si="2"/>
        <v>243.74270000000001</v>
      </c>
      <c r="H48" s="619">
        <f t="shared" si="3"/>
        <v>188.55947923298143</v>
      </c>
      <c r="I48" s="468">
        <f t="shared" si="4"/>
        <v>55.183220767018589</v>
      </c>
    </row>
    <row r="49" spans="1:9">
      <c r="A49" s="108" t="s">
        <v>81</v>
      </c>
      <c r="B49" s="448">
        <v>0.8205530976880453</v>
      </c>
      <c r="C49" s="413">
        <v>8100</v>
      </c>
      <c r="D49" s="357">
        <v>3346.1</v>
      </c>
      <c r="E49" s="229">
        <f t="shared" si="0"/>
        <v>97.2</v>
      </c>
      <c r="F49" s="224">
        <f t="shared" si="1"/>
        <v>23.422699999999999</v>
      </c>
      <c r="G49" s="86">
        <f t="shared" si="2"/>
        <v>120.62270000000001</v>
      </c>
      <c r="H49" s="619">
        <f t="shared" si="3"/>
        <v>98.977330136495794</v>
      </c>
      <c r="I49" s="468">
        <f t="shared" si="4"/>
        <v>21.645369863504222</v>
      </c>
    </row>
    <row r="50" spans="1:9">
      <c r="A50" s="108" t="s">
        <v>82</v>
      </c>
      <c r="B50" s="448">
        <v>0.435768646693799</v>
      </c>
      <c r="C50" s="413">
        <v>125</v>
      </c>
      <c r="D50" s="357">
        <v>47.6</v>
      </c>
      <c r="E50" s="229">
        <f t="shared" si="0"/>
        <v>1.5</v>
      </c>
      <c r="F50" s="224">
        <f t="shared" si="1"/>
        <v>0.3332</v>
      </c>
      <c r="G50" s="86">
        <f t="shared" si="2"/>
        <v>1.8331999999999999</v>
      </c>
      <c r="H50" s="619">
        <f t="shared" si="3"/>
        <v>0.79885108311907227</v>
      </c>
      <c r="I50" s="468">
        <f t="shared" si="4"/>
        <v>1.0343489168809277</v>
      </c>
    </row>
    <row r="51" spans="1:9">
      <c r="A51" s="108" t="s">
        <v>83</v>
      </c>
      <c r="B51" s="448">
        <v>0.87583141379652929</v>
      </c>
      <c r="C51" s="413">
        <v>81618</v>
      </c>
      <c r="D51" s="357">
        <v>84567</v>
      </c>
      <c r="E51" s="229">
        <f t="shared" si="0"/>
        <v>979.41600000000005</v>
      </c>
      <c r="F51" s="224">
        <f t="shared" si="1"/>
        <v>591.96900000000005</v>
      </c>
      <c r="G51" s="86">
        <f t="shared" si="2"/>
        <v>1571.3850000000002</v>
      </c>
      <c r="H51" s="619">
        <f t="shared" si="3"/>
        <v>1376.2683461686593</v>
      </c>
      <c r="I51" s="468">
        <f t="shared" si="4"/>
        <v>195.11665383134084</v>
      </c>
    </row>
    <row r="52" spans="1:9">
      <c r="A52" s="108" t="s">
        <v>84</v>
      </c>
      <c r="B52" s="448">
        <v>0.23049375883839485</v>
      </c>
      <c r="C52" s="413">
        <v>124</v>
      </c>
      <c r="D52" s="357">
        <v>80.2</v>
      </c>
      <c r="E52" s="229">
        <f t="shared" si="0"/>
        <v>1.488</v>
      </c>
      <c r="F52" s="224">
        <f t="shared" si="1"/>
        <v>0.56140000000000001</v>
      </c>
      <c r="G52" s="86">
        <f t="shared" si="2"/>
        <v>2.0493999999999999</v>
      </c>
      <c r="H52" s="619">
        <f t="shared" si="3"/>
        <v>0.4723739093634064</v>
      </c>
      <c r="I52" s="468">
        <f t="shared" si="4"/>
        <v>1.5770260906365936</v>
      </c>
    </row>
    <row r="53" spans="1:9">
      <c r="A53" s="108" t="s">
        <v>85</v>
      </c>
      <c r="B53" s="448" t="s">
        <v>89</v>
      </c>
      <c r="C53" s="413">
        <v>18900</v>
      </c>
      <c r="D53" s="357">
        <v>3113.7</v>
      </c>
      <c r="E53" s="229">
        <f t="shared" si="0"/>
        <v>226.8</v>
      </c>
      <c r="F53" s="224">
        <f t="shared" si="1"/>
        <v>21.7959</v>
      </c>
      <c r="G53" s="86">
        <f t="shared" si="2"/>
        <v>248.5959</v>
      </c>
      <c r="H53" s="69" t="s">
        <v>89</v>
      </c>
      <c r="I53" s="72" t="s">
        <v>89</v>
      </c>
    </row>
    <row r="54" spans="1:9" ht="14.65" thickBot="1">
      <c r="A54" s="109" t="s">
        <v>86</v>
      </c>
      <c r="B54" s="449">
        <v>0.43789451837070636</v>
      </c>
      <c r="C54" s="414">
        <v>2353</v>
      </c>
      <c r="D54" s="359">
        <v>1989</v>
      </c>
      <c r="E54" s="230">
        <f t="shared" si="0"/>
        <v>28.236000000000001</v>
      </c>
      <c r="F54" s="225">
        <f t="shared" si="1"/>
        <v>13.923</v>
      </c>
      <c r="G54" s="118">
        <f t="shared" si="2"/>
        <v>42.158999999999999</v>
      </c>
      <c r="H54" s="620">
        <f t="shared" si="3"/>
        <v>18.46119499999061</v>
      </c>
      <c r="I54" s="469">
        <f t="shared" si="4"/>
        <v>23.697805000009389</v>
      </c>
    </row>
    <row r="55" spans="1:9">
      <c r="A55" s="5"/>
    </row>
    <row r="56" spans="1:9" ht="14.65" thickBot="1">
      <c r="A56" s="79" t="s">
        <v>265</v>
      </c>
    </row>
    <row r="57" spans="1:9" ht="14.65" thickBot="1">
      <c r="A57" s="103" t="s">
        <v>90</v>
      </c>
      <c r="B57" s="102" t="s">
        <v>18</v>
      </c>
      <c r="C57" s="17" t="s">
        <v>91</v>
      </c>
    </row>
    <row r="58" spans="1:9">
      <c r="A58" s="272" t="s">
        <v>623</v>
      </c>
      <c r="B58" s="298" t="s">
        <v>35</v>
      </c>
      <c r="C58" s="294">
        <f>KSAnk</f>
        <v>19000</v>
      </c>
    </row>
    <row r="59" spans="1:9">
      <c r="A59" s="815" t="s">
        <v>366</v>
      </c>
      <c r="B59" s="278" t="s">
        <v>35</v>
      </c>
      <c r="C59" s="297">
        <f>C24</f>
        <v>53846</v>
      </c>
    </row>
    <row r="60" spans="1:9">
      <c r="A60" s="257" t="s">
        <v>329</v>
      </c>
      <c r="B60" s="278" t="s">
        <v>35</v>
      </c>
      <c r="C60" s="289">
        <f>C25</f>
        <v>5700</v>
      </c>
    </row>
    <row r="61" spans="1:9">
      <c r="A61" s="257" t="s">
        <v>428</v>
      </c>
      <c r="B61" s="278" t="s">
        <v>35</v>
      </c>
      <c r="C61" s="289">
        <f>C30</f>
        <v>10450</v>
      </c>
    </row>
    <row r="62" spans="1:9" ht="14.65" thickBot="1">
      <c r="A62" s="255" t="s">
        <v>4</v>
      </c>
      <c r="B62" s="271" t="s">
        <v>35</v>
      </c>
      <c r="C62" s="256">
        <f>C58+C59+C60+C61</f>
        <v>88996</v>
      </c>
    </row>
    <row r="64" spans="1:9" ht="14.65" thickBot="1">
      <c r="A64" s="79" t="s">
        <v>278</v>
      </c>
      <c r="B64" s="79"/>
      <c r="C64" s="79"/>
    </row>
    <row r="65" spans="1:12" ht="14.65" thickBot="1">
      <c r="A65" s="103" t="s">
        <v>90</v>
      </c>
      <c r="B65" s="102" t="s">
        <v>18</v>
      </c>
      <c r="C65" s="17" t="s">
        <v>91</v>
      </c>
    </row>
    <row r="66" spans="1:12">
      <c r="A66" s="272" t="s">
        <v>623</v>
      </c>
      <c r="B66" s="298" t="s">
        <v>35</v>
      </c>
      <c r="C66" s="294">
        <f>$C$22</f>
        <v>19000</v>
      </c>
    </row>
    <row r="67" spans="1:12">
      <c r="A67" s="257" t="s">
        <v>329</v>
      </c>
      <c r="B67" s="278" t="s">
        <v>35</v>
      </c>
      <c r="C67" s="295">
        <f>C25</f>
        <v>5700</v>
      </c>
    </row>
    <row r="68" spans="1:12">
      <c r="A68" s="257" t="s">
        <v>428</v>
      </c>
      <c r="B68" s="278" t="s">
        <v>35</v>
      </c>
      <c r="C68" s="295">
        <f>C30</f>
        <v>10450</v>
      </c>
    </row>
    <row r="69" spans="1:12">
      <c r="A69" s="257" t="s">
        <v>336</v>
      </c>
      <c r="B69" s="278" t="s">
        <v>35</v>
      </c>
      <c r="C69" s="279">
        <f>C66+C67+C68</f>
        <v>35150</v>
      </c>
    </row>
    <row r="70" spans="1:12">
      <c r="A70" s="257" t="s">
        <v>4</v>
      </c>
      <c r="B70" s="278" t="s">
        <v>35</v>
      </c>
      <c r="C70" s="279">
        <f>$C$62</f>
        <v>88996</v>
      </c>
    </row>
    <row r="71" spans="1:12">
      <c r="A71" s="299" t="s">
        <v>64</v>
      </c>
      <c r="B71" s="260" t="s">
        <v>24</v>
      </c>
      <c r="C71" s="300">
        <f>C69/C70</f>
        <v>0.39496157130657555</v>
      </c>
    </row>
    <row r="72" spans="1:12">
      <c r="A72" s="257" t="s">
        <v>366</v>
      </c>
      <c r="B72" s="278" t="s">
        <v>35</v>
      </c>
      <c r="C72" s="279">
        <f>C24</f>
        <v>53846</v>
      </c>
    </row>
    <row r="73" spans="1:12">
      <c r="A73" s="257" t="s">
        <v>333</v>
      </c>
      <c r="B73" s="278" t="s">
        <v>35</v>
      </c>
      <c r="C73" s="279">
        <f>C72</f>
        <v>53846</v>
      </c>
    </row>
    <row r="74" spans="1:12">
      <c r="A74" s="257" t="s">
        <v>266</v>
      </c>
      <c r="B74" s="278" t="s">
        <v>35</v>
      </c>
      <c r="C74" s="279">
        <f>$C$62</f>
        <v>88996</v>
      </c>
    </row>
    <row r="75" spans="1:12" ht="14.65" thickBot="1">
      <c r="A75" s="301" t="s">
        <v>66</v>
      </c>
      <c r="B75" s="277" t="s">
        <v>24</v>
      </c>
      <c r="C75" s="303">
        <f>C73/C74</f>
        <v>0.60503842869342439</v>
      </c>
    </row>
    <row r="76" spans="1:12">
      <c r="A76" s="83"/>
      <c r="B76" s="77"/>
      <c r="C76" s="96"/>
    </row>
    <row r="77" spans="1:12" ht="14.65" thickBot="1">
      <c r="A77" s="79" t="s">
        <v>92</v>
      </c>
    </row>
    <row r="78" spans="1:12" ht="14.65" thickBot="1">
      <c r="A78" s="419"/>
      <c r="B78" s="1028" t="s">
        <v>262</v>
      </c>
      <c r="C78" s="1029"/>
      <c r="D78" s="1029"/>
      <c r="E78" s="1029"/>
      <c r="F78" s="1030"/>
      <c r="G78" s="1028" t="s">
        <v>263</v>
      </c>
      <c r="H78" s="1029"/>
      <c r="I78" s="1029"/>
      <c r="J78" s="1029"/>
      <c r="K78" s="1029"/>
      <c r="L78" s="1031"/>
    </row>
    <row r="79" spans="1:12">
      <c r="A79" s="420"/>
      <c r="B79" s="1047" t="s">
        <v>270</v>
      </c>
      <c r="C79" s="1051" t="s">
        <v>243</v>
      </c>
      <c r="D79" s="1051" t="s">
        <v>256</v>
      </c>
      <c r="E79" s="1049" t="s">
        <v>336</v>
      </c>
      <c r="F79" s="1052" t="s">
        <v>266</v>
      </c>
      <c r="G79" s="1026" t="s">
        <v>269</v>
      </c>
      <c r="H79" s="1040"/>
      <c r="I79" s="1022" t="s">
        <v>267</v>
      </c>
      <c r="J79" s="1032"/>
      <c r="K79" s="1032"/>
      <c r="L79" s="1023"/>
    </row>
    <row r="80" spans="1:12">
      <c r="A80" s="92" t="s">
        <v>93</v>
      </c>
      <c r="B80" s="1048"/>
      <c r="C80" s="1050"/>
      <c r="D80" s="1050"/>
      <c r="E80" s="1050"/>
      <c r="F80" s="1053"/>
      <c r="G80" s="1033"/>
      <c r="H80" s="1046"/>
      <c r="I80" s="1033" t="s">
        <v>243</v>
      </c>
      <c r="J80" s="1034"/>
      <c r="K80" s="1034" t="s">
        <v>256</v>
      </c>
      <c r="L80" s="1035"/>
    </row>
    <row r="81" spans="1:12" ht="14.65" thickBot="1">
      <c r="A81" s="93" t="s">
        <v>18</v>
      </c>
      <c r="B81" s="153" t="s">
        <v>35</v>
      </c>
      <c r="C81" s="154" t="s">
        <v>35</v>
      </c>
      <c r="D81" s="154" t="s">
        <v>35</v>
      </c>
      <c r="E81" s="154" t="s">
        <v>35</v>
      </c>
      <c r="F81" s="423" t="s">
        <v>35</v>
      </c>
      <c r="G81" s="403" t="s">
        <v>257</v>
      </c>
      <c r="H81" s="423" t="s">
        <v>237</v>
      </c>
      <c r="I81" s="403" t="s">
        <v>70</v>
      </c>
      <c r="J81" s="154" t="s">
        <v>237</v>
      </c>
      <c r="K81" s="154" t="s">
        <v>70</v>
      </c>
      <c r="L81" s="155" t="s">
        <v>237</v>
      </c>
    </row>
    <row r="82" spans="1:12">
      <c r="A82" s="148" t="s">
        <v>72</v>
      </c>
      <c r="B82" s="159">
        <f>G40</f>
        <v>1180.848</v>
      </c>
      <c r="C82" s="428">
        <f>H40</f>
        <v>769.17217330865276</v>
      </c>
      <c r="D82" s="428">
        <f>I40</f>
        <v>411.67582669134725</v>
      </c>
      <c r="E82" s="160">
        <f>$C$69</f>
        <v>35150</v>
      </c>
      <c r="F82" s="467">
        <f>$C$62</f>
        <v>88996</v>
      </c>
      <c r="G82" s="465">
        <f t="shared" ref="G82:G102" si="5">B82/E82*1000000</f>
        <v>33594.537695590327</v>
      </c>
      <c r="H82" s="554">
        <f>G82/1000000</f>
        <v>3.3594537695590329E-2</v>
      </c>
      <c r="I82" s="557">
        <f>C82/F82*1000000</f>
        <v>8642.7724089695348</v>
      </c>
      <c r="J82" s="432">
        <f>I82/1000000</f>
        <v>8.6427724089695353E-3</v>
      </c>
      <c r="K82" s="431">
        <f t="shared" ref="K82:K102" si="6">D82/F82*1000000</f>
        <v>4625.7789865988052</v>
      </c>
      <c r="L82" s="433">
        <f>K82/1000000</f>
        <v>4.6257789865988049E-3</v>
      </c>
    </row>
    <row r="83" spans="1:12">
      <c r="A83" s="149" t="s">
        <v>73</v>
      </c>
      <c r="B83" s="161">
        <f>G41</f>
        <v>0.41320000000000001</v>
      </c>
      <c r="C83" s="235">
        <f>H41</f>
        <v>0.33119321292839343</v>
      </c>
      <c r="D83" s="235">
        <f>I41</f>
        <v>8.2006787071606593E-2</v>
      </c>
      <c r="E83" s="119">
        <f t="shared" ref="E83:E102" si="7">$C$69</f>
        <v>35150</v>
      </c>
      <c r="F83" s="468">
        <f>$C$62</f>
        <v>88996</v>
      </c>
      <c r="G83" s="331">
        <f>B83/E83*1000000</f>
        <v>11.755334281650072</v>
      </c>
      <c r="H83" s="555">
        <f t="shared" ref="H83:H102" si="8">G83/1000000</f>
        <v>1.1755334281650072E-5</v>
      </c>
      <c r="I83" s="558">
        <f>C83/F83*1000000</f>
        <v>3.7214393110745814</v>
      </c>
      <c r="J83" s="427">
        <f t="shared" ref="J83:J102" si="9">I83/1000000</f>
        <v>3.7214393110745813E-6</v>
      </c>
      <c r="K83" s="426">
        <f t="shared" si="6"/>
        <v>0.92146598803998592</v>
      </c>
      <c r="L83" s="434">
        <f t="shared" ref="L83:L102" si="10">K83/1000000</f>
        <v>9.2146598803998595E-7</v>
      </c>
    </row>
    <row r="84" spans="1:12">
      <c r="A84" s="149" t="s">
        <v>74</v>
      </c>
      <c r="B84" s="161">
        <f>G42</f>
        <v>2688.1723999999999</v>
      </c>
      <c r="C84" s="235">
        <f>H42</f>
        <v>425.36927634470857</v>
      </c>
      <c r="D84" s="235">
        <f>I42</f>
        <v>2262.8031236552915</v>
      </c>
      <c r="E84" s="119">
        <f t="shared" si="7"/>
        <v>35150</v>
      </c>
      <c r="F84" s="468">
        <f t="shared" ref="F84:F102" si="11">$C$62</f>
        <v>88996</v>
      </c>
      <c r="G84" s="331">
        <f t="shared" ref="G84:G86" si="12">B84/E84*1000000</f>
        <v>76477.16642958748</v>
      </c>
      <c r="H84" s="555">
        <f t="shared" si="8"/>
        <v>7.6477166429587476E-2</v>
      </c>
      <c r="I84" s="558">
        <f t="shared" ref="I84:I86" si="13">C84/F84*1000000</f>
        <v>4779.6448867893896</v>
      </c>
      <c r="J84" s="427">
        <f t="shared" si="9"/>
        <v>4.7796448867893897E-3</v>
      </c>
      <c r="K84" s="426">
        <f t="shared" si="6"/>
        <v>25425.896935314973</v>
      </c>
      <c r="L84" s="434">
        <f t="shared" si="10"/>
        <v>2.5425896935314975E-2</v>
      </c>
    </row>
    <row r="85" spans="1:12">
      <c r="A85" s="149" t="s">
        <v>75</v>
      </c>
      <c r="B85" s="161">
        <f>G43</f>
        <v>5.6000000000000001E-2</v>
      </c>
      <c r="C85" s="235">
        <f>H43</f>
        <v>1.4195289257064293E-2</v>
      </c>
      <c r="D85" s="235">
        <f>I43</f>
        <v>4.1804710742935708E-2</v>
      </c>
      <c r="E85" s="119">
        <f t="shared" si="7"/>
        <v>35150</v>
      </c>
      <c r="F85" s="468">
        <f t="shared" si="11"/>
        <v>88996</v>
      </c>
      <c r="G85" s="331">
        <f t="shared" si="12"/>
        <v>1.5931721194879089</v>
      </c>
      <c r="H85" s="555">
        <f t="shared" si="8"/>
        <v>1.593172119487909E-6</v>
      </c>
      <c r="I85" s="558">
        <f t="shared" si="13"/>
        <v>0.15950480085694069</v>
      </c>
      <c r="J85" s="427">
        <f t="shared" si="9"/>
        <v>1.5950480085694068E-7</v>
      </c>
      <c r="K85" s="426">
        <f t="shared" si="6"/>
        <v>0.46973696281783123</v>
      </c>
      <c r="L85" s="434">
        <f t="shared" si="10"/>
        <v>4.6973696281783124E-7</v>
      </c>
    </row>
    <row r="86" spans="1:12">
      <c r="A86" s="149" t="s">
        <v>76</v>
      </c>
      <c r="B86" s="161">
        <f>G44</f>
        <v>2.0093000000000001</v>
      </c>
      <c r="C86" s="235">
        <f>H44</f>
        <v>0.81088407251271633</v>
      </c>
      <c r="D86" s="235">
        <f>I44</f>
        <v>1.1984159274872836</v>
      </c>
      <c r="E86" s="119">
        <f t="shared" si="7"/>
        <v>35150</v>
      </c>
      <c r="F86" s="468">
        <f t="shared" si="11"/>
        <v>88996</v>
      </c>
      <c r="G86" s="331">
        <f t="shared" si="12"/>
        <v>57.163584637268848</v>
      </c>
      <c r="H86" s="555">
        <f t="shared" si="8"/>
        <v>5.7163584637268849E-5</v>
      </c>
      <c r="I86" s="558">
        <f t="shared" si="13"/>
        <v>9.1114664986372009</v>
      </c>
      <c r="J86" s="427">
        <f t="shared" si="9"/>
        <v>9.111466498637201E-6</v>
      </c>
      <c r="K86" s="426">
        <f t="shared" si="6"/>
        <v>13.465952711214927</v>
      </c>
      <c r="L86" s="434">
        <f t="shared" si="10"/>
        <v>1.3465952711214927E-5</v>
      </c>
    </row>
    <row r="87" spans="1:12">
      <c r="A87" s="150" t="s">
        <v>77</v>
      </c>
      <c r="B87" s="161">
        <f>G45</f>
        <v>15.565</v>
      </c>
      <c r="C87" s="235">
        <f>H45</f>
        <v>3.6363421783059993</v>
      </c>
      <c r="D87" s="235">
        <f>I45</f>
        <v>11.928657821694001</v>
      </c>
      <c r="E87" s="119">
        <f t="shared" si="7"/>
        <v>35150</v>
      </c>
      <c r="F87" s="468">
        <f t="shared" si="11"/>
        <v>88996</v>
      </c>
      <c r="G87" s="331">
        <f t="shared" si="5"/>
        <v>442.81650071123755</v>
      </c>
      <c r="H87" s="555">
        <f t="shared" si="8"/>
        <v>4.4281650071123756E-4</v>
      </c>
      <c r="I87" s="558">
        <f t="shared" ref="I87:I102" si="14">C87/F87*1000000</f>
        <v>40.859613671468374</v>
      </c>
      <c r="J87" s="427">
        <f t="shared" si="9"/>
        <v>4.0859613671468374E-5</v>
      </c>
      <c r="K87" s="426">
        <f t="shared" si="6"/>
        <v>134.03588724992136</v>
      </c>
      <c r="L87" s="434">
        <f t="shared" si="10"/>
        <v>1.3403588724992136E-4</v>
      </c>
    </row>
    <row r="88" spans="1:12">
      <c r="A88" s="150" t="s">
        <v>78</v>
      </c>
      <c r="B88" s="161">
        <f>G46</f>
        <v>1221.1289999999999</v>
      </c>
      <c r="C88" s="235">
        <f>H46</f>
        <v>620.15038458868878</v>
      </c>
      <c r="D88" s="235">
        <f>I46</f>
        <v>600.97861541131113</v>
      </c>
      <c r="E88" s="119">
        <f t="shared" si="7"/>
        <v>35150</v>
      </c>
      <c r="F88" s="468">
        <f t="shared" si="11"/>
        <v>88996</v>
      </c>
      <c r="G88" s="331">
        <f t="shared" si="5"/>
        <v>34740.512091038407</v>
      </c>
      <c r="H88" s="555">
        <f t="shared" si="8"/>
        <v>3.4740512091038407E-2</v>
      </c>
      <c r="I88" s="558">
        <f t="shared" si="14"/>
        <v>6968.2950311102613</v>
      </c>
      <c r="J88" s="427">
        <f t="shared" si="9"/>
        <v>6.9682950311102613E-3</v>
      </c>
      <c r="K88" s="426">
        <f t="shared" si="6"/>
        <v>6752.8722123613552</v>
      </c>
      <c r="L88" s="434">
        <f t="shared" si="10"/>
        <v>6.7528722123613551E-3</v>
      </c>
    </row>
    <row r="89" spans="1:12">
      <c r="A89" s="150" t="s">
        <v>79</v>
      </c>
      <c r="B89" s="161">
        <f>G47</f>
        <v>167.69670000000002</v>
      </c>
      <c r="C89" s="235">
        <f>H47</f>
        <v>127.59283617709308</v>
      </c>
      <c r="D89" s="235">
        <f>I47</f>
        <v>40.103863822906938</v>
      </c>
      <c r="E89" s="119">
        <f t="shared" si="7"/>
        <v>35150</v>
      </c>
      <c r="F89" s="468">
        <f t="shared" si="11"/>
        <v>88996</v>
      </c>
      <c r="G89" s="331">
        <f t="shared" si="5"/>
        <v>4770.8876244665726</v>
      </c>
      <c r="H89" s="555">
        <f t="shared" si="8"/>
        <v>4.7708876244665728E-3</v>
      </c>
      <c r="I89" s="558">
        <f t="shared" si="14"/>
        <v>1433.6918083632195</v>
      </c>
      <c r="J89" s="427">
        <f t="shared" si="9"/>
        <v>1.4336918083632194E-3</v>
      </c>
      <c r="K89" s="426">
        <f t="shared" si="6"/>
        <v>450.62546432319363</v>
      </c>
      <c r="L89" s="434">
        <f t="shared" si="10"/>
        <v>4.5062546432319363E-4</v>
      </c>
    </row>
    <row r="90" spans="1:12">
      <c r="A90" s="150" t="s">
        <v>80</v>
      </c>
      <c r="B90" s="161">
        <f>G48</f>
        <v>243.74270000000001</v>
      </c>
      <c r="C90" s="235">
        <f>H48</f>
        <v>188.55947923298143</v>
      </c>
      <c r="D90" s="235">
        <f>I48</f>
        <v>55.183220767018589</v>
      </c>
      <c r="E90" s="119">
        <f t="shared" si="7"/>
        <v>35150</v>
      </c>
      <c r="F90" s="468">
        <f t="shared" si="11"/>
        <v>88996</v>
      </c>
      <c r="G90" s="331">
        <f t="shared" si="5"/>
        <v>6934.358463726885</v>
      </c>
      <c r="H90" s="555">
        <f t="shared" si="8"/>
        <v>6.9343584637268849E-3</v>
      </c>
      <c r="I90" s="558">
        <f t="shared" si="14"/>
        <v>2118.7410583956744</v>
      </c>
      <c r="J90" s="427">
        <f t="shared" si="9"/>
        <v>2.1187410583956745E-3</v>
      </c>
      <c r="K90" s="426">
        <f t="shared" si="6"/>
        <v>620.06405644094775</v>
      </c>
      <c r="L90" s="434">
        <f t="shared" si="10"/>
        <v>6.2006405644094776E-4</v>
      </c>
    </row>
    <row r="91" spans="1:12">
      <c r="A91" s="150" t="s">
        <v>81</v>
      </c>
      <c r="B91" s="161">
        <f>G49</f>
        <v>120.62270000000001</v>
      </c>
      <c r="C91" s="235">
        <f>H49</f>
        <v>98.977330136495794</v>
      </c>
      <c r="D91" s="235">
        <f>I49</f>
        <v>21.645369863504222</v>
      </c>
      <c r="E91" s="119">
        <f t="shared" si="7"/>
        <v>35150</v>
      </c>
      <c r="F91" s="468">
        <f t="shared" si="11"/>
        <v>88996</v>
      </c>
      <c r="G91" s="331">
        <f t="shared" si="5"/>
        <v>3431.6557610241825</v>
      </c>
      <c r="H91" s="555">
        <f t="shared" si="8"/>
        <v>3.4316557610241825E-3</v>
      </c>
      <c r="I91" s="558">
        <f t="shared" si="14"/>
        <v>1112.1548174805137</v>
      </c>
      <c r="J91" s="427">
        <f t="shared" si="9"/>
        <v>1.1121548174805136E-3</v>
      </c>
      <c r="K91" s="426">
        <f t="shared" si="6"/>
        <v>243.21733407685988</v>
      </c>
      <c r="L91" s="434">
        <f t="shared" si="10"/>
        <v>2.432173340768599E-4</v>
      </c>
    </row>
    <row r="92" spans="1:12">
      <c r="A92" s="150" t="s">
        <v>82</v>
      </c>
      <c r="B92" s="161">
        <f>G50</f>
        <v>1.8331999999999999</v>
      </c>
      <c r="C92" s="235">
        <f>H50</f>
        <v>0.79885108311907227</v>
      </c>
      <c r="D92" s="235">
        <f>I50</f>
        <v>1.0343489168809277</v>
      </c>
      <c r="E92" s="119">
        <f t="shared" si="7"/>
        <v>35150</v>
      </c>
      <c r="F92" s="468">
        <f t="shared" si="11"/>
        <v>88996</v>
      </c>
      <c r="G92" s="331">
        <f t="shared" si="5"/>
        <v>52.153627311522044</v>
      </c>
      <c r="H92" s="555">
        <f t="shared" si="8"/>
        <v>5.2153627311522044E-5</v>
      </c>
      <c r="I92" s="558">
        <f t="shared" si="14"/>
        <v>8.9762582938454791</v>
      </c>
      <c r="J92" s="427">
        <f t="shared" si="9"/>
        <v>8.9762582938454796E-6</v>
      </c>
      <c r="K92" s="426">
        <f t="shared" si="6"/>
        <v>11.622420298450802</v>
      </c>
      <c r="L92" s="434">
        <f t="shared" si="10"/>
        <v>1.1622420298450802E-5</v>
      </c>
    </row>
    <row r="93" spans="1:12">
      <c r="A93" s="150" t="s">
        <v>630</v>
      </c>
      <c r="B93" s="161">
        <f>G51</f>
        <v>1571.3850000000002</v>
      </c>
      <c r="C93" s="235">
        <f>H51</f>
        <v>1376.2683461686593</v>
      </c>
      <c r="D93" s="235">
        <f>I51</f>
        <v>195.11665383134084</v>
      </c>
      <c r="E93" s="119">
        <f t="shared" si="7"/>
        <v>35150</v>
      </c>
      <c r="F93" s="468">
        <f t="shared" si="11"/>
        <v>88996</v>
      </c>
      <c r="G93" s="331">
        <f t="shared" si="5"/>
        <v>44705.120910384074</v>
      </c>
      <c r="H93" s="555">
        <f t="shared" si="8"/>
        <v>4.4705120910384075E-2</v>
      </c>
      <c r="I93" s="558">
        <f t="shared" si="14"/>
        <v>15464.384311302298</v>
      </c>
      <c r="J93" s="427">
        <f t="shared" si="9"/>
        <v>1.5464384311302298E-2</v>
      </c>
      <c r="K93" s="426">
        <f t="shared" si="6"/>
        <v>2192.4204889134435</v>
      </c>
      <c r="L93" s="434">
        <f t="shared" si="10"/>
        <v>2.1924204889134436E-3</v>
      </c>
    </row>
    <row r="94" spans="1:12">
      <c r="A94" s="150" t="s">
        <v>96</v>
      </c>
      <c r="B94" s="161">
        <f>$C$30*31/98</f>
        <v>3305.612244897959</v>
      </c>
      <c r="C94" s="235">
        <f>$C$30*31/98</f>
        <v>3305.612244897959</v>
      </c>
      <c r="D94" s="235">
        <v>0</v>
      </c>
      <c r="E94" s="119">
        <f t="shared" si="7"/>
        <v>35150</v>
      </c>
      <c r="F94" s="468">
        <f t="shared" si="11"/>
        <v>88996</v>
      </c>
      <c r="G94" s="331">
        <f t="shared" si="5"/>
        <v>94043.022614451183</v>
      </c>
      <c r="H94" s="555">
        <f t="shared" si="8"/>
        <v>9.4043022614451188E-2</v>
      </c>
      <c r="I94" s="558">
        <f t="shared" si="14"/>
        <v>37143.379982223458</v>
      </c>
      <c r="J94" s="427">
        <f t="shared" si="9"/>
        <v>3.7143379982223459E-2</v>
      </c>
      <c r="K94" s="426">
        <f t="shared" si="6"/>
        <v>0</v>
      </c>
      <c r="L94" s="434">
        <f t="shared" si="10"/>
        <v>0</v>
      </c>
    </row>
    <row r="95" spans="1:12">
      <c r="A95" s="150" t="s">
        <v>97</v>
      </c>
      <c r="B95" s="161">
        <f>B93+B94</f>
        <v>4876.9972448979588</v>
      </c>
      <c r="C95" s="235">
        <f>C93+C94</f>
        <v>4681.8805910666179</v>
      </c>
      <c r="D95" s="235">
        <f>D93+D94</f>
        <v>195.11665383134084</v>
      </c>
      <c r="E95" s="119">
        <f t="shared" si="7"/>
        <v>35150</v>
      </c>
      <c r="F95" s="468">
        <f t="shared" si="11"/>
        <v>88996</v>
      </c>
      <c r="G95" s="331">
        <f t="shared" si="5"/>
        <v>138748.14352483524</v>
      </c>
      <c r="H95" s="555">
        <f t="shared" si="8"/>
        <v>0.13874814352483525</v>
      </c>
      <c r="I95" s="558">
        <f t="shared" si="14"/>
        <v>52607.764293525754</v>
      </c>
      <c r="J95" s="427">
        <f t="shared" si="9"/>
        <v>5.2607764293525754E-2</v>
      </c>
      <c r="K95" s="426">
        <f t="shared" si="6"/>
        <v>2192.4204889134435</v>
      </c>
      <c r="L95" s="434">
        <f t="shared" si="10"/>
        <v>2.1924204889134436E-3</v>
      </c>
    </row>
    <row r="96" spans="1:12">
      <c r="A96" s="150" t="s">
        <v>84</v>
      </c>
      <c r="B96" s="161">
        <f>G52</f>
        <v>2.0493999999999999</v>
      </c>
      <c r="C96" s="235">
        <f>H52</f>
        <v>0.4723739093634064</v>
      </c>
      <c r="D96" s="235">
        <f>I52</f>
        <v>1.5770260906365936</v>
      </c>
      <c r="E96" s="119">
        <f t="shared" si="7"/>
        <v>35150</v>
      </c>
      <c r="F96" s="468">
        <f t="shared" si="11"/>
        <v>88996</v>
      </c>
      <c r="G96" s="331">
        <f t="shared" si="5"/>
        <v>58.304409672830722</v>
      </c>
      <c r="H96" s="555">
        <f t="shared" si="8"/>
        <v>5.8304409672830723E-5</v>
      </c>
      <c r="I96" s="558">
        <f t="shared" si="14"/>
        <v>5.3078105686031547</v>
      </c>
      <c r="J96" s="427">
        <f t="shared" si="9"/>
        <v>5.3078105686031548E-6</v>
      </c>
      <c r="K96" s="426">
        <f t="shared" si="6"/>
        <v>17.720190689880372</v>
      </c>
      <c r="L96" s="434">
        <f t="shared" si="10"/>
        <v>1.7720190689880373E-5</v>
      </c>
    </row>
    <row r="97" spans="1:12">
      <c r="A97" s="150" t="s">
        <v>631</v>
      </c>
      <c r="B97" s="161">
        <f>G53</f>
        <v>248.5959</v>
      </c>
      <c r="C97" s="235">
        <v>0</v>
      </c>
      <c r="D97" s="235">
        <f>E53</f>
        <v>226.8</v>
      </c>
      <c r="E97" s="119">
        <f t="shared" si="7"/>
        <v>35150</v>
      </c>
      <c r="F97" s="468">
        <f t="shared" si="11"/>
        <v>88996</v>
      </c>
      <c r="G97" s="331">
        <f t="shared" si="5"/>
        <v>7072.4295874822192</v>
      </c>
      <c r="H97" s="555">
        <f t="shared" si="8"/>
        <v>7.072429587482219E-3</v>
      </c>
      <c r="I97" s="558">
        <f t="shared" si="14"/>
        <v>0</v>
      </c>
      <c r="J97" s="427">
        <f t="shared" si="9"/>
        <v>0</v>
      </c>
      <c r="K97" s="426">
        <f t="shared" si="6"/>
        <v>2548.4291428828265</v>
      </c>
      <c r="L97" s="434">
        <f t="shared" si="10"/>
        <v>2.5484291428828263E-3</v>
      </c>
    </row>
    <row r="98" spans="1:12">
      <c r="A98" s="150" t="s">
        <v>250</v>
      </c>
      <c r="B98" s="161">
        <f>$C$25*32/98</f>
        <v>1861.2244897959183</v>
      </c>
      <c r="C98" s="235">
        <v>0</v>
      </c>
      <c r="D98" s="235">
        <f>$C$25*32/98</f>
        <v>1861.2244897959183</v>
      </c>
      <c r="E98" s="119">
        <f t="shared" si="7"/>
        <v>35150</v>
      </c>
      <c r="F98" s="468">
        <f t="shared" si="11"/>
        <v>88996</v>
      </c>
      <c r="G98" s="331">
        <f t="shared" si="5"/>
        <v>52950.910093767234</v>
      </c>
      <c r="H98" s="555">
        <f t="shared" si="8"/>
        <v>5.2950910093767234E-2</v>
      </c>
      <c r="I98" s="558">
        <f t="shared" si="14"/>
        <v>0</v>
      </c>
      <c r="J98" s="427">
        <f t="shared" si="9"/>
        <v>0</v>
      </c>
      <c r="K98" s="426">
        <f t="shared" si="6"/>
        <v>20913.57465274752</v>
      </c>
      <c r="L98" s="434">
        <f t="shared" si="10"/>
        <v>2.091357465274752E-2</v>
      </c>
    </row>
    <row r="99" spans="1:12">
      <c r="A99" s="150" t="s">
        <v>251</v>
      </c>
      <c r="B99" s="161">
        <f>B97+B98</f>
        <v>2109.8203897959183</v>
      </c>
      <c r="C99" s="235">
        <v>0</v>
      </c>
      <c r="D99" s="235">
        <f>D97+D98</f>
        <v>2088.0244897959183</v>
      </c>
      <c r="E99" s="119">
        <f t="shared" si="7"/>
        <v>35150</v>
      </c>
      <c r="F99" s="468">
        <f t="shared" si="11"/>
        <v>88996</v>
      </c>
      <c r="G99" s="331">
        <f t="shared" si="5"/>
        <v>60023.339681249454</v>
      </c>
      <c r="H99" s="555">
        <f t="shared" si="8"/>
        <v>6.0023339681249455E-2</v>
      </c>
      <c r="I99" s="558">
        <f t="shared" si="14"/>
        <v>0</v>
      </c>
      <c r="J99" s="427">
        <f t="shared" si="9"/>
        <v>0</v>
      </c>
      <c r="K99" s="426">
        <f t="shared" si="6"/>
        <v>23462.003795630346</v>
      </c>
      <c r="L99" s="434">
        <f t="shared" si="10"/>
        <v>2.3462003795630345E-2</v>
      </c>
    </row>
    <row r="100" spans="1:12">
      <c r="A100" s="151" t="s">
        <v>238</v>
      </c>
      <c r="B100" s="161">
        <f>B99/32*96</f>
        <v>6329.461169387755</v>
      </c>
      <c r="C100" s="235">
        <v>0</v>
      </c>
      <c r="D100" s="235">
        <f>D99/32*96</f>
        <v>6264.0734693877548</v>
      </c>
      <c r="E100" s="119">
        <f t="shared" si="7"/>
        <v>35150</v>
      </c>
      <c r="F100" s="468">
        <f t="shared" si="11"/>
        <v>88996</v>
      </c>
      <c r="G100" s="331">
        <f t="shared" si="5"/>
        <v>180070.01904374835</v>
      </c>
      <c r="H100" s="555">
        <f t="shared" si="8"/>
        <v>0.18007001904374836</v>
      </c>
      <c r="I100" s="558">
        <f t="shared" si="14"/>
        <v>0</v>
      </c>
      <c r="J100" s="427">
        <f t="shared" si="9"/>
        <v>0</v>
      </c>
      <c r="K100" s="426">
        <f t="shared" si="6"/>
        <v>70386.011386891027</v>
      </c>
      <c r="L100" s="434">
        <f t="shared" si="10"/>
        <v>7.0386011386891031E-2</v>
      </c>
    </row>
    <row r="101" spans="1:12">
      <c r="A101" s="151" t="s">
        <v>239</v>
      </c>
      <c r="B101" s="161">
        <f>B99/32*136</f>
        <v>8966.7366566326527</v>
      </c>
      <c r="C101" s="235">
        <v>0</v>
      </c>
      <c r="D101" s="235">
        <f>D99/32*136</f>
        <v>8874.1040816326531</v>
      </c>
      <c r="E101" s="119">
        <f t="shared" si="7"/>
        <v>35150</v>
      </c>
      <c r="F101" s="468">
        <f t="shared" si="11"/>
        <v>88996</v>
      </c>
      <c r="G101" s="331">
        <f t="shared" si="5"/>
        <v>255099.19364531021</v>
      </c>
      <c r="H101" s="555">
        <f t="shared" si="8"/>
        <v>0.2550991936453102</v>
      </c>
      <c r="I101" s="558">
        <f t="shared" si="14"/>
        <v>0</v>
      </c>
      <c r="J101" s="427">
        <f t="shared" si="9"/>
        <v>0</v>
      </c>
      <c r="K101" s="426">
        <f t="shared" si="6"/>
        <v>99713.516131428987</v>
      </c>
      <c r="L101" s="434">
        <f t="shared" si="10"/>
        <v>9.9713516131428981E-2</v>
      </c>
    </row>
    <row r="102" spans="1:12" ht="14.65" thickBot="1">
      <c r="A102" s="152" t="s">
        <v>86</v>
      </c>
      <c r="B102" s="162">
        <f>G54</f>
        <v>42.158999999999999</v>
      </c>
      <c r="C102" s="236">
        <f>H54</f>
        <v>18.46119499999061</v>
      </c>
      <c r="D102" s="236">
        <f>I54</f>
        <v>23.697805000009389</v>
      </c>
      <c r="E102" s="135">
        <f t="shared" si="7"/>
        <v>35150</v>
      </c>
      <c r="F102" s="469">
        <f t="shared" si="11"/>
        <v>88996</v>
      </c>
      <c r="G102" s="466">
        <f t="shared" si="5"/>
        <v>1199.4025604551921</v>
      </c>
      <c r="H102" s="556">
        <f t="shared" si="8"/>
        <v>1.199402560455192E-3</v>
      </c>
      <c r="I102" s="559">
        <f t="shared" si="14"/>
        <v>207.43848038103522</v>
      </c>
      <c r="J102" s="438">
        <f t="shared" si="9"/>
        <v>2.0743848038103522E-4</v>
      </c>
      <c r="K102" s="437">
        <f t="shared" si="6"/>
        <v>266.27943952547747</v>
      </c>
      <c r="L102" s="439">
        <f t="shared" si="10"/>
        <v>2.6627943952547745E-4</v>
      </c>
    </row>
    <row r="104" spans="1:12">
      <c r="A104" s="1" t="s">
        <v>98</v>
      </c>
      <c r="B104" s="1"/>
      <c r="C104" s="1"/>
    </row>
    <row r="105" spans="1:12" ht="14.65" thickBot="1">
      <c r="A105" s="79" t="s">
        <v>360</v>
      </c>
      <c r="B105" s="79"/>
      <c r="C105" s="79"/>
    </row>
    <row r="106" spans="1:12">
      <c r="A106" s="496" t="s">
        <v>334</v>
      </c>
      <c r="B106" s="493">
        <v>0.05</v>
      </c>
      <c r="C106" s="304" t="s">
        <v>101</v>
      </c>
    </row>
    <row r="107" spans="1:12">
      <c r="A107" s="392" t="s">
        <v>378</v>
      </c>
      <c r="B107" s="494">
        <v>1.86</v>
      </c>
      <c r="C107" s="72" t="s">
        <v>103</v>
      </c>
    </row>
    <row r="108" spans="1:12">
      <c r="A108" s="392" t="s">
        <v>379</v>
      </c>
      <c r="B108" s="494">
        <v>0.997</v>
      </c>
      <c r="C108" s="72" t="s">
        <v>103</v>
      </c>
    </row>
    <row r="109" spans="1:12">
      <c r="A109" s="392" t="s">
        <v>380</v>
      </c>
      <c r="B109" s="494">
        <v>1.0206786471090072</v>
      </c>
      <c r="C109" s="72" t="s">
        <v>103</v>
      </c>
    </row>
    <row r="110" spans="1:12" ht="14.65" thickBot="1">
      <c r="A110" s="393" t="s">
        <v>334</v>
      </c>
      <c r="B110" s="495">
        <v>0.02</v>
      </c>
      <c r="C110" s="76" t="s">
        <v>25</v>
      </c>
    </row>
    <row r="112" spans="1:12" ht="14.65" thickBot="1">
      <c r="A112" s="79" t="s">
        <v>271</v>
      </c>
    </row>
    <row r="113" spans="1:3" ht="14.65" thickBot="1">
      <c r="A113" s="103" t="s">
        <v>53</v>
      </c>
      <c r="B113" s="102" t="s">
        <v>18</v>
      </c>
      <c r="C113" s="17" t="s">
        <v>106</v>
      </c>
    </row>
    <row r="114" spans="1:3">
      <c r="A114" s="243" t="s">
        <v>266</v>
      </c>
      <c r="B114" s="269" t="s">
        <v>35</v>
      </c>
      <c r="C114" s="386">
        <f>C62</f>
        <v>88996</v>
      </c>
    </row>
    <row r="115" spans="1:3">
      <c r="A115" s="392" t="s">
        <v>381</v>
      </c>
      <c r="B115" s="105" t="s">
        <v>108</v>
      </c>
      <c r="C115" s="450">
        <v>1.3</v>
      </c>
    </row>
    <row r="116" spans="1:3">
      <c r="A116" s="257" t="s">
        <v>382</v>
      </c>
      <c r="B116" s="105" t="s">
        <v>110</v>
      </c>
      <c r="C116" s="84">
        <f>C114/C115</f>
        <v>68458.461538461532</v>
      </c>
    </row>
    <row r="117" spans="1:3">
      <c r="A117" s="281" t="s">
        <v>334</v>
      </c>
      <c r="B117" s="305" t="s">
        <v>25</v>
      </c>
      <c r="C117" s="306">
        <f>$B$110</f>
        <v>0.02</v>
      </c>
    </row>
    <row r="118" spans="1:3">
      <c r="A118" s="281" t="s">
        <v>383</v>
      </c>
      <c r="B118" s="278" t="s">
        <v>110</v>
      </c>
      <c r="C118" s="289">
        <f>C116*C117</f>
        <v>1369.1692307692306</v>
      </c>
    </row>
    <row r="119" spans="1:3">
      <c r="A119" s="281" t="s">
        <v>384</v>
      </c>
      <c r="B119" s="278" t="s">
        <v>108</v>
      </c>
      <c r="C119" s="307">
        <f>B109</f>
        <v>1.0206786471090072</v>
      </c>
    </row>
    <row r="120" spans="1:3" ht="14.65" thickBot="1">
      <c r="A120" s="255" t="s">
        <v>334</v>
      </c>
      <c r="B120" s="271" t="s">
        <v>35</v>
      </c>
      <c r="C120" s="280">
        <f>C118*C119</f>
        <v>1397.4817981248184</v>
      </c>
    </row>
    <row r="121" spans="1:3">
      <c r="A121" s="79"/>
      <c r="B121" s="79"/>
      <c r="C121" s="79"/>
    </row>
    <row r="122" spans="1:3" ht="14.65" thickBot="1">
      <c r="A122" s="79" t="s">
        <v>373</v>
      </c>
    </row>
    <row r="123" spans="1:3" ht="14.65" thickBot="1">
      <c r="A123" s="905" t="s">
        <v>23</v>
      </c>
      <c r="B123" s="1070">
        <v>1.7</v>
      </c>
      <c r="C123" s="1071"/>
    </row>
    <row r="124" spans="1:3" ht="14.65" thickBot="1">
      <c r="A124" s="2"/>
      <c r="B124" s="1072" t="s">
        <v>120</v>
      </c>
      <c r="C124" s="1073"/>
    </row>
    <row r="125" spans="1:3">
      <c r="A125" s="703" t="s">
        <v>77</v>
      </c>
      <c r="B125" s="880" t="s">
        <v>157</v>
      </c>
      <c r="C125" s="906">
        <v>0.99</v>
      </c>
    </row>
    <row r="126" spans="1:3">
      <c r="A126" s="232" t="s">
        <v>73</v>
      </c>
      <c r="B126" s="881" t="s">
        <v>158</v>
      </c>
      <c r="C126" s="882">
        <v>0.9</v>
      </c>
    </row>
    <row r="127" spans="1:3">
      <c r="A127" s="232" t="s">
        <v>86</v>
      </c>
      <c r="B127" s="881" t="s">
        <v>159</v>
      </c>
      <c r="C127" s="882">
        <v>0.95</v>
      </c>
    </row>
    <row r="128" spans="1:3">
      <c r="A128" s="232" t="s">
        <v>82</v>
      </c>
      <c r="B128" s="881" t="s">
        <v>160</v>
      </c>
      <c r="C128" s="907">
        <v>2.5000000000000001E-2</v>
      </c>
    </row>
    <row r="129" spans="1:4">
      <c r="A129" s="232" t="s">
        <v>72</v>
      </c>
      <c r="B129" s="881" t="s">
        <v>160</v>
      </c>
      <c r="C129" s="907">
        <v>2.5000000000000001E-2</v>
      </c>
    </row>
    <row r="130" spans="1:4">
      <c r="A130" s="232" t="s">
        <v>78</v>
      </c>
      <c r="B130" s="881" t="s">
        <v>160</v>
      </c>
      <c r="C130" s="907">
        <v>2.5000000000000001E-2</v>
      </c>
    </row>
    <row r="131" spans="1:4">
      <c r="A131" s="232" t="s">
        <v>80</v>
      </c>
      <c r="B131" s="881" t="s">
        <v>160</v>
      </c>
      <c r="C131" s="907">
        <v>2.5000000000000001E-2</v>
      </c>
    </row>
    <row r="132" spans="1:4">
      <c r="A132" s="232" t="s">
        <v>83</v>
      </c>
      <c r="B132" s="881" t="s">
        <v>160</v>
      </c>
      <c r="C132" s="907">
        <v>2.5000000000000001E-2</v>
      </c>
    </row>
    <row r="133" spans="1:4">
      <c r="A133" s="232" t="s">
        <v>79</v>
      </c>
      <c r="B133" s="881" t="s">
        <v>160</v>
      </c>
      <c r="C133" s="907">
        <v>2.5000000000000001E-2</v>
      </c>
    </row>
    <row r="134" spans="1:4">
      <c r="A134" s="232" t="s">
        <v>75</v>
      </c>
      <c r="B134" s="881" t="s">
        <v>322</v>
      </c>
      <c r="C134" s="907">
        <v>2.5000000000000001E-2</v>
      </c>
    </row>
    <row r="135" spans="1:4" ht="14.65" thickBot="1">
      <c r="A135" s="233" t="s">
        <v>84</v>
      </c>
      <c r="B135" s="883" t="s">
        <v>323</v>
      </c>
      <c r="C135" s="910">
        <v>2.5000000000000001E-2</v>
      </c>
    </row>
    <row r="136" spans="1:4">
      <c r="A136" s="78"/>
      <c r="B136" s="97"/>
      <c r="C136" s="98"/>
    </row>
    <row r="137" spans="1:4" ht="14.65" thickBot="1">
      <c r="A137" s="79" t="s">
        <v>273</v>
      </c>
    </row>
    <row r="138" spans="1:4">
      <c r="A138" s="18"/>
      <c r="B138" s="266" t="s">
        <v>120</v>
      </c>
      <c r="C138" s="274" t="s">
        <v>243</v>
      </c>
      <c r="D138" s="275" t="s">
        <v>244</v>
      </c>
    </row>
    <row r="139" spans="1:4" ht="14.65" thickBot="1">
      <c r="A139" s="21"/>
      <c r="B139" s="451" t="s">
        <v>24</v>
      </c>
      <c r="C139" s="154" t="s">
        <v>35</v>
      </c>
      <c r="D139" s="155" t="s">
        <v>35</v>
      </c>
    </row>
    <row r="140" spans="1:4">
      <c r="A140" s="184" t="s">
        <v>72</v>
      </c>
      <c r="B140" s="399">
        <f>C129</f>
        <v>2.5000000000000001E-2</v>
      </c>
      <c r="C140" s="428">
        <f>$H$40</f>
        <v>769.17217330865276</v>
      </c>
      <c r="D140" s="122">
        <f>C140*B140</f>
        <v>19.229304332716321</v>
      </c>
    </row>
    <row r="141" spans="1:4">
      <c r="A141" s="185" t="s">
        <v>73</v>
      </c>
      <c r="B141" s="352">
        <f>C126</f>
        <v>0.9</v>
      </c>
      <c r="C141" s="235">
        <f>$H$41</f>
        <v>0.33119321292839343</v>
      </c>
      <c r="D141" s="87">
        <f t="shared" ref="D141:D158" si="15">C141*B141</f>
        <v>0.29807389163555409</v>
      </c>
    </row>
    <row r="142" spans="1:4">
      <c r="A142" s="185" t="s">
        <v>75</v>
      </c>
      <c r="B142" s="400">
        <f>C134</f>
        <v>2.5000000000000001E-2</v>
      </c>
      <c r="C142" s="235">
        <f>H43</f>
        <v>1.4195289257064293E-2</v>
      </c>
      <c r="D142" s="87">
        <f t="shared" si="15"/>
        <v>3.5488223142660736E-4</v>
      </c>
    </row>
    <row r="143" spans="1:4">
      <c r="A143" s="186" t="s">
        <v>77</v>
      </c>
      <c r="B143" s="352">
        <f>C125</f>
        <v>0.99</v>
      </c>
      <c r="C143" s="235">
        <f>$H$45</f>
        <v>3.6363421783059993</v>
      </c>
      <c r="D143" s="87">
        <f t="shared" si="15"/>
        <v>3.5999787565229391</v>
      </c>
    </row>
    <row r="144" spans="1:4">
      <c r="A144" s="186" t="s">
        <v>78</v>
      </c>
      <c r="B144" s="400">
        <f>C130</f>
        <v>2.5000000000000001E-2</v>
      </c>
      <c r="C144" s="235">
        <f>$H$46</f>
        <v>620.15038458868878</v>
      </c>
      <c r="D144" s="87">
        <f t="shared" si="15"/>
        <v>15.50375961471722</v>
      </c>
    </row>
    <row r="145" spans="1:4">
      <c r="A145" s="186" t="s">
        <v>79</v>
      </c>
      <c r="B145" s="400">
        <f>C133</f>
        <v>2.5000000000000001E-2</v>
      </c>
      <c r="C145" s="235">
        <f>$H$47</f>
        <v>127.59283617709308</v>
      </c>
      <c r="D145" s="87">
        <f t="shared" si="15"/>
        <v>3.1898209044273269</v>
      </c>
    </row>
    <row r="146" spans="1:4">
      <c r="A146" s="186" t="s">
        <v>80</v>
      </c>
      <c r="B146" s="400">
        <f>C131</f>
        <v>2.5000000000000001E-2</v>
      </c>
      <c r="C146" s="235">
        <f>$H$48</f>
        <v>188.55947923298143</v>
      </c>
      <c r="D146" s="87">
        <f t="shared" si="15"/>
        <v>4.7139869808245356</v>
      </c>
    </row>
    <row r="147" spans="1:4">
      <c r="A147" s="186" t="s">
        <v>82</v>
      </c>
      <c r="B147" s="400">
        <f>C128</f>
        <v>2.5000000000000001E-2</v>
      </c>
      <c r="C147" s="235">
        <f>$H$50</f>
        <v>0.79885108311907227</v>
      </c>
      <c r="D147" s="87">
        <f t="shared" si="15"/>
        <v>1.9971277077976808E-2</v>
      </c>
    </row>
    <row r="148" spans="1:4">
      <c r="A148" s="186" t="s">
        <v>630</v>
      </c>
      <c r="B148" s="400">
        <f>C132</f>
        <v>2.5000000000000001E-2</v>
      </c>
      <c r="C148" s="235">
        <f>$H$51</f>
        <v>1376.2683461686593</v>
      </c>
      <c r="D148" s="87">
        <f t="shared" si="15"/>
        <v>34.40670865421648</v>
      </c>
    </row>
    <row r="149" spans="1:4">
      <c r="A149" s="406" t="s">
        <v>96</v>
      </c>
      <c r="B149" s="400">
        <f>C132</f>
        <v>2.5000000000000001E-2</v>
      </c>
      <c r="C149" s="235">
        <f>$B$94</f>
        <v>3305.612244897959</v>
      </c>
      <c r="D149" s="87">
        <f t="shared" si="15"/>
        <v>82.640306122448976</v>
      </c>
    </row>
    <row r="150" spans="1:4">
      <c r="A150" s="406" t="s">
        <v>274</v>
      </c>
      <c r="B150" s="400">
        <f>C132</f>
        <v>2.5000000000000001E-2</v>
      </c>
      <c r="C150" s="235">
        <f>C148+C149</f>
        <v>4681.8805910666179</v>
      </c>
      <c r="D150" s="87">
        <f t="shared" si="15"/>
        <v>117.04701477666545</v>
      </c>
    </row>
    <row r="151" spans="1:4">
      <c r="A151" s="406" t="s">
        <v>84</v>
      </c>
      <c r="B151" s="400">
        <f>C135</f>
        <v>2.5000000000000001E-2</v>
      </c>
      <c r="C151" s="235">
        <f>H52</f>
        <v>0.4723739093634064</v>
      </c>
      <c r="D151" s="87">
        <f t="shared" si="15"/>
        <v>1.180934773408516E-2</v>
      </c>
    </row>
    <row r="152" spans="1:4">
      <c r="A152" s="186" t="s">
        <v>631</v>
      </c>
      <c r="B152" s="402">
        <v>1</v>
      </c>
      <c r="C152" s="235">
        <f>B97</f>
        <v>248.5959</v>
      </c>
      <c r="D152" s="87">
        <f t="shared" si="15"/>
        <v>248.5959</v>
      </c>
    </row>
    <row r="153" spans="1:4">
      <c r="A153" s="186" t="s">
        <v>250</v>
      </c>
      <c r="B153" s="396">
        <v>1</v>
      </c>
      <c r="C153" s="235">
        <f>B98</f>
        <v>1861.2244897959183</v>
      </c>
      <c r="D153" s="87">
        <f t="shared" si="15"/>
        <v>1861.2244897959183</v>
      </c>
    </row>
    <row r="154" spans="1:4">
      <c r="A154" s="186" t="s">
        <v>251</v>
      </c>
      <c r="B154" s="397">
        <v>1</v>
      </c>
      <c r="C154" s="573">
        <f>C152+C153</f>
        <v>2109.8203897959183</v>
      </c>
      <c r="D154" s="87">
        <f t="shared" si="15"/>
        <v>2109.8203897959183</v>
      </c>
    </row>
    <row r="155" spans="1:4">
      <c r="A155" s="406" t="s">
        <v>238</v>
      </c>
      <c r="B155" s="397">
        <v>1</v>
      </c>
      <c r="C155" s="573">
        <f>C154/32*96</f>
        <v>6329.461169387755</v>
      </c>
      <c r="D155" s="87">
        <f t="shared" si="15"/>
        <v>6329.461169387755</v>
      </c>
    </row>
    <row r="156" spans="1:4">
      <c r="A156" s="406" t="s">
        <v>239</v>
      </c>
      <c r="B156" s="397">
        <v>1</v>
      </c>
      <c r="C156" s="573">
        <f>C154/32*136</f>
        <v>8966.7366566326527</v>
      </c>
      <c r="D156" s="87">
        <f t="shared" si="15"/>
        <v>8966.7366566326527</v>
      </c>
    </row>
    <row r="157" spans="1:4">
      <c r="A157" s="406" t="s">
        <v>248</v>
      </c>
      <c r="B157" s="396">
        <v>1</v>
      </c>
      <c r="C157" s="235">
        <f>C120*B106*32/78</f>
        <v>28.666293294868073</v>
      </c>
      <c r="D157" s="87">
        <f>C157*B157</f>
        <v>28.666293294868073</v>
      </c>
    </row>
    <row r="158" spans="1:4" ht="14.65" thickBot="1">
      <c r="A158" s="187" t="s">
        <v>86</v>
      </c>
      <c r="B158" s="353">
        <f>C127</f>
        <v>0.95</v>
      </c>
      <c r="C158" s="236">
        <f>$H$54</f>
        <v>18.46119499999061</v>
      </c>
      <c r="D158" s="88">
        <f t="shared" si="15"/>
        <v>17.538135249991079</v>
      </c>
    </row>
    <row r="160" spans="1:4" ht="14.65" thickBot="1">
      <c r="A160" s="79" t="s">
        <v>272</v>
      </c>
      <c r="D160" s="99"/>
    </row>
    <row r="161" spans="1:4" ht="14.65" thickBot="1">
      <c r="A161" s="103" t="s">
        <v>90</v>
      </c>
      <c r="B161" s="102" t="s">
        <v>18</v>
      </c>
      <c r="C161" s="17" t="s">
        <v>91</v>
      </c>
    </row>
    <row r="162" spans="1:4">
      <c r="A162" s="276" t="s">
        <v>4</v>
      </c>
      <c r="B162" s="296" t="s">
        <v>35</v>
      </c>
      <c r="C162" s="286">
        <f>C114</f>
        <v>88996</v>
      </c>
    </row>
    <row r="163" spans="1:4">
      <c r="A163" s="281" t="s">
        <v>334</v>
      </c>
      <c r="B163" s="278" t="s">
        <v>35</v>
      </c>
      <c r="C163" s="289">
        <f>C120</f>
        <v>1397.4817981248184</v>
      </c>
    </row>
    <row r="164" spans="1:4" ht="14.65" thickBot="1">
      <c r="A164" s="255" t="s">
        <v>6</v>
      </c>
      <c r="B164" s="271" t="s">
        <v>35</v>
      </c>
      <c r="C164" s="280">
        <f>C162+C163</f>
        <v>90393.48179812482</v>
      </c>
    </row>
    <row r="166" spans="1:4" ht="14.65" thickBot="1">
      <c r="A166" s="79" t="s">
        <v>279</v>
      </c>
      <c r="B166" s="79"/>
      <c r="C166" s="79"/>
      <c r="D166" s="99"/>
    </row>
    <row r="167" spans="1:4" ht="14.65" thickBot="1">
      <c r="A167" s="3" t="s">
        <v>90</v>
      </c>
      <c r="B167" s="14" t="s">
        <v>18</v>
      </c>
      <c r="C167" s="15" t="s">
        <v>91</v>
      </c>
      <c r="D167" s="99"/>
    </row>
    <row r="168" spans="1:4">
      <c r="A168" s="308" t="s">
        <v>623</v>
      </c>
      <c r="B168" s="309" t="s">
        <v>35</v>
      </c>
      <c r="C168" s="294">
        <f>$C$22</f>
        <v>19000</v>
      </c>
      <c r="D168" s="99"/>
    </row>
    <row r="169" spans="1:4">
      <c r="A169" s="282" t="s">
        <v>329</v>
      </c>
      <c r="B169" s="288" t="s">
        <v>35</v>
      </c>
      <c r="C169" s="295">
        <f>$C$25</f>
        <v>5700</v>
      </c>
      <c r="D169" s="99"/>
    </row>
    <row r="170" spans="1:4">
      <c r="A170" s="282" t="s">
        <v>428</v>
      </c>
      <c r="B170" s="288" t="s">
        <v>35</v>
      </c>
      <c r="C170" s="295">
        <f>$C$30</f>
        <v>10450</v>
      </c>
      <c r="D170" s="99"/>
    </row>
    <row r="171" spans="1:4">
      <c r="A171" s="282" t="s">
        <v>385</v>
      </c>
      <c r="B171" s="288" t="s">
        <v>24</v>
      </c>
      <c r="C171" s="312">
        <f>$B$106</f>
        <v>0.05</v>
      </c>
      <c r="D171" s="99"/>
    </row>
    <row r="172" spans="1:4">
      <c r="A172" s="282" t="s">
        <v>334</v>
      </c>
      <c r="B172" s="288" t="s">
        <v>35</v>
      </c>
      <c r="C172" s="295">
        <f>$C$120</f>
        <v>1397.4817981248184</v>
      </c>
      <c r="D172" s="99"/>
    </row>
    <row r="173" spans="1:4">
      <c r="A173" s="282" t="s">
        <v>429</v>
      </c>
      <c r="B173" s="288" t="s">
        <v>35</v>
      </c>
      <c r="C173" s="295">
        <f>C172*C171</f>
        <v>69.874089906240926</v>
      </c>
      <c r="D173" s="99"/>
    </row>
    <row r="174" spans="1:4">
      <c r="A174" s="282" t="s">
        <v>337</v>
      </c>
      <c r="B174" s="288" t="s">
        <v>35</v>
      </c>
      <c r="C174" s="279">
        <f>C168+C169+C170+C173</f>
        <v>35219.87408990624</v>
      </c>
      <c r="D174" s="99"/>
    </row>
    <row r="175" spans="1:4">
      <c r="A175" s="282" t="s">
        <v>276</v>
      </c>
      <c r="B175" s="288" t="s">
        <v>35</v>
      </c>
      <c r="C175" s="289">
        <f>$C$164</f>
        <v>90393.48179812482</v>
      </c>
    </row>
    <row r="176" spans="1:4">
      <c r="A176" s="310" t="s">
        <v>64</v>
      </c>
      <c r="B176" s="283" t="s">
        <v>24</v>
      </c>
      <c r="C176" s="300">
        <f>C174/C175</f>
        <v>0.38962847087318264</v>
      </c>
    </row>
    <row r="177" spans="1:12">
      <c r="A177" s="282" t="s">
        <v>366</v>
      </c>
      <c r="B177" s="288" t="s">
        <v>35</v>
      </c>
      <c r="C177" s="279">
        <f>$C$24</f>
        <v>53846</v>
      </c>
    </row>
    <row r="178" spans="1:12">
      <c r="A178" s="282" t="s">
        <v>386</v>
      </c>
      <c r="B178" s="288" t="s">
        <v>24</v>
      </c>
      <c r="C178" s="312">
        <f>1-$B$106</f>
        <v>0.95</v>
      </c>
    </row>
    <row r="179" spans="1:12">
      <c r="A179" s="282" t="s">
        <v>334</v>
      </c>
      <c r="B179" s="288" t="s">
        <v>35</v>
      </c>
      <c r="C179" s="295">
        <f>$C$120</f>
        <v>1397.4817981248184</v>
      </c>
    </row>
    <row r="180" spans="1:12">
      <c r="A180" s="282" t="s">
        <v>356</v>
      </c>
      <c r="B180" s="288" t="s">
        <v>35</v>
      </c>
      <c r="C180" s="279">
        <f>C178*C179</f>
        <v>1327.6077082185775</v>
      </c>
    </row>
    <row r="181" spans="1:12">
      <c r="A181" s="282" t="s">
        <v>335</v>
      </c>
      <c r="B181" s="288" t="s">
        <v>35</v>
      </c>
      <c r="C181" s="279">
        <f>C177+C180</f>
        <v>55173.60770821858</v>
      </c>
    </row>
    <row r="182" spans="1:12">
      <c r="A182" s="282" t="s">
        <v>276</v>
      </c>
      <c r="B182" s="288" t="s">
        <v>35</v>
      </c>
      <c r="C182" s="289">
        <f>$C$164</f>
        <v>90393.48179812482</v>
      </c>
    </row>
    <row r="183" spans="1:12" ht="14.65" thickBot="1">
      <c r="A183" s="311" t="s">
        <v>66</v>
      </c>
      <c r="B183" s="284" t="s">
        <v>24</v>
      </c>
      <c r="C183" s="303">
        <f>C181/C182</f>
        <v>0.61037152912681736</v>
      </c>
    </row>
    <row r="184" spans="1:12">
      <c r="A184" s="83"/>
      <c r="B184" s="77"/>
      <c r="C184" s="96"/>
    </row>
    <row r="185" spans="1:12" ht="14.65" thickBot="1">
      <c r="A185" s="79" t="s">
        <v>124</v>
      </c>
    </row>
    <row r="186" spans="1:12" ht="14.65" thickBot="1">
      <c r="A186" s="419"/>
      <c r="B186" s="1019" t="s">
        <v>262</v>
      </c>
      <c r="C186" s="1021"/>
      <c r="D186" s="1021"/>
      <c r="E186" s="1021"/>
      <c r="F186" s="1020"/>
      <c r="G186" s="1062" t="s">
        <v>263</v>
      </c>
      <c r="H186" s="1063"/>
      <c r="I186" s="1063"/>
      <c r="J186" s="1063"/>
      <c r="K186" s="1063"/>
      <c r="L186" s="1066"/>
    </row>
    <row r="187" spans="1:12">
      <c r="A187" s="452"/>
      <c r="B187" s="1024" t="s">
        <v>275</v>
      </c>
      <c r="C187" s="1041" t="s">
        <v>243</v>
      </c>
      <c r="D187" s="1041" t="s">
        <v>256</v>
      </c>
      <c r="E187" s="1041" t="s">
        <v>337</v>
      </c>
      <c r="F187" s="1041" t="s">
        <v>276</v>
      </c>
      <c r="G187" s="1032" t="s">
        <v>269</v>
      </c>
      <c r="H187" s="1054"/>
      <c r="I187" s="1022" t="s">
        <v>277</v>
      </c>
      <c r="J187" s="1032"/>
      <c r="K187" s="1032"/>
      <c r="L187" s="1023"/>
    </row>
    <row r="188" spans="1:12">
      <c r="A188" s="219" t="s">
        <v>93</v>
      </c>
      <c r="B188" s="1067"/>
      <c r="C188" s="1042"/>
      <c r="D188" s="1042"/>
      <c r="E188" s="1042"/>
      <c r="F188" s="1042"/>
      <c r="G188" s="1034"/>
      <c r="H188" s="1046"/>
      <c r="I188" s="1033" t="s">
        <v>243</v>
      </c>
      <c r="J188" s="1034"/>
      <c r="K188" s="1034" t="s">
        <v>256</v>
      </c>
      <c r="L188" s="1035"/>
    </row>
    <row r="189" spans="1:12" ht="14.65" thickBot="1">
      <c r="A189" s="220" t="s">
        <v>18</v>
      </c>
      <c r="B189" s="403" t="s">
        <v>35</v>
      </c>
      <c r="C189" s="154" t="s">
        <v>35</v>
      </c>
      <c r="D189" s="154" t="s">
        <v>35</v>
      </c>
      <c r="E189" s="154" t="s">
        <v>35</v>
      </c>
      <c r="F189" s="154" t="s">
        <v>35</v>
      </c>
      <c r="G189" s="154" t="s">
        <v>257</v>
      </c>
      <c r="H189" s="423" t="s">
        <v>237</v>
      </c>
      <c r="I189" s="403" t="s">
        <v>70</v>
      </c>
      <c r="J189" s="154" t="s">
        <v>237</v>
      </c>
      <c r="K189" s="154" t="s">
        <v>70</v>
      </c>
      <c r="L189" s="155" t="s">
        <v>237</v>
      </c>
    </row>
    <row r="190" spans="1:12">
      <c r="A190" s="222" t="s">
        <v>72</v>
      </c>
      <c r="B190" s="159">
        <f>B82</f>
        <v>1180.848</v>
      </c>
      <c r="C190" s="429">
        <f>B190-D190</f>
        <v>749.94286897593634</v>
      </c>
      <c r="D190" s="428">
        <f>D82+D140</f>
        <v>430.90513102406356</v>
      </c>
      <c r="E190" s="160">
        <f>$C$174</f>
        <v>35219.87408990624</v>
      </c>
      <c r="F190" s="429">
        <f>$C$164</f>
        <v>90393.48179812482</v>
      </c>
      <c r="G190" s="404">
        <f t="shared" ref="G190:G211" si="16">B190/E190*1000000</f>
        <v>33527.888174319807</v>
      </c>
      <c r="H190" s="560">
        <f>G190/1000000</f>
        <v>3.3527888174319807E-2</v>
      </c>
      <c r="I190" s="557">
        <f t="shared" ref="I190:I211" si="17">C190/F190*1000000</f>
        <v>8296.4264021910221</v>
      </c>
      <c r="J190" s="430">
        <f>I190/1000000</f>
        <v>8.2964264021910226E-3</v>
      </c>
      <c r="K190" s="431">
        <f t="shared" ref="K190:K211" si="18">D190/F190*1000000</f>
        <v>4766.9933987762661</v>
      </c>
      <c r="L190" s="433">
        <f>K190/1000000</f>
        <v>4.7669933987762661E-3</v>
      </c>
    </row>
    <row r="191" spans="1:12">
      <c r="A191" s="149" t="s">
        <v>73</v>
      </c>
      <c r="B191" s="161">
        <f>B83</f>
        <v>0.41320000000000001</v>
      </c>
      <c r="C191" s="424">
        <f t="shared" ref="C191:C211" si="19">B191-D191</f>
        <v>3.3119321292839343E-2</v>
      </c>
      <c r="D191" s="235">
        <f>D83+D141</f>
        <v>0.38008067870716067</v>
      </c>
      <c r="E191" s="119">
        <f t="shared" ref="E191:E211" si="20">$C$174</f>
        <v>35219.87408990624</v>
      </c>
      <c r="F191" s="424">
        <f t="shared" ref="F191:F211" si="21">$C$164</f>
        <v>90393.48179812482</v>
      </c>
      <c r="G191" s="395">
        <f t="shared" si="16"/>
        <v>11.73201241279906</v>
      </c>
      <c r="H191" s="561">
        <f t="shared" ref="H191:H211" si="22">G191/1000000</f>
        <v>1.1732012412799061E-5</v>
      </c>
      <c r="I191" s="558">
        <f t="shared" si="17"/>
        <v>0.36639059182170358</v>
      </c>
      <c r="J191" s="425">
        <f t="shared" ref="J191:J211" si="23">I191/1000000</f>
        <v>3.6639059182170361E-7</v>
      </c>
      <c r="K191" s="426">
        <f t="shared" si="18"/>
        <v>4.2047354648423916</v>
      </c>
      <c r="L191" s="434">
        <f t="shared" ref="L191:L211" si="24">K191/1000000</f>
        <v>4.2047354648423917E-6</v>
      </c>
    </row>
    <row r="192" spans="1:12">
      <c r="A192" s="149" t="s">
        <v>74</v>
      </c>
      <c r="B192" s="161">
        <f>B84</f>
        <v>2688.1723999999999</v>
      </c>
      <c r="C192" s="424">
        <f t="shared" si="19"/>
        <v>425.3692763447084</v>
      </c>
      <c r="D192" s="235">
        <f>D84</f>
        <v>2262.8031236552915</v>
      </c>
      <c r="E192" s="119">
        <f t="shared" si="20"/>
        <v>35219.87408990624</v>
      </c>
      <c r="F192" s="424">
        <f t="shared" si="21"/>
        <v>90393.48179812482</v>
      </c>
      <c r="G192" s="395">
        <f t="shared" si="16"/>
        <v>76325.440378857296</v>
      </c>
      <c r="H192" s="561">
        <f t="shared" si="22"/>
        <v>7.6325440378857301E-2</v>
      </c>
      <c r="I192" s="558">
        <f t="shared" si="17"/>
        <v>4705.7516524773637</v>
      </c>
      <c r="J192" s="425">
        <f t="shared" si="23"/>
        <v>4.705751652477364E-3</v>
      </c>
      <c r="K192" s="426">
        <f t="shared" si="18"/>
        <v>25032.812971059077</v>
      </c>
      <c r="L192" s="434">
        <f t="shared" si="24"/>
        <v>2.5032812971059075E-2</v>
      </c>
    </row>
    <row r="193" spans="1:12">
      <c r="A193" s="149" t="s">
        <v>75</v>
      </c>
      <c r="B193" s="161">
        <f>B85</f>
        <v>5.6000000000000001E-2</v>
      </c>
      <c r="C193" s="424">
        <f t="shared" si="19"/>
        <v>1.3840407025637685E-2</v>
      </c>
      <c r="D193" s="235">
        <f>D85+D142</f>
        <v>4.2159592974362316E-2</v>
      </c>
      <c r="E193" s="119">
        <f t="shared" si="20"/>
        <v>35219.87408990624</v>
      </c>
      <c r="F193" s="424">
        <f t="shared" si="21"/>
        <v>90393.48179812482</v>
      </c>
      <c r="G193" s="395">
        <f t="shared" si="16"/>
        <v>1.5900113628188466</v>
      </c>
      <c r="H193" s="561">
        <f t="shared" si="22"/>
        <v>1.5900113628188466E-6</v>
      </c>
      <c r="I193" s="558">
        <f t="shared" si="17"/>
        <v>0.15311288768085488</v>
      </c>
      <c r="J193" s="425">
        <f t="shared" si="23"/>
        <v>1.5311288768085487E-7</v>
      </c>
      <c r="K193" s="426">
        <f t="shared" si="18"/>
        <v>0.46640080828523744</v>
      </c>
      <c r="L193" s="434">
        <f t="shared" si="24"/>
        <v>4.6640080828523746E-7</v>
      </c>
    </row>
    <row r="194" spans="1:12">
      <c r="A194" s="149" t="s">
        <v>76</v>
      </c>
      <c r="B194" s="161">
        <f>B86</f>
        <v>2.0093000000000001</v>
      </c>
      <c r="C194" s="424">
        <f t="shared" si="19"/>
        <v>0.81088407251271644</v>
      </c>
      <c r="D194" s="235">
        <f>D86</f>
        <v>1.1984159274872836</v>
      </c>
      <c r="E194" s="119">
        <f t="shared" si="20"/>
        <v>35219.87408990624</v>
      </c>
      <c r="F194" s="424">
        <f t="shared" si="21"/>
        <v>90393.48179812482</v>
      </c>
      <c r="G194" s="395">
        <f t="shared" si="16"/>
        <v>57.050175559141223</v>
      </c>
      <c r="H194" s="561">
        <f t="shared" si="22"/>
        <v>5.7050175559141224E-5</v>
      </c>
      <c r="I194" s="558">
        <f t="shared" si="17"/>
        <v>8.9706033707569599</v>
      </c>
      <c r="J194" s="425">
        <f t="shared" si="23"/>
        <v>8.9706033707569598E-6</v>
      </c>
      <c r="K194" s="426">
        <f t="shared" si="18"/>
        <v>13.25776929539785</v>
      </c>
      <c r="L194" s="434">
        <f t="shared" si="24"/>
        <v>1.325776929539785E-5</v>
      </c>
    </row>
    <row r="195" spans="1:12">
      <c r="A195" s="150" t="s">
        <v>77</v>
      </c>
      <c r="B195" s="161">
        <f>B87</f>
        <v>15.565</v>
      </c>
      <c r="C195" s="424">
        <f t="shared" si="19"/>
        <v>3.6363421783059735E-2</v>
      </c>
      <c r="D195" s="235">
        <f>D87+D143</f>
        <v>15.52863657821694</v>
      </c>
      <c r="E195" s="119">
        <f t="shared" si="20"/>
        <v>35219.87408990624</v>
      </c>
      <c r="F195" s="424">
        <f t="shared" si="21"/>
        <v>90393.48179812482</v>
      </c>
      <c r="G195" s="395">
        <f t="shared" si="16"/>
        <v>441.93797968348832</v>
      </c>
      <c r="H195" s="561">
        <f t="shared" si="22"/>
        <v>4.419379796834883E-4</v>
      </c>
      <c r="I195" s="558">
        <f t="shared" si="17"/>
        <v>0.40227924690709371</v>
      </c>
      <c r="J195" s="425">
        <f t="shared" si="23"/>
        <v>4.0227924690709372E-7</v>
      </c>
      <c r="K195" s="426">
        <f t="shared" si="18"/>
        <v>171.7893399979541</v>
      </c>
      <c r="L195" s="434">
        <f t="shared" si="24"/>
        <v>1.717893399979541E-4</v>
      </c>
    </row>
    <row r="196" spans="1:12">
      <c r="A196" s="150" t="s">
        <v>78</v>
      </c>
      <c r="B196" s="161">
        <f>B88</f>
        <v>1221.1289999999999</v>
      </c>
      <c r="C196" s="424">
        <f t="shared" si="19"/>
        <v>604.6466249739716</v>
      </c>
      <c r="D196" s="235">
        <f>D88+D144</f>
        <v>616.48237502602831</v>
      </c>
      <c r="E196" s="119">
        <f t="shared" si="20"/>
        <v>35219.87408990624</v>
      </c>
      <c r="F196" s="424">
        <f t="shared" si="21"/>
        <v>90393.48179812482</v>
      </c>
      <c r="G196" s="395">
        <f t="shared" si="16"/>
        <v>34671.589026207417</v>
      </c>
      <c r="H196" s="561">
        <f t="shared" si="22"/>
        <v>3.4671589026207414E-2</v>
      </c>
      <c r="I196" s="558">
        <f t="shared" si="17"/>
        <v>6689.0511676973019</v>
      </c>
      <c r="J196" s="425">
        <f t="shared" si="23"/>
        <v>6.6890511676973019E-3</v>
      </c>
      <c r="K196" s="426">
        <f t="shared" si="18"/>
        <v>6819.9870473273113</v>
      </c>
      <c r="L196" s="434">
        <f t="shared" si="24"/>
        <v>6.8199870473273109E-3</v>
      </c>
    </row>
    <row r="197" spans="1:12">
      <c r="A197" s="150" t="s">
        <v>79</v>
      </c>
      <c r="B197" s="161">
        <f>B89</f>
        <v>167.69670000000002</v>
      </c>
      <c r="C197" s="424">
        <f t="shared" si="19"/>
        <v>124.40301527266575</v>
      </c>
      <c r="D197" s="235">
        <f>D89+D145</f>
        <v>43.293684727334266</v>
      </c>
      <c r="E197" s="119">
        <f t="shared" si="20"/>
        <v>35219.87408990624</v>
      </c>
      <c r="F197" s="424">
        <f t="shared" si="21"/>
        <v>90393.48179812482</v>
      </c>
      <c r="G197" s="395">
        <f t="shared" si="16"/>
        <v>4761.4224733432729</v>
      </c>
      <c r="H197" s="561">
        <f t="shared" si="22"/>
        <v>4.761422473343273E-3</v>
      </c>
      <c r="I197" s="558">
        <f t="shared" si="17"/>
        <v>1376.2387818017035</v>
      </c>
      <c r="J197" s="425">
        <f t="shared" si="23"/>
        <v>1.3762387818017034E-3</v>
      </c>
      <c r="K197" s="426">
        <f t="shared" si="18"/>
        <v>478.94697566824317</v>
      </c>
      <c r="L197" s="434">
        <f t="shared" si="24"/>
        <v>4.7894697566824314E-4</v>
      </c>
    </row>
    <row r="198" spans="1:12">
      <c r="A198" s="150" t="s">
        <v>80</v>
      </c>
      <c r="B198" s="161">
        <f>B90</f>
        <v>243.74270000000001</v>
      </c>
      <c r="C198" s="424">
        <f t="shared" si="19"/>
        <v>183.84549225215687</v>
      </c>
      <c r="D198" s="235">
        <f>D90+D146</f>
        <v>59.897207747843126</v>
      </c>
      <c r="E198" s="119">
        <f t="shared" si="20"/>
        <v>35219.87408990624</v>
      </c>
      <c r="F198" s="424">
        <f t="shared" si="21"/>
        <v>90393.48179812482</v>
      </c>
      <c r="G198" s="395">
        <f t="shared" si="16"/>
        <v>6920.6011179311663</v>
      </c>
      <c r="H198" s="561">
        <f t="shared" si="22"/>
        <v>6.9206011179311659E-3</v>
      </c>
      <c r="I198" s="558">
        <f t="shared" si="17"/>
        <v>2033.8357212828446</v>
      </c>
      <c r="J198" s="425">
        <f t="shared" si="23"/>
        <v>2.0338357212828445E-3</v>
      </c>
      <c r="K198" s="426">
        <f t="shared" si="18"/>
        <v>662.6275098199136</v>
      </c>
      <c r="L198" s="434">
        <f t="shared" si="24"/>
        <v>6.6262750981991355E-4</v>
      </c>
    </row>
    <row r="199" spans="1:12">
      <c r="A199" s="150" t="s">
        <v>81</v>
      </c>
      <c r="B199" s="161">
        <f>B91+C120*B106*46/78</f>
        <v>161.83049661137287</v>
      </c>
      <c r="C199" s="424">
        <f t="shared" si="19"/>
        <v>140.18512674786865</v>
      </c>
      <c r="D199" s="235">
        <f>D91</f>
        <v>21.645369863504222</v>
      </c>
      <c r="E199" s="119">
        <f t="shared" si="20"/>
        <v>35219.87408990624</v>
      </c>
      <c r="F199" s="424">
        <f t="shared" si="21"/>
        <v>90393.48179812482</v>
      </c>
      <c r="G199" s="395">
        <f t="shared" si="16"/>
        <v>4594.8630082624941</v>
      </c>
      <c r="H199" s="561">
        <f t="shared" si="22"/>
        <v>4.5948630082624942E-3</v>
      </c>
      <c r="I199" s="558">
        <f t="shared" si="17"/>
        <v>1550.832249840129</v>
      </c>
      <c r="J199" s="425">
        <f t="shared" si="23"/>
        <v>1.5508322498401289E-3</v>
      </c>
      <c r="K199" s="426">
        <f t="shared" si="18"/>
        <v>239.45719794093878</v>
      </c>
      <c r="L199" s="434">
        <f t="shared" si="24"/>
        <v>2.3945719794093878E-4</v>
      </c>
    </row>
    <row r="200" spans="1:12">
      <c r="A200" s="150" t="s">
        <v>82</v>
      </c>
      <c r="B200" s="161">
        <f>B92</f>
        <v>1.8331999999999999</v>
      </c>
      <c r="C200" s="424">
        <f t="shared" si="19"/>
        <v>0.77887980604109552</v>
      </c>
      <c r="D200" s="235">
        <f>D92+D147</f>
        <v>1.0543201939589044</v>
      </c>
      <c r="E200" s="119">
        <f t="shared" si="20"/>
        <v>35219.87408990624</v>
      </c>
      <c r="F200" s="424">
        <f t="shared" si="21"/>
        <v>90393.48179812482</v>
      </c>
      <c r="G200" s="395">
        <f t="shared" si="16"/>
        <v>52.050157684276947</v>
      </c>
      <c r="H200" s="561">
        <f t="shared" si="22"/>
        <v>5.205015768427695E-5</v>
      </c>
      <c r="I200" s="558">
        <f t="shared" si="17"/>
        <v>8.6165483456048619</v>
      </c>
      <c r="J200" s="425">
        <f t="shared" si="23"/>
        <v>8.6165483456048628E-6</v>
      </c>
      <c r="K200" s="426">
        <f t="shared" si="18"/>
        <v>11.663675001628004</v>
      </c>
      <c r="L200" s="434">
        <f t="shared" si="24"/>
        <v>1.1663675001628004E-5</v>
      </c>
    </row>
    <row r="201" spans="1:12">
      <c r="A201" s="150" t="s">
        <v>630</v>
      </c>
      <c r="B201" s="161">
        <f>B93</f>
        <v>1571.3850000000002</v>
      </c>
      <c r="C201" s="424">
        <f t="shared" si="19"/>
        <v>1341.8616375144429</v>
      </c>
      <c r="D201" s="235">
        <f>D93+D148</f>
        <v>229.52336248555733</v>
      </c>
      <c r="E201" s="119">
        <f t="shared" si="20"/>
        <v>35219.87408990624</v>
      </c>
      <c r="F201" s="424">
        <f t="shared" si="21"/>
        <v>90393.48179812482</v>
      </c>
      <c r="G201" s="395">
        <f t="shared" si="16"/>
        <v>44616.428667198095</v>
      </c>
      <c r="H201" s="561">
        <f t="shared" si="22"/>
        <v>4.4616428667198095E-2</v>
      </c>
      <c r="I201" s="558">
        <f t="shared" si="17"/>
        <v>14844.672545208668</v>
      </c>
      <c r="J201" s="425">
        <f t="shared" si="23"/>
        <v>1.4844672545208668E-2</v>
      </c>
      <c r="K201" s="426">
        <f t="shared" si="18"/>
        <v>2539.1583322141564</v>
      </c>
      <c r="L201" s="434">
        <f t="shared" si="24"/>
        <v>2.5391583322141565E-3</v>
      </c>
    </row>
    <row r="202" spans="1:12">
      <c r="A202" s="150" t="s">
        <v>96</v>
      </c>
      <c r="B202" s="161">
        <f>B94</f>
        <v>3305.612244897959</v>
      </c>
      <c r="C202" s="424">
        <f t="shared" si="19"/>
        <v>3222.9719387755099</v>
      </c>
      <c r="D202" s="235">
        <f>D94+D149</f>
        <v>82.640306122448976</v>
      </c>
      <c r="E202" s="119">
        <f t="shared" si="20"/>
        <v>35219.87408990624</v>
      </c>
      <c r="F202" s="424">
        <f t="shared" si="21"/>
        <v>90393.48179812482</v>
      </c>
      <c r="G202" s="395">
        <f t="shared" si="16"/>
        <v>93856.446972515536</v>
      </c>
      <c r="H202" s="561">
        <f t="shared" si="22"/>
        <v>9.3856446972515536E-2</v>
      </c>
      <c r="I202" s="558">
        <f t="shared" si="17"/>
        <v>35654.915317603896</v>
      </c>
      <c r="J202" s="425">
        <f t="shared" si="23"/>
        <v>3.5654915317603897E-2</v>
      </c>
      <c r="K202" s="426">
        <f t="shared" si="18"/>
        <v>914.22859788727953</v>
      </c>
      <c r="L202" s="434">
        <f t="shared" si="24"/>
        <v>9.1422859788727951E-4</v>
      </c>
    </row>
    <row r="203" spans="1:12">
      <c r="A203" s="150" t="s">
        <v>97</v>
      </c>
      <c r="B203" s="161">
        <f>B95</f>
        <v>4876.9972448979588</v>
      </c>
      <c r="C203" s="424">
        <f t="shared" si="19"/>
        <v>4564.8335762899524</v>
      </c>
      <c r="D203" s="235">
        <f>D95+D150</f>
        <v>312.16366860800628</v>
      </c>
      <c r="E203" s="119">
        <f t="shared" si="20"/>
        <v>35219.87408990624</v>
      </c>
      <c r="F203" s="424">
        <f t="shared" si="21"/>
        <v>90393.48179812482</v>
      </c>
      <c r="G203" s="395">
        <f t="shared" si="16"/>
        <v>138472.87563971363</v>
      </c>
      <c r="H203" s="561">
        <f t="shared" si="22"/>
        <v>0.13847287563971364</v>
      </c>
      <c r="I203" s="558">
        <f t="shared" si="17"/>
        <v>50499.587862812565</v>
      </c>
      <c r="J203" s="425">
        <f t="shared" si="23"/>
        <v>5.0499587862812563E-2</v>
      </c>
      <c r="K203" s="426">
        <f t="shared" si="18"/>
        <v>3453.3869301014356</v>
      </c>
      <c r="L203" s="434">
        <f t="shared" si="24"/>
        <v>3.4533869301014357E-3</v>
      </c>
    </row>
    <row r="204" spans="1:12">
      <c r="A204" s="150" t="s">
        <v>84</v>
      </c>
      <c r="B204" s="161">
        <f>B96</f>
        <v>2.0493999999999999</v>
      </c>
      <c r="C204" s="424">
        <f t="shared" si="19"/>
        <v>0.47237390936340629</v>
      </c>
      <c r="D204" s="235">
        <f>D96</f>
        <v>1.5770260906365936</v>
      </c>
      <c r="E204" s="119">
        <f t="shared" si="20"/>
        <v>35219.87408990624</v>
      </c>
      <c r="F204" s="424">
        <f t="shared" si="21"/>
        <v>90393.48179812482</v>
      </c>
      <c r="G204" s="395">
        <f t="shared" si="16"/>
        <v>58.188737267159709</v>
      </c>
      <c r="H204" s="561">
        <f t="shared" si="22"/>
        <v>5.8188737267159709E-5</v>
      </c>
      <c r="I204" s="558">
        <f t="shared" si="17"/>
        <v>5.2257519012084952</v>
      </c>
      <c r="J204" s="425">
        <f t="shared" si="23"/>
        <v>5.2257519012084954E-6</v>
      </c>
      <c r="K204" s="426">
        <f t="shared" si="18"/>
        <v>17.446236822236319</v>
      </c>
      <c r="L204" s="434">
        <f t="shared" si="24"/>
        <v>1.744623682223632E-5</v>
      </c>
    </row>
    <row r="205" spans="1:12">
      <c r="A205" s="150" t="s">
        <v>631</v>
      </c>
      <c r="B205" s="161">
        <f>B97</f>
        <v>248.5959</v>
      </c>
      <c r="C205" s="424">
        <f t="shared" si="19"/>
        <v>0</v>
      </c>
      <c r="D205" s="235">
        <f>D152</f>
        <v>248.5959</v>
      </c>
      <c r="E205" s="119">
        <f t="shared" si="20"/>
        <v>35219.87408990624</v>
      </c>
      <c r="F205" s="424">
        <f t="shared" si="21"/>
        <v>90393.48179812482</v>
      </c>
      <c r="G205" s="395">
        <f t="shared" si="16"/>
        <v>7058.3983169674584</v>
      </c>
      <c r="H205" s="561">
        <f t="shared" si="22"/>
        <v>7.0583983169674588E-3</v>
      </c>
      <c r="I205" s="558">
        <f t="shared" si="17"/>
        <v>0</v>
      </c>
      <c r="J205" s="425">
        <f t="shared" si="23"/>
        <v>0</v>
      </c>
      <c r="K205" s="426">
        <f t="shared" si="18"/>
        <v>2750.1529430538767</v>
      </c>
      <c r="L205" s="434">
        <f t="shared" si="24"/>
        <v>2.7501529430538768E-3</v>
      </c>
    </row>
    <row r="206" spans="1:12">
      <c r="A206" s="150" t="s">
        <v>250</v>
      </c>
      <c r="B206" s="161">
        <f>B98</f>
        <v>1861.2244897959183</v>
      </c>
      <c r="C206" s="424">
        <f t="shared" si="19"/>
        <v>0</v>
      </c>
      <c r="D206" s="235">
        <f>D153</f>
        <v>1861.2244897959183</v>
      </c>
      <c r="E206" s="119">
        <f t="shared" si="20"/>
        <v>35219.87408990624</v>
      </c>
      <c r="F206" s="424">
        <f t="shared" si="21"/>
        <v>90393.48179812482</v>
      </c>
      <c r="G206" s="395">
        <f t="shared" si="16"/>
        <v>52845.8587059325</v>
      </c>
      <c r="H206" s="561">
        <f t="shared" si="22"/>
        <v>5.2845858705932502E-2</v>
      </c>
      <c r="I206" s="558">
        <f t="shared" si="17"/>
        <v>0</v>
      </c>
      <c r="J206" s="425">
        <f t="shared" si="23"/>
        <v>0</v>
      </c>
      <c r="K206" s="426">
        <f t="shared" si="18"/>
        <v>20590.251119572749</v>
      </c>
      <c r="L206" s="434">
        <f t="shared" si="24"/>
        <v>2.0590251119572748E-2</v>
      </c>
    </row>
    <row r="207" spans="1:12">
      <c r="A207" s="150" t="s">
        <v>251</v>
      </c>
      <c r="B207" s="161">
        <f>B205+B206</f>
        <v>2109.8203897959183</v>
      </c>
      <c r="C207" s="424">
        <f t="shared" si="19"/>
        <v>0</v>
      </c>
      <c r="D207" s="235">
        <f>D154</f>
        <v>2109.8203897959183</v>
      </c>
      <c r="E207" s="119">
        <f t="shared" si="20"/>
        <v>35219.87408990624</v>
      </c>
      <c r="F207" s="424">
        <f t="shared" si="21"/>
        <v>90393.48179812482</v>
      </c>
      <c r="G207" s="395">
        <f t="shared" si="16"/>
        <v>59904.257022899961</v>
      </c>
      <c r="H207" s="561">
        <f t="shared" si="22"/>
        <v>5.9904257022899962E-2</v>
      </c>
      <c r="I207" s="558">
        <f t="shared" si="17"/>
        <v>0</v>
      </c>
      <c r="J207" s="425">
        <f t="shared" si="23"/>
        <v>0</v>
      </c>
      <c r="K207" s="426">
        <f t="shared" si="18"/>
        <v>23340.404062626625</v>
      </c>
      <c r="L207" s="434">
        <f t="shared" si="24"/>
        <v>2.3340404062626625E-2</v>
      </c>
    </row>
    <row r="208" spans="1:12">
      <c r="A208" s="151" t="s">
        <v>238</v>
      </c>
      <c r="B208" s="161">
        <f>B207/32*96</f>
        <v>6329.461169387755</v>
      </c>
      <c r="C208" s="424">
        <f t="shared" si="19"/>
        <v>0</v>
      </c>
      <c r="D208" s="235">
        <f>D155</f>
        <v>6329.461169387755</v>
      </c>
      <c r="E208" s="119">
        <f t="shared" si="20"/>
        <v>35219.87408990624</v>
      </c>
      <c r="F208" s="424">
        <f t="shared" si="21"/>
        <v>90393.48179812482</v>
      </c>
      <c r="G208" s="395">
        <f t="shared" si="16"/>
        <v>179712.77106869989</v>
      </c>
      <c r="H208" s="561">
        <f t="shared" si="22"/>
        <v>0.1797127710686999</v>
      </c>
      <c r="I208" s="558">
        <f t="shared" si="17"/>
        <v>0</v>
      </c>
      <c r="J208" s="425">
        <f t="shared" si="23"/>
        <v>0</v>
      </c>
      <c r="K208" s="426">
        <f t="shared" si="18"/>
        <v>70021.212187879879</v>
      </c>
      <c r="L208" s="434">
        <f t="shared" si="24"/>
        <v>7.0021212187879878E-2</v>
      </c>
    </row>
    <row r="209" spans="1:12">
      <c r="A209" s="151" t="s">
        <v>239</v>
      </c>
      <c r="B209" s="161">
        <f>B207/32*136</f>
        <v>8966.7366566326527</v>
      </c>
      <c r="C209" s="424">
        <f t="shared" si="19"/>
        <v>0</v>
      </c>
      <c r="D209" s="235">
        <f>D156</f>
        <v>8966.7366566326527</v>
      </c>
      <c r="E209" s="119">
        <f t="shared" si="20"/>
        <v>35219.87408990624</v>
      </c>
      <c r="F209" s="424">
        <f t="shared" si="21"/>
        <v>90393.48179812482</v>
      </c>
      <c r="G209" s="395">
        <f t="shared" si="16"/>
        <v>254593.09234732485</v>
      </c>
      <c r="H209" s="561">
        <f t="shared" si="22"/>
        <v>0.25459309234732486</v>
      </c>
      <c r="I209" s="558">
        <f t="shared" si="17"/>
        <v>0</v>
      </c>
      <c r="J209" s="425">
        <f t="shared" si="23"/>
        <v>0</v>
      </c>
      <c r="K209" s="426">
        <f t="shared" si="18"/>
        <v>99196.717266163148</v>
      </c>
      <c r="L209" s="434">
        <f t="shared" si="24"/>
        <v>9.9196717266163151E-2</v>
      </c>
    </row>
    <row r="210" spans="1:12">
      <c r="A210" s="151" t="s">
        <v>248</v>
      </c>
      <c r="B210" s="161">
        <f>C157</f>
        <v>28.666293294868073</v>
      </c>
      <c r="C210" s="424">
        <f>B210-D210</f>
        <v>0</v>
      </c>
      <c r="D210" s="235">
        <f>D157</f>
        <v>28.666293294868073</v>
      </c>
      <c r="E210" s="119">
        <f t="shared" si="20"/>
        <v>35219.87408990624</v>
      </c>
      <c r="F210" s="424">
        <f t="shared" si="21"/>
        <v>90393.48179812482</v>
      </c>
      <c r="G210" s="395">
        <f t="shared" si="16"/>
        <v>813.92378694174897</v>
      </c>
      <c r="H210" s="561">
        <f>G210/1000000</f>
        <v>8.1392378694174899E-4</v>
      </c>
      <c r="I210" s="558">
        <f t="shared" si="17"/>
        <v>0</v>
      </c>
      <c r="J210" s="425">
        <f>I210/1000000</f>
        <v>0</v>
      </c>
      <c r="K210" s="426">
        <f t="shared" si="18"/>
        <v>317.12788051342375</v>
      </c>
      <c r="L210" s="434">
        <f>K210/1000000</f>
        <v>3.1712788051342373E-4</v>
      </c>
    </row>
    <row r="211" spans="1:12" ht="14.65" thickBot="1">
      <c r="A211" s="152" t="s">
        <v>86</v>
      </c>
      <c r="B211" s="162">
        <f>B102</f>
        <v>42.158999999999999</v>
      </c>
      <c r="C211" s="435">
        <f t="shared" si="19"/>
        <v>0.92305974999953122</v>
      </c>
      <c r="D211" s="236">
        <f>D102+D158</f>
        <v>41.235940250000468</v>
      </c>
      <c r="E211" s="135">
        <f t="shared" si="20"/>
        <v>35219.87408990624</v>
      </c>
      <c r="F211" s="435">
        <f t="shared" si="21"/>
        <v>90393.48179812482</v>
      </c>
      <c r="G211" s="405">
        <f t="shared" si="16"/>
        <v>1197.0230186621384</v>
      </c>
      <c r="H211" s="562">
        <f t="shared" si="22"/>
        <v>1.1970230186621384E-3</v>
      </c>
      <c r="I211" s="559">
        <f t="shared" si="17"/>
        <v>10.211574237852622</v>
      </c>
      <c r="J211" s="436">
        <f t="shared" si="23"/>
        <v>1.0211574237852621E-5</v>
      </c>
      <c r="K211" s="437">
        <f t="shared" si="18"/>
        <v>456.18267412347751</v>
      </c>
      <c r="L211" s="439">
        <f t="shared" si="24"/>
        <v>4.5618267412347749E-4</v>
      </c>
    </row>
    <row r="213" spans="1:12">
      <c r="A213" s="1" t="s">
        <v>125</v>
      </c>
      <c r="B213" s="1"/>
      <c r="C213" s="1"/>
    </row>
    <row r="214" spans="1:12" ht="14.65" thickBot="1">
      <c r="A214" s="79" t="s">
        <v>361</v>
      </c>
    </row>
    <row r="215" spans="1:12" ht="14.65" thickBot="1">
      <c r="A215" s="453" t="s">
        <v>26</v>
      </c>
      <c r="B215" s="454" t="s">
        <v>27</v>
      </c>
      <c r="C215" s="455" t="s">
        <v>28</v>
      </c>
    </row>
    <row r="216" spans="1:12" ht="14.65" thickBot="1">
      <c r="A216" s="456">
        <v>0.62634496250407568</v>
      </c>
      <c r="B216" s="457">
        <v>0.37365503749592438</v>
      </c>
      <c r="C216" s="458">
        <v>0.4094383112944317</v>
      </c>
    </row>
    <row r="218" spans="1:12" ht="14.65" thickBot="1">
      <c r="A218" s="79" t="s">
        <v>287</v>
      </c>
    </row>
    <row r="219" spans="1:12" ht="14.65" thickBot="1">
      <c r="A219" s="103" t="s">
        <v>53</v>
      </c>
      <c r="B219" s="102" t="s">
        <v>18</v>
      </c>
      <c r="C219" s="17" t="s">
        <v>106</v>
      </c>
    </row>
    <row r="220" spans="1:12">
      <c r="A220" s="243" t="s">
        <v>276</v>
      </c>
      <c r="B220" s="269" t="s">
        <v>35</v>
      </c>
      <c r="C220" s="386">
        <f>C164</f>
        <v>90393.48179812482</v>
      </c>
    </row>
    <row r="221" spans="1:12">
      <c r="A221" s="415" t="s">
        <v>338</v>
      </c>
      <c r="B221" s="37" t="s">
        <v>52</v>
      </c>
      <c r="C221" s="631">
        <v>1.5</v>
      </c>
    </row>
    <row r="222" spans="1:12">
      <c r="A222" s="257" t="s">
        <v>623</v>
      </c>
      <c r="B222" s="278" t="s">
        <v>35</v>
      </c>
      <c r="C222" s="279">
        <f>C22</f>
        <v>19000</v>
      </c>
    </row>
    <row r="223" spans="1:12" ht="14.65" thickBot="1">
      <c r="A223" s="255" t="s">
        <v>338</v>
      </c>
      <c r="B223" s="271" t="s">
        <v>35</v>
      </c>
      <c r="C223" s="256">
        <f>WWK*C222</f>
        <v>28500</v>
      </c>
    </row>
    <row r="224" spans="1:12">
      <c r="A224" s="83"/>
      <c r="B224" s="77"/>
      <c r="C224" s="95"/>
    </row>
    <row r="225" spans="1:3" ht="14.65" thickBot="1">
      <c r="A225" s="79" t="s">
        <v>47</v>
      </c>
      <c r="B225" s="79"/>
      <c r="C225" s="79"/>
    </row>
    <row r="226" spans="1:3" ht="14.65" thickBot="1">
      <c r="A226" s="18" t="s">
        <v>53</v>
      </c>
      <c r="B226" s="104" t="s">
        <v>18</v>
      </c>
      <c r="C226" s="15" t="s">
        <v>106</v>
      </c>
    </row>
    <row r="227" spans="1:3">
      <c r="A227" s="308" t="s">
        <v>627</v>
      </c>
      <c r="B227" s="309" t="s">
        <v>35</v>
      </c>
      <c r="C227" s="294">
        <f>$C$22</f>
        <v>19000</v>
      </c>
    </row>
    <row r="228" spans="1:3">
      <c r="A228" s="282" t="s">
        <v>32</v>
      </c>
      <c r="B228" s="288" t="s">
        <v>35</v>
      </c>
      <c r="C228" s="295">
        <f>$C$25</f>
        <v>5700</v>
      </c>
    </row>
    <row r="229" spans="1:3">
      <c r="A229" s="282" t="s">
        <v>629</v>
      </c>
      <c r="B229" s="288" t="s">
        <v>35</v>
      </c>
      <c r="C229" s="295">
        <f>$C$30</f>
        <v>10450</v>
      </c>
    </row>
    <row r="230" spans="1:3">
      <c r="A230" s="282" t="s">
        <v>115</v>
      </c>
      <c r="B230" s="288" t="s">
        <v>24</v>
      </c>
      <c r="C230" s="312">
        <f>$B$106</f>
        <v>0.05</v>
      </c>
    </row>
    <row r="231" spans="1:3">
      <c r="A231" s="282" t="s">
        <v>113</v>
      </c>
      <c r="B231" s="288" t="s">
        <v>35</v>
      </c>
      <c r="C231" s="295">
        <f>$C$120</f>
        <v>1397.4817981248184</v>
      </c>
    </row>
    <row r="232" spans="1:3">
      <c r="A232" s="282" t="s">
        <v>116</v>
      </c>
      <c r="B232" s="288" t="s">
        <v>35</v>
      </c>
      <c r="C232" s="295">
        <f>C231*C230</f>
        <v>69.874089906240926</v>
      </c>
    </row>
    <row r="233" spans="1:3">
      <c r="A233" s="282" t="s">
        <v>430</v>
      </c>
      <c r="B233" s="288" t="s">
        <v>35</v>
      </c>
      <c r="C233" s="279">
        <f>C227+C228+C229+C232</f>
        <v>35219.87408990624</v>
      </c>
    </row>
    <row r="234" spans="1:3">
      <c r="A234" s="282" t="s">
        <v>114</v>
      </c>
      <c r="B234" s="288" t="s">
        <v>35</v>
      </c>
      <c r="C234" s="279">
        <f>$C$220+$C$223</f>
        <v>118893.48179812482</v>
      </c>
    </row>
    <row r="235" spans="1:3">
      <c r="A235" s="310" t="s">
        <v>64</v>
      </c>
      <c r="B235" s="283" t="s">
        <v>24</v>
      </c>
      <c r="C235" s="300">
        <f>C233/C234</f>
        <v>0.29623048763689014</v>
      </c>
    </row>
    <row r="236" spans="1:3">
      <c r="A236" s="282" t="s">
        <v>628</v>
      </c>
      <c r="B236" s="288" t="s">
        <v>35</v>
      </c>
      <c r="C236" s="279">
        <f>$C$24</f>
        <v>53846</v>
      </c>
    </row>
    <row r="237" spans="1:3">
      <c r="A237" s="282" t="s">
        <v>117</v>
      </c>
      <c r="B237" s="288" t="s">
        <v>24</v>
      </c>
      <c r="C237" s="312">
        <f>1-$B$106</f>
        <v>0.95</v>
      </c>
    </row>
    <row r="238" spans="1:3">
      <c r="A238" s="282" t="s">
        <v>113</v>
      </c>
      <c r="B238" s="288" t="s">
        <v>35</v>
      </c>
      <c r="C238" s="295">
        <f>$C$120</f>
        <v>1397.4817981248184</v>
      </c>
    </row>
    <row r="239" spans="1:3">
      <c r="A239" s="282" t="s">
        <v>118</v>
      </c>
      <c r="B239" s="288" t="s">
        <v>35</v>
      </c>
      <c r="C239" s="279">
        <f>C237*C238</f>
        <v>1327.6077082185775</v>
      </c>
    </row>
    <row r="240" spans="1:3">
      <c r="A240" s="282" t="s">
        <v>37</v>
      </c>
      <c r="B240" s="288" t="s">
        <v>35</v>
      </c>
      <c r="C240" s="279">
        <f>$C$223</f>
        <v>28500</v>
      </c>
    </row>
    <row r="241" spans="1:3">
      <c r="A241" s="282" t="s">
        <v>65</v>
      </c>
      <c r="B241" s="288" t="s">
        <v>35</v>
      </c>
      <c r="C241" s="279">
        <f>C236+C239+C240</f>
        <v>83673.60770821858</v>
      </c>
    </row>
    <row r="242" spans="1:3">
      <c r="A242" s="282" t="s">
        <v>114</v>
      </c>
      <c r="B242" s="288" t="s">
        <v>35</v>
      </c>
      <c r="C242" s="279">
        <f>$C$220+$C$223</f>
        <v>118893.48179812482</v>
      </c>
    </row>
    <row r="243" spans="1:3" ht="14.65" thickBot="1">
      <c r="A243" s="311" t="s">
        <v>66</v>
      </c>
      <c r="B243" s="284" t="s">
        <v>24</v>
      </c>
      <c r="C243" s="303">
        <f>C241/C242</f>
        <v>0.70376951236310981</v>
      </c>
    </row>
    <row r="244" spans="1:3">
      <c r="A244" s="83"/>
      <c r="B244" s="77"/>
      <c r="C244" s="96"/>
    </row>
    <row r="245" spans="1:3" ht="14.65" thickBot="1">
      <c r="A245" s="79" t="s">
        <v>288</v>
      </c>
    </row>
    <row r="246" spans="1:3" ht="14.65" thickBot="1">
      <c r="A246" s="103" t="s">
        <v>90</v>
      </c>
      <c r="B246" s="102" t="s">
        <v>18</v>
      </c>
      <c r="C246" s="17" t="s">
        <v>91</v>
      </c>
    </row>
    <row r="247" spans="1:3">
      <c r="A247" s="276" t="s">
        <v>276</v>
      </c>
      <c r="B247" s="296" t="s">
        <v>35</v>
      </c>
      <c r="C247" s="286">
        <f>$C$220</f>
        <v>90393.48179812482</v>
      </c>
    </row>
    <row r="248" spans="1:3">
      <c r="A248" s="257" t="s">
        <v>338</v>
      </c>
      <c r="B248" s="278" t="s">
        <v>110</v>
      </c>
      <c r="C248" s="279">
        <f>$C$223</f>
        <v>28500</v>
      </c>
    </row>
    <row r="249" spans="1:3">
      <c r="A249" s="257" t="s">
        <v>339</v>
      </c>
      <c r="B249" s="278" t="s">
        <v>35</v>
      </c>
      <c r="C249" s="279">
        <f>C247+C248</f>
        <v>118893.48179812482</v>
      </c>
    </row>
    <row r="250" spans="1:3">
      <c r="A250" s="257" t="s">
        <v>26</v>
      </c>
      <c r="B250" s="278" t="s">
        <v>24</v>
      </c>
      <c r="C250" s="314">
        <f>A216</f>
        <v>0.62634496250407568</v>
      </c>
    </row>
    <row r="251" spans="1:3">
      <c r="A251" s="253" t="s">
        <v>387</v>
      </c>
      <c r="B251" s="270" t="s">
        <v>35</v>
      </c>
      <c r="C251" s="254">
        <f>C249*C250</f>
        <v>74468.333398825489</v>
      </c>
    </row>
    <row r="252" spans="1:3">
      <c r="A252" s="257" t="s">
        <v>27</v>
      </c>
      <c r="B252" s="278" t="s">
        <v>24</v>
      </c>
      <c r="C252" s="314">
        <f>B216</f>
        <v>0.37365503749592438</v>
      </c>
    </row>
    <row r="253" spans="1:3">
      <c r="A253" s="253" t="s">
        <v>284</v>
      </c>
      <c r="B253" s="270" t="s">
        <v>35</v>
      </c>
      <c r="C253" s="322">
        <f>C249*C252</f>
        <v>44425.148399299331</v>
      </c>
    </row>
    <row r="254" spans="1:3">
      <c r="A254" s="281" t="s">
        <v>355</v>
      </c>
      <c r="B254" s="278" t="s">
        <v>24</v>
      </c>
      <c r="C254" s="318">
        <f>C216</f>
        <v>0.4094383112944317</v>
      </c>
    </row>
    <row r="255" spans="1:3">
      <c r="A255" s="281" t="s">
        <v>421</v>
      </c>
      <c r="B255" s="278" t="s">
        <v>35</v>
      </c>
      <c r="C255" s="289">
        <f>C253*C254</f>
        <v>18189.357739613642</v>
      </c>
    </row>
    <row r="256" spans="1:3">
      <c r="A256" s="281" t="s">
        <v>388</v>
      </c>
      <c r="B256" s="278" t="s">
        <v>24</v>
      </c>
      <c r="C256" s="318">
        <f>1-C254</f>
        <v>0.59056168870556824</v>
      </c>
    </row>
    <row r="257" spans="1:3" ht="14.65" thickBot="1">
      <c r="A257" s="319" t="s">
        <v>340</v>
      </c>
      <c r="B257" s="320" t="s">
        <v>35</v>
      </c>
      <c r="C257" s="321">
        <f>C253*C256</f>
        <v>26235.790659685685</v>
      </c>
    </row>
    <row r="258" spans="1:3">
      <c r="A258" s="77"/>
      <c r="B258" s="77"/>
      <c r="C258" s="117"/>
    </row>
    <row r="259" spans="1:3" ht="14.65" thickBot="1">
      <c r="A259" s="79" t="s">
        <v>133</v>
      </c>
      <c r="B259" s="79"/>
      <c r="C259" s="79"/>
    </row>
    <row r="260" spans="1:3" ht="14.65" thickBot="1">
      <c r="A260" s="103" t="s">
        <v>90</v>
      </c>
      <c r="B260" s="102" t="s">
        <v>18</v>
      </c>
      <c r="C260" s="17" t="s">
        <v>106</v>
      </c>
    </row>
    <row r="261" spans="1:3">
      <c r="A261" s="272" t="s">
        <v>623</v>
      </c>
      <c r="B261" s="296" t="s">
        <v>35</v>
      </c>
      <c r="C261" s="297">
        <f>$C$22</f>
        <v>19000</v>
      </c>
    </row>
    <row r="262" spans="1:3">
      <c r="A262" s="257" t="s">
        <v>329</v>
      </c>
      <c r="B262" s="278" t="s">
        <v>35</v>
      </c>
      <c r="C262" s="295">
        <f>$C$25</f>
        <v>5700</v>
      </c>
    </row>
    <row r="263" spans="1:3">
      <c r="A263" s="257" t="s">
        <v>428</v>
      </c>
      <c r="B263" s="278" t="s">
        <v>35</v>
      </c>
      <c r="C263" s="295">
        <f>$C$30</f>
        <v>10450</v>
      </c>
    </row>
    <row r="264" spans="1:3">
      <c r="A264" s="257" t="s">
        <v>385</v>
      </c>
      <c r="B264" s="278" t="s">
        <v>24</v>
      </c>
      <c r="C264" s="312">
        <f>$B$106</f>
        <v>0.05</v>
      </c>
    </row>
    <row r="265" spans="1:3">
      <c r="A265" s="257" t="s">
        <v>334</v>
      </c>
      <c r="B265" s="278" t="s">
        <v>35</v>
      </c>
      <c r="C265" s="295">
        <f>$C$120</f>
        <v>1397.4817981248184</v>
      </c>
    </row>
    <row r="266" spans="1:3">
      <c r="A266" s="257" t="s">
        <v>429</v>
      </c>
      <c r="B266" s="278" t="s">
        <v>35</v>
      </c>
      <c r="C266" s="295">
        <f>C265*C264</f>
        <v>69.874089906240926</v>
      </c>
    </row>
    <row r="267" spans="1:3">
      <c r="A267" s="281" t="s">
        <v>421</v>
      </c>
      <c r="B267" s="278" t="s">
        <v>35</v>
      </c>
      <c r="C267" s="289">
        <f>$C$255</f>
        <v>18189.357739613642</v>
      </c>
    </row>
    <row r="268" spans="1:3">
      <c r="A268" s="257" t="s">
        <v>341</v>
      </c>
      <c r="B268" s="278" t="s">
        <v>35</v>
      </c>
      <c r="C268" s="279">
        <f>C261+C262+C263+C266-C267</f>
        <v>17030.516350292597</v>
      </c>
    </row>
    <row r="269" spans="1:3">
      <c r="A269" s="257" t="s">
        <v>387</v>
      </c>
      <c r="B269" s="278" t="s">
        <v>35</v>
      </c>
      <c r="C269" s="279">
        <f>$C$251</f>
        <v>74468.333398825489</v>
      </c>
    </row>
    <row r="270" spans="1:3">
      <c r="A270" s="299" t="s">
        <v>389</v>
      </c>
      <c r="B270" s="260" t="s">
        <v>24</v>
      </c>
      <c r="C270" s="300">
        <f>C268/C269</f>
        <v>0.22869474275841928</v>
      </c>
    </row>
    <row r="271" spans="1:3">
      <c r="A271" s="257" t="s">
        <v>366</v>
      </c>
      <c r="B271" s="278" t="s">
        <v>35</v>
      </c>
      <c r="C271" s="279">
        <f>$C$24</f>
        <v>53846</v>
      </c>
    </row>
    <row r="272" spans="1:3">
      <c r="A272" s="257" t="s">
        <v>386</v>
      </c>
      <c r="B272" s="278" t="s">
        <v>24</v>
      </c>
      <c r="C272" s="312">
        <f>1-$B$106</f>
        <v>0.95</v>
      </c>
    </row>
    <row r="273" spans="1:8">
      <c r="A273" s="257" t="s">
        <v>334</v>
      </c>
      <c r="B273" s="278" t="s">
        <v>35</v>
      </c>
      <c r="C273" s="295">
        <f>$C$120</f>
        <v>1397.4817981248184</v>
      </c>
    </row>
    <row r="274" spans="1:8">
      <c r="A274" s="257" t="s">
        <v>356</v>
      </c>
      <c r="B274" s="278" t="s">
        <v>35</v>
      </c>
      <c r="C274" s="279">
        <f>C272*C273</f>
        <v>1327.6077082185775</v>
      </c>
    </row>
    <row r="275" spans="1:8">
      <c r="A275" s="257" t="s">
        <v>338</v>
      </c>
      <c r="B275" s="278" t="s">
        <v>35</v>
      </c>
      <c r="C275" s="279">
        <f>$C$223</f>
        <v>28500</v>
      </c>
    </row>
    <row r="276" spans="1:8">
      <c r="A276" s="281" t="s">
        <v>340</v>
      </c>
      <c r="B276" s="278" t="s">
        <v>35</v>
      </c>
      <c r="C276" s="289">
        <f>$C$257</f>
        <v>26235.790659685685</v>
      </c>
    </row>
    <row r="277" spans="1:8">
      <c r="A277" s="257" t="s">
        <v>342</v>
      </c>
      <c r="B277" s="278" t="s">
        <v>35</v>
      </c>
      <c r="C277" s="279">
        <f>C271+C274+C275-C276</f>
        <v>57437.817048532896</v>
      </c>
    </row>
    <row r="278" spans="1:8">
      <c r="A278" s="257" t="s">
        <v>387</v>
      </c>
      <c r="B278" s="278" t="s">
        <v>35</v>
      </c>
      <c r="C278" s="279">
        <f>$C$251</f>
        <v>74468.333398825489</v>
      </c>
    </row>
    <row r="279" spans="1:8" ht="14.65" thickBot="1">
      <c r="A279" s="301" t="s">
        <v>321</v>
      </c>
      <c r="B279" s="277" t="s">
        <v>24</v>
      </c>
      <c r="C279" s="303">
        <f>C277/C278</f>
        <v>0.77130525724158083</v>
      </c>
    </row>
    <row r="280" spans="1:8">
      <c r="A280" s="77"/>
      <c r="B280" s="77"/>
      <c r="C280" s="117"/>
    </row>
    <row r="281" spans="1:8" ht="14.65" thickBot="1">
      <c r="A281" s="79" t="s">
        <v>135</v>
      </c>
    </row>
    <row r="282" spans="1:8" ht="14.65" thickBot="1">
      <c r="A282" s="419"/>
      <c r="B282" s="1028" t="s">
        <v>262</v>
      </c>
      <c r="C282" s="1029"/>
      <c r="D282" s="1031"/>
      <c r="E282" s="1065" t="s">
        <v>263</v>
      </c>
      <c r="F282" s="1061"/>
      <c r="G282" s="1061"/>
      <c r="H282" s="1009"/>
    </row>
    <row r="283" spans="1:8">
      <c r="A283" s="92" t="s">
        <v>93</v>
      </c>
      <c r="B283" s="377" t="s">
        <v>243</v>
      </c>
      <c r="C283" s="491" t="s">
        <v>341</v>
      </c>
      <c r="D283" s="492" t="s">
        <v>281</v>
      </c>
      <c r="E283" s="1039" t="s">
        <v>269</v>
      </c>
      <c r="F283" s="1040"/>
      <c r="G283" s="1022" t="s">
        <v>282</v>
      </c>
      <c r="H283" s="1023"/>
    </row>
    <row r="284" spans="1:8" ht="14.65" thickBot="1">
      <c r="A284" s="93" t="s">
        <v>18</v>
      </c>
      <c r="B284" s="403" t="s">
        <v>35</v>
      </c>
      <c r="C284" s="154" t="s">
        <v>35</v>
      </c>
      <c r="D284" s="155" t="s">
        <v>35</v>
      </c>
      <c r="E284" s="153" t="s">
        <v>257</v>
      </c>
      <c r="F284" s="423" t="s">
        <v>237</v>
      </c>
      <c r="G284" s="403" t="s">
        <v>71</v>
      </c>
      <c r="H284" s="155" t="s">
        <v>237</v>
      </c>
    </row>
    <row r="285" spans="1:8">
      <c r="A285" s="111" t="s">
        <v>72</v>
      </c>
      <c r="B285" s="459">
        <f>C190</f>
        <v>749.94286897593634</v>
      </c>
      <c r="C285" s="160">
        <f>$C$268</f>
        <v>17030.516350292597</v>
      </c>
      <c r="D285" s="467">
        <f>$C$251</f>
        <v>74468.333398825489</v>
      </c>
      <c r="E285" s="465">
        <f t="shared" ref="E285:E306" si="25">B285/C285*1000000</f>
        <v>44035.239657489998</v>
      </c>
      <c r="F285" s="560">
        <f>E285/1000000</f>
        <v>4.4035239657489997E-2</v>
      </c>
      <c r="G285" s="443">
        <f t="shared" ref="G285:G306" si="26">B285/D285*1000000</f>
        <v>10070.627805775017</v>
      </c>
      <c r="H285" s="460">
        <f>G285/1000000</f>
        <v>1.0070627805775017E-2</v>
      </c>
    </row>
    <row r="286" spans="1:8">
      <c r="A286" s="112" t="s">
        <v>73</v>
      </c>
      <c r="B286" s="461">
        <f>C191</f>
        <v>3.3119321292839343E-2</v>
      </c>
      <c r="C286" s="119">
        <f t="shared" ref="C286:C306" si="27">$C$268</f>
        <v>17030.516350292597</v>
      </c>
      <c r="D286" s="468">
        <f t="shared" ref="D286:D306" si="28">$C$251</f>
        <v>74468.333398825489</v>
      </c>
      <c r="E286" s="331">
        <f t="shared" si="25"/>
        <v>1.9447044711753751</v>
      </c>
      <c r="F286" s="561">
        <f t="shared" ref="F286:F306" si="29">E286/1000000</f>
        <v>1.9447044711753752E-6</v>
      </c>
      <c r="G286" s="444">
        <f t="shared" si="26"/>
        <v>0.4447436887766002</v>
      </c>
      <c r="H286" s="462">
        <f t="shared" ref="H286:H306" si="30">G286/1000000</f>
        <v>4.4474368877660018E-7</v>
      </c>
    </row>
    <row r="287" spans="1:8">
      <c r="A287" s="112" t="s">
        <v>74</v>
      </c>
      <c r="B287" s="461">
        <f>C192</f>
        <v>425.3692763447084</v>
      </c>
      <c r="C287" s="119">
        <f t="shared" si="27"/>
        <v>17030.516350292597</v>
      </c>
      <c r="D287" s="468">
        <f t="shared" si="28"/>
        <v>74468.333398825489</v>
      </c>
      <c r="E287" s="331">
        <f t="shared" si="25"/>
        <v>24976.886642512174</v>
      </c>
      <c r="F287" s="561">
        <f t="shared" si="29"/>
        <v>2.4976886642512176E-2</v>
      </c>
      <c r="G287" s="444">
        <f t="shared" si="26"/>
        <v>5712.0826656155205</v>
      </c>
      <c r="H287" s="462">
        <f t="shared" si="30"/>
        <v>5.7120826656155204E-3</v>
      </c>
    </row>
    <row r="288" spans="1:8">
      <c r="A288" s="112" t="s">
        <v>75</v>
      </c>
      <c r="B288" s="461">
        <f>C193</f>
        <v>1.3840407025637685E-2</v>
      </c>
      <c r="C288" s="119">
        <f t="shared" si="27"/>
        <v>17030.516350292597</v>
      </c>
      <c r="D288" s="468">
        <f t="shared" si="28"/>
        <v>74468.333398825489</v>
      </c>
      <c r="E288" s="331">
        <f t="shared" si="25"/>
        <v>0.81268275963928105</v>
      </c>
      <c r="F288" s="561">
        <f t="shared" si="29"/>
        <v>8.1268275963928107E-7</v>
      </c>
      <c r="G288" s="444">
        <f t="shared" si="26"/>
        <v>0.18585627465990764</v>
      </c>
      <c r="H288" s="462">
        <f t="shared" si="30"/>
        <v>1.8585627465990765E-7</v>
      </c>
    </row>
    <row r="289" spans="1:8">
      <c r="A289" s="112" t="s">
        <v>76</v>
      </c>
      <c r="B289" s="461">
        <f>C194</f>
        <v>0.81088407251271644</v>
      </c>
      <c r="C289" s="119">
        <f t="shared" si="27"/>
        <v>17030.516350292597</v>
      </c>
      <c r="D289" s="468">
        <f t="shared" si="28"/>
        <v>74468.333398825489</v>
      </c>
      <c r="E289" s="331">
        <f t="shared" si="25"/>
        <v>47.613592907814855</v>
      </c>
      <c r="F289" s="561">
        <f t="shared" si="29"/>
        <v>4.7613592907814858E-5</v>
      </c>
      <c r="G289" s="444">
        <f t="shared" si="26"/>
        <v>10.888978381856813</v>
      </c>
      <c r="H289" s="462">
        <f t="shared" si="30"/>
        <v>1.0888978381856813E-5</v>
      </c>
    </row>
    <row r="290" spans="1:8">
      <c r="A290" s="113" t="s">
        <v>77</v>
      </c>
      <c r="B290" s="461">
        <f>C195</f>
        <v>3.6363421783059735E-2</v>
      </c>
      <c r="C290" s="119">
        <f t="shared" si="27"/>
        <v>17030.516350292597</v>
      </c>
      <c r="D290" s="468">
        <f t="shared" si="28"/>
        <v>74468.333398825489</v>
      </c>
      <c r="E290" s="331">
        <f t="shared" si="25"/>
        <v>2.1351919715831156</v>
      </c>
      <c r="F290" s="561">
        <f t="shared" si="29"/>
        <v>2.1351919715831154E-6</v>
      </c>
      <c r="G290" s="444">
        <f t="shared" si="26"/>
        <v>0.48830717868104268</v>
      </c>
      <c r="H290" s="462">
        <f t="shared" si="30"/>
        <v>4.883071786810427E-7</v>
      </c>
    </row>
    <row r="291" spans="1:8">
      <c r="A291" s="113" t="s">
        <v>78</v>
      </c>
      <c r="B291" s="461">
        <f>C196</f>
        <v>604.6466249739716</v>
      </c>
      <c r="C291" s="119">
        <f t="shared" si="27"/>
        <v>17030.516350292597</v>
      </c>
      <c r="D291" s="468">
        <f t="shared" si="28"/>
        <v>74468.333398825489</v>
      </c>
      <c r="E291" s="331">
        <f t="shared" si="25"/>
        <v>35503.716536673492</v>
      </c>
      <c r="F291" s="561">
        <f t="shared" si="29"/>
        <v>3.5503716536673495E-2</v>
      </c>
      <c r="G291" s="444">
        <f t="shared" si="26"/>
        <v>8119.5133203223813</v>
      </c>
      <c r="H291" s="462">
        <f t="shared" si="30"/>
        <v>8.1195133203223815E-3</v>
      </c>
    </row>
    <row r="292" spans="1:8">
      <c r="A292" s="113" t="s">
        <v>79</v>
      </c>
      <c r="B292" s="461">
        <f>C197</f>
        <v>124.40301527266575</v>
      </c>
      <c r="C292" s="119">
        <f t="shared" si="27"/>
        <v>17030.516350292597</v>
      </c>
      <c r="D292" s="468">
        <f t="shared" si="28"/>
        <v>74468.333398825489</v>
      </c>
      <c r="E292" s="331">
        <f t="shared" si="25"/>
        <v>7304.7118897559685</v>
      </c>
      <c r="F292" s="561">
        <f t="shared" si="29"/>
        <v>7.3047118897559687E-3</v>
      </c>
      <c r="G292" s="444">
        <f t="shared" si="26"/>
        <v>1670.5492065521078</v>
      </c>
      <c r="H292" s="462">
        <f t="shared" si="30"/>
        <v>1.6705492065521078E-3</v>
      </c>
    </row>
    <row r="293" spans="1:8">
      <c r="A293" s="113" t="s">
        <v>80</v>
      </c>
      <c r="B293" s="461">
        <f>C198</f>
        <v>183.84549225215687</v>
      </c>
      <c r="C293" s="119">
        <f t="shared" si="27"/>
        <v>17030.516350292597</v>
      </c>
      <c r="D293" s="468">
        <f t="shared" si="28"/>
        <v>74468.333398825489</v>
      </c>
      <c r="E293" s="331">
        <f t="shared" si="25"/>
        <v>10795.06272568173</v>
      </c>
      <c r="F293" s="561">
        <f t="shared" si="29"/>
        <v>1.0795062725681729E-2</v>
      </c>
      <c r="G293" s="444">
        <f t="shared" si="26"/>
        <v>2468.7740931107837</v>
      </c>
      <c r="H293" s="462">
        <f t="shared" si="30"/>
        <v>2.4687740931107838E-3</v>
      </c>
    </row>
    <row r="294" spans="1:8">
      <c r="A294" s="113" t="s">
        <v>81</v>
      </c>
      <c r="B294" s="461">
        <f>C199</f>
        <v>140.18512674786865</v>
      </c>
      <c r="C294" s="119">
        <f t="shared" si="27"/>
        <v>17030.516350292597</v>
      </c>
      <c r="D294" s="468">
        <f t="shared" si="28"/>
        <v>74468.333398825489</v>
      </c>
      <c r="E294" s="331">
        <f t="shared" si="25"/>
        <v>8231.4078953607404</v>
      </c>
      <c r="F294" s="561">
        <f t="shared" si="29"/>
        <v>8.23140789536074E-3</v>
      </c>
      <c r="G294" s="444">
        <f t="shared" si="26"/>
        <v>1882.4797111691457</v>
      </c>
      <c r="H294" s="462">
        <f t="shared" si="30"/>
        <v>1.8824797111691458E-3</v>
      </c>
    </row>
    <row r="295" spans="1:8">
      <c r="A295" s="113" t="s">
        <v>82</v>
      </c>
      <c r="B295" s="461">
        <f>C200</f>
        <v>0.77887980604109552</v>
      </c>
      <c r="C295" s="119">
        <f t="shared" si="27"/>
        <v>17030.516350292597</v>
      </c>
      <c r="D295" s="468">
        <f t="shared" si="28"/>
        <v>74468.333398825489</v>
      </c>
      <c r="E295" s="331">
        <f t="shared" si="25"/>
        <v>45.734362365807762</v>
      </c>
      <c r="F295" s="561">
        <f t="shared" si="29"/>
        <v>4.5734362365807763E-5</v>
      </c>
      <c r="G295" s="444">
        <f t="shared" si="26"/>
        <v>10.459208236468738</v>
      </c>
      <c r="H295" s="462">
        <f t="shared" si="30"/>
        <v>1.0459208236468737E-5</v>
      </c>
    </row>
    <row r="296" spans="1:8">
      <c r="A296" s="113" t="s">
        <v>630</v>
      </c>
      <c r="B296" s="461">
        <f>C201</f>
        <v>1341.8616375144429</v>
      </c>
      <c r="C296" s="119">
        <f t="shared" si="27"/>
        <v>17030.516350292597</v>
      </c>
      <c r="D296" s="468">
        <f t="shared" si="28"/>
        <v>74468.333398825489</v>
      </c>
      <c r="E296" s="331">
        <f t="shared" si="25"/>
        <v>78791.600319939127</v>
      </c>
      <c r="F296" s="561">
        <f t="shared" si="29"/>
        <v>7.879160031993912E-2</v>
      </c>
      <c r="G296" s="444">
        <f t="shared" si="26"/>
        <v>18019.224766692667</v>
      </c>
      <c r="H296" s="462">
        <f t="shared" si="30"/>
        <v>1.8019224766692668E-2</v>
      </c>
    </row>
    <row r="297" spans="1:8">
      <c r="A297" s="113" t="s">
        <v>96</v>
      </c>
      <c r="B297" s="461">
        <f>C202</f>
        <v>3222.9719387755099</v>
      </c>
      <c r="C297" s="119">
        <f t="shared" si="27"/>
        <v>17030.516350292597</v>
      </c>
      <c r="D297" s="468">
        <f t="shared" si="28"/>
        <v>74468.333398825489</v>
      </c>
      <c r="E297" s="331">
        <f t="shared" si="25"/>
        <v>189246.87146788341</v>
      </c>
      <c r="F297" s="561">
        <f t="shared" si="29"/>
        <v>0.18924687146788341</v>
      </c>
      <c r="G297" s="444">
        <f t="shared" si="26"/>
        <v>43279.764588183229</v>
      </c>
      <c r="H297" s="462">
        <f t="shared" si="30"/>
        <v>4.327976458818323E-2</v>
      </c>
    </row>
    <row r="298" spans="1:8">
      <c r="A298" s="113" t="s">
        <v>97</v>
      </c>
      <c r="B298" s="461">
        <f>C203</f>
        <v>4564.8335762899524</v>
      </c>
      <c r="C298" s="119">
        <f t="shared" si="27"/>
        <v>17030.516350292597</v>
      </c>
      <c r="D298" s="468">
        <f t="shared" si="28"/>
        <v>74468.333398825489</v>
      </c>
      <c r="E298" s="331">
        <f t="shared" si="25"/>
        <v>268038.47178782255</v>
      </c>
      <c r="F298" s="561">
        <f t="shared" si="29"/>
        <v>0.26803847178782253</v>
      </c>
      <c r="G298" s="444">
        <f t="shared" si="26"/>
        <v>61298.989354875892</v>
      </c>
      <c r="H298" s="462">
        <f t="shared" si="30"/>
        <v>6.1298989354875891E-2</v>
      </c>
    </row>
    <row r="299" spans="1:8">
      <c r="A299" s="113" t="s">
        <v>84</v>
      </c>
      <c r="B299" s="461">
        <f>C204</f>
        <v>0.47237390936340629</v>
      </c>
      <c r="C299" s="119">
        <f t="shared" si="27"/>
        <v>17030.516350292597</v>
      </c>
      <c r="D299" s="468">
        <f t="shared" si="28"/>
        <v>74468.333398825489</v>
      </c>
      <c r="E299" s="331">
        <f t="shared" si="25"/>
        <v>27.736910593159468</v>
      </c>
      <c r="F299" s="561">
        <f t="shared" si="29"/>
        <v>2.7736910593159469E-5</v>
      </c>
      <c r="G299" s="444">
        <f t="shared" si="26"/>
        <v>6.3432856330158787</v>
      </c>
      <c r="H299" s="462">
        <f t="shared" si="30"/>
        <v>6.3432856330158782E-6</v>
      </c>
    </row>
    <row r="300" spans="1:8">
      <c r="A300" s="113" t="s">
        <v>631</v>
      </c>
      <c r="B300" s="461">
        <f>C205</f>
        <v>0</v>
      </c>
      <c r="C300" s="119">
        <f t="shared" si="27"/>
        <v>17030.516350292597</v>
      </c>
      <c r="D300" s="468">
        <f t="shared" si="28"/>
        <v>74468.333398825489</v>
      </c>
      <c r="E300" s="331">
        <f t="shared" si="25"/>
        <v>0</v>
      </c>
      <c r="F300" s="561">
        <f t="shared" si="29"/>
        <v>0</v>
      </c>
      <c r="G300" s="444">
        <f t="shared" si="26"/>
        <v>0</v>
      </c>
      <c r="H300" s="462">
        <f t="shared" si="30"/>
        <v>0</v>
      </c>
    </row>
    <row r="301" spans="1:8">
      <c r="A301" s="113" t="s">
        <v>250</v>
      </c>
      <c r="B301" s="461">
        <f>C206</f>
        <v>0</v>
      </c>
      <c r="C301" s="119">
        <f t="shared" si="27"/>
        <v>17030.516350292597</v>
      </c>
      <c r="D301" s="468">
        <f t="shared" si="28"/>
        <v>74468.333398825489</v>
      </c>
      <c r="E301" s="331">
        <f t="shared" si="25"/>
        <v>0</v>
      </c>
      <c r="F301" s="561">
        <f t="shared" si="29"/>
        <v>0</v>
      </c>
      <c r="G301" s="444">
        <f t="shared" si="26"/>
        <v>0</v>
      </c>
      <c r="H301" s="462">
        <f t="shared" si="30"/>
        <v>0</v>
      </c>
    </row>
    <row r="302" spans="1:8">
      <c r="A302" s="113" t="s">
        <v>251</v>
      </c>
      <c r="B302" s="461">
        <f>C207</f>
        <v>0</v>
      </c>
      <c r="C302" s="119">
        <f t="shared" si="27"/>
        <v>17030.516350292597</v>
      </c>
      <c r="D302" s="468">
        <f t="shared" si="28"/>
        <v>74468.333398825489</v>
      </c>
      <c r="E302" s="331">
        <f t="shared" si="25"/>
        <v>0</v>
      </c>
      <c r="F302" s="561">
        <f t="shared" si="29"/>
        <v>0</v>
      </c>
      <c r="G302" s="444">
        <f t="shared" si="26"/>
        <v>0</v>
      </c>
      <c r="H302" s="462">
        <f t="shared" si="30"/>
        <v>0</v>
      </c>
    </row>
    <row r="303" spans="1:8">
      <c r="A303" s="394" t="s">
        <v>238</v>
      </c>
      <c r="B303" s="461">
        <f>C208</f>
        <v>0</v>
      </c>
      <c r="C303" s="119">
        <f t="shared" si="27"/>
        <v>17030.516350292597</v>
      </c>
      <c r="D303" s="468">
        <f t="shared" si="28"/>
        <v>74468.333398825489</v>
      </c>
      <c r="E303" s="331">
        <f t="shared" si="25"/>
        <v>0</v>
      </c>
      <c r="F303" s="561">
        <f t="shared" si="29"/>
        <v>0</v>
      </c>
      <c r="G303" s="444">
        <f t="shared" si="26"/>
        <v>0</v>
      </c>
      <c r="H303" s="462">
        <f t="shared" si="30"/>
        <v>0</v>
      </c>
    </row>
    <row r="304" spans="1:8">
      <c r="A304" s="394" t="s">
        <v>239</v>
      </c>
      <c r="B304" s="461">
        <f>C209</f>
        <v>0</v>
      </c>
      <c r="C304" s="119">
        <f t="shared" si="27"/>
        <v>17030.516350292597</v>
      </c>
      <c r="D304" s="468">
        <f t="shared" si="28"/>
        <v>74468.333398825489</v>
      </c>
      <c r="E304" s="331">
        <f t="shared" si="25"/>
        <v>0</v>
      </c>
      <c r="F304" s="561">
        <f t="shared" si="29"/>
        <v>0</v>
      </c>
      <c r="G304" s="444">
        <f t="shared" si="26"/>
        <v>0</v>
      </c>
      <c r="H304" s="462">
        <f t="shared" si="30"/>
        <v>0</v>
      </c>
    </row>
    <row r="305" spans="1:8">
      <c r="A305" s="394" t="s">
        <v>248</v>
      </c>
      <c r="B305" s="461">
        <f>C210</f>
        <v>0</v>
      </c>
      <c r="C305" s="119">
        <f t="shared" si="27"/>
        <v>17030.516350292597</v>
      </c>
      <c r="D305" s="468">
        <f t="shared" si="28"/>
        <v>74468.333398825489</v>
      </c>
      <c r="E305" s="331">
        <f t="shared" si="25"/>
        <v>0</v>
      </c>
      <c r="F305" s="561">
        <f>E305/1000000</f>
        <v>0</v>
      </c>
      <c r="G305" s="444">
        <f t="shared" si="26"/>
        <v>0</v>
      </c>
      <c r="H305" s="462">
        <f>G305/1000000</f>
        <v>0</v>
      </c>
    </row>
    <row r="306" spans="1:8" ht="14.65" thickBot="1">
      <c r="A306" s="114" t="s">
        <v>86</v>
      </c>
      <c r="B306" s="463">
        <f>C211</f>
        <v>0.92305974999953122</v>
      </c>
      <c r="C306" s="135">
        <f t="shared" si="27"/>
        <v>17030.516350292597</v>
      </c>
      <c r="D306" s="469">
        <f t="shared" si="28"/>
        <v>74468.333398825489</v>
      </c>
      <c r="E306" s="466">
        <f t="shared" si="25"/>
        <v>54.200338440335806</v>
      </c>
      <c r="F306" s="562">
        <f t="shared" si="29"/>
        <v>5.4200338440335804E-5</v>
      </c>
      <c r="G306" s="445">
        <f t="shared" si="26"/>
        <v>12.395332457031859</v>
      </c>
      <c r="H306" s="464">
        <f t="shared" si="30"/>
        <v>1.2395332457031859E-5</v>
      </c>
    </row>
    <row r="307" spans="1:8">
      <c r="A307" s="145"/>
      <c r="B307" s="146"/>
      <c r="C307" s="96"/>
      <c r="D307" s="96"/>
      <c r="E307" s="96"/>
      <c r="F307" s="95"/>
    </row>
    <row r="308" spans="1:8" ht="14.65" thickBot="1">
      <c r="A308" s="79" t="s">
        <v>137</v>
      </c>
    </row>
    <row r="309" spans="1:8" ht="14.65" thickBot="1">
      <c r="A309" s="419"/>
      <c r="B309" s="1028" t="s">
        <v>262</v>
      </c>
      <c r="C309" s="1029"/>
      <c r="D309" s="1031"/>
      <c r="E309" s="1065" t="s">
        <v>263</v>
      </c>
      <c r="F309" s="1061"/>
      <c r="G309" s="1061"/>
      <c r="H309" s="1009"/>
    </row>
    <row r="310" spans="1:8">
      <c r="A310" s="92" t="s">
        <v>93</v>
      </c>
      <c r="B310" s="377" t="s">
        <v>256</v>
      </c>
      <c r="C310" s="491" t="s">
        <v>421</v>
      </c>
      <c r="D310" s="492" t="s">
        <v>284</v>
      </c>
      <c r="E310" s="1039" t="s">
        <v>269</v>
      </c>
      <c r="F310" s="1040"/>
      <c r="G310" s="1022" t="s">
        <v>242</v>
      </c>
      <c r="H310" s="1023"/>
    </row>
    <row r="311" spans="1:8" ht="14.65" thickBot="1">
      <c r="A311" s="93" t="s">
        <v>18</v>
      </c>
      <c r="B311" s="403" t="s">
        <v>35</v>
      </c>
      <c r="C311" s="154" t="s">
        <v>35</v>
      </c>
      <c r="D311" s="155" t="s">
        <v>35</v>
      </c>
      <c r="E311" s="153" t="s">
        <v>257</v>
      </c>
      <c r="F311" s="423" t="s">
        <v>237</v>
      </c>
      <c r="G311" s="403" t="s">
        <v>71</v>
      </c>
      <c r="H311" s="155" t="s">
        <v>237</v>
      </c>
    </row>
    <row r="312" spans="1:8">
      <c r="A312" s="148" t="s">
        <v>72</v>
      </c>
      <c r="B312" s="459">
        <f>D190</f>
        <v>430.90513102406356</v>
      </c>
      <c r="C312" s="160">
        <f>$C$255</f>
        <v>18189.357739613642</v>
      </c>
      <c r="D312" s="467">
        <f>$C$253</f>
        <v>44425.148399299331</v>
      </c>
      <c r="E312" s="443">
        <f t="shared" ref="E312:E333" si="31">B312/C312*1000000</f>
        <v>23689.958556679438</v>
      </c>
      <c r="F312" s="560">
        <f>E312/1000000</f>
        <v>2.3689958556679439E-2</v>
      </c>
      <c r="G312" s="443">
        <f t="shared" ref="G312:G333" si="32">B312/D312*1000000</f>
        <v>9699.5766260819018</v>
      </c>
      <c r="H312" s="460">
        <f>G312/1000000</f>
        <v>9.6995766260819013E-3</v>
      </c>
    </row>
    <row r="313" spans="1:8">
      <c r="A313" s="149" t="s">
        <v>73</v>
      </c>
      <c r="B313" s="461">
        <f>D191</f>
        <v>0.38008067870716067</v>
      </c>
      <c r="C313" s="119">
        <f t="shared" ref="C313:C333" si="33">$C$255</f>
        <v>18189.357739613642</v>
      </c>
      <c r="D313" s="468">
        <f t="shared" ref="D313:D333" si="34">$C$253</f>
        <v>44425.148399299331</v>
      </c>
      <c r="E313" s="444">
        <f t="shared" si="31"/>
        <v>20.895772360307316</v>
      </c>
      <c r="F313" s="561">
        <f t="shared" ref="F313:F333" si="35">E313/1000000</f>
        <v>2.0895772360307315E-5</v>
      </c>
      <c r="G313" s="444">
        <f t="shared" si="32"/>
        <v>8.5555297483970882</v>
      </c>
      <c r="H313" s="462">
        <f t="shared" ref="H313:H333" si="36">G313/1000000</f>
        <v>8.5555297483970878E-6</v>
      </c>
    </row>
    <row r="314" spans="1:8">
      <c r="A314" s="149" t="s">
        <v>74</v>
      </c>
      <c r="B314" s="461">
        <f>D192</f>
        <v>2262.8031236552915</v>
      </c>
      <c r="C314" s="119">
        <f t="shared" si="33"/>
        <v>18189.357739613642</v>
      </c>
      <c r="D314" s="468">
        <f t="shared" si="34"/>
        <v>44425.148399299331</v>
      </c>
      <c r="E314" s="444">
        <f t="shared" si="31"/>
        <v>124402.58507463691</v>
      </c>
      <c r="F314" s="561">
        <f t="shared" si="35"/>
        <v>0.1244025850746369</v>
      </c>
      <c r="G314" s="444">
        <f t="shared" si="32"/>
        <v>50935.184353621211</v>
      </c>
      <c r="H314" s="462">
        <f t="shared" si="36"/>
        <v>5.093518435362121E-2</v>
      </c>
    </row>
    <row r="315" spans="1:8">
      <c r="A315" s="149" t="s">
        <v>75</v>
      </c>
      <c r="B315" s="461">
        <f>D193</f>
        <v>4.2159592974362316E-2</v>
      </c>
      <c r="C315" s="119">
        <f t="shared" si="33"/>
        <v>18189.357739613642</v>
      </c>
      <c r="D315" s="468">
        <f t="shared" si="34"/>
        <v>44425.148399299331</v>
      </c>
      <c r="E315" s="444">
        <f t="shared" si="31"/>
        <v>2.3178164714714011</v>
      </c>
      <c r="F315" s="561">
        <f t="shared" si="35"/>
        <v>2.3178164714714011E-6</v>
      </c>
      <c r="G315" s="444">
        <f t="shared" si="32"/>
        <v>0.94900286196966877</v>
      </c>
      <c r="H315" s="462">
        <f t="shared" si="36"/>
        <v>9.4900286196966875E-7</v>
      </c>
    </row>
    <row r="316" spans="1:8">
      <c r="A316" s="149" t="s">
        <v>76</v>
      </c>
      <c r="B316" s="461">
        <f>D194</f>
        <v>1.1984159274872836</v>
      </c>
      <c r="C316" s="119">
        <f t="shared" si="33"/>
        <v>18189.357739613642</v>
      </c>
      <c r="D316" s="468">
        <f t="shared" si="34"/>
        <v>44425.148399299331</v>
      </c>
      <c r="E316" s="444">
        <f t="shared" si="31"/>
        <v>65.885554874613135</v>
      </c>
      <c r="F316" s="561">
        <f t="shared" si="35"/>
        <v>6.5885554874613132E-5</v>
      </c>
      <c r="G316" s="444">
        <f t="shared" si="32"/>
        <v>26.976070326558212</v>
      </c>
      <c r="H316" s="462">
        <f t="shared" si="36"/>
        <v>2.697607032655821E-5</v>
      </c>
    </row>
    <row r="317" spans="1:8">
      <c r="A317" s="150" t="s">
        <v>77</v>
      </c>
      <c r="B317" s="461">
        <f>D195</f>
        <v>15.52863657821694</v>
      </c>
      <c r="C317" s="119">
        <f t="shared" si="33"/>
        <v>18189.357739613642</v>
      </c>
      <c r="D317" s="468">
        <f t="shared" si="34"/>
        <v>44425.148399299331</v>
      </c>
      <c r="E317" s="444">
        <f t="shared" si="31"/>
        <v>853.7209944690868</v>
      </c>
      <c r="F317" s="561">
        <f t="shared" si="35"/>
        <v>8.5372099446908681E-4</v>
      </c>
      <c r="G317" s="444">
        <f t="shared" si="32"/>
        <v>349.54608229202574</v>
      </c>
      <c r="H317" s="462">
        <f t="shared" si="36"/>
        <v>3.4954608229202574E-4</v>
      </c>
    </row>
    <row r="318" spans="1:8">
      <c r="A318" s="150" t="s">
        <v>78</v>
      </c>
      <c r="B318" s="461">
        <f>D196</f>
        <v>616.48237502602831</v>
      </c>
      <c r="C318" s="119">
        <f t="shared" si="33"/>
        <v>18189.357739613642</v>
      </c>
      <c r="D318" s="468">
        <f t="shared" si="34"/>
        <v>44425.148399299331</v>
      </c>
      <c r="E318" s="444">
        <f t="shared" si="31"/>
        <v>33892.476240841861</v>
      </c>
      <c r="F318" s="561">
        <f t="shared" si="35"/>
        <v>3.3892476240841858E-2</v>
      </c>
      <c r="G318" s="444">
        <f t="shared" si="32"/>
        <v>13876.878237636936</v>
      </c>
      <c r="H318" s="462">
        <f t="shared" si="36"/>
        <v>1.3876878237636937E-2</v>
      </c>
    </row>
    <row r="319" spans="1:8">
      <c r="A319" s="150" t="s">
        <v>79</v>
      </c>
      <c r="B319" s="461">
        <f>D197</f>
        <v>43.293684727334266</v>
      </c>
      <c r="C319" s="119">
        <f t="shared" si="33"/>
        <v>18189.357739613642</v>
      </c>
      <c r="D319" s="468">
        <f t="shared" si="34"/>
        <v>44425.148399299331</v>
      </c>
      <c r="E319" s="444">
        <f t="shared" si="31"/>
        <v>2380.1656631914625</v>
      </c>
      <c r="F319" s="561">
        <f t="shared" si="35"/>
        <v>2.3801656631914623E-3</v>
      </c>
      <c r="G319" s="444">
        <f t="shared" si="32"/>
        <v>974.53100973810342</v>
      </c>
      <c r="H319" s="462">
        <f t="shared" si="36"/>
        <v>9.7453100973810339E-4</v>
      </c>
    </row>
    <row r="320" spans="1:8">
      <c r="A320" s="150" t="s">
        <v>80</v>
      </c>
      <c r="B320" s="461">
        <f>D198</f>
        <v>59.897207747843126</v>
      </c>
      <c r="C320" s="119">
        <f t="shared" si="33"/>
        <v>18189.357739613642</v>
      </c>
      <c r="D320" s="468">
        <f t="shared" si="34"/>
        <v>44425.148399299331</v>
      </c>
      <c r="E320" s="444">
        <f t="shared" si="31"/>
        <v>3292.9809070386341</v>
      </c>
      <c r="F320" s="561">
        <f t="shared" si="35"/>
        <v>3.2929809070386339E-3</v>
      </c>
      <c r="G320" s="444">
        <f t="shared" si="32"/>
        <v>1348.2725417027041</v>
      </c>
      <c r="H320" s="462">
        <f t="shared" si="36"/>
        <v>1.3482725417027041E-3</v>
      </c>
    </row>
    <row r="321" spans="1:8">
      <c r="A321" s="150" t="s">
        <v>81</v>
      </c>
      <c r="B321" s="461">
        <f>D199</f>
        <v>21.645369863504222</v>
      </c>
      <c r="C321" s="119">
        <f t="shared" si="33"/>
        <v>18189.357739613642</v>
      </c>
      <c r="D321" s="468">
        <f t="shared" si="34"/>
        <v>44425.148399299331</v>
      </c>
      <c r="E321" s="444">
        <f t="shared" si="31"/>
        <v>1190.0018776564009</v>
      </c>
      <c r="F321" s="561">
        <f t="shared" si="35"/>
        <v>1.1900018776564009E-3</v>
      </c>
      <c r="G321" s="444">
        <f t="shared" si="32"/>
        <v>487.23235922483963</v>
      </c>
      <c r="H321" s="462">
        <f t="shared" si="36"/>
        <v>4.8723235922483964E-4</v>
      </c>
    </row>
    <row r="322" spans="1:8">
      <c r="A322" s="150" t="s">
        <v>82</v>
      </c>
      <c r="B322" s="461">
        <f>D200</f>
        <v>1.0543201939589044</v>
      </c>
      <c r="C322" s="119">
        <f t="shared" si="33"/>
        <v>18189.357739613642</v>
      </c>
      <c r="D322" s="468">
        <f t="shared" si="34"/>
        <v>44425.148399299331</v>
      </c>
      <c r="E322" s="444">
        <f t="shared" si="31"/>
        <v>57.963574583106698</v>
      </c>
      <c r="F322" s="561">
        <f t="shared" si="35"/>
        <v>5.7963574583106701E-5</v>
      </c>
      <c r="G322" s="444">
        <f t="shared" si="32"/>
        <v>23.732508093896048</v>
      </c>
      <c r="H322" s="462">
        <f t="shared" si="36"/>
        <v>2.3732508093896047E-5</v>
      </c>
    </row>
    <row r="323" spans="1:8">
      <c r="A323" s="150" t="s">
        <v>630</v>
      </c>
      <c r="B323" s="461">
        <f>D201</f>
        <v>229.52336248555733</v>
      </c>
      <c r="C323" s="119">
        <f t="shared" si="33"/>
        <v>18189.357739613642</v>
      </c>
      <c r="D323" s="468">
        <f t="shared" si="34"/>
        <v>44425.148399299331</v>
      </c>
      <c r="E323" s="444">
        <f t="shared" si="31"/>
        <v>12618.552329953382</v>
      </c>
      <c r="F323" s="561">
        <f t="shared" si="35"/>
        <v>1.2618552329953382E-2</v>
      </c>
      <c r="G323" s="444">
        <f t="shared" si="32"/>
        <v>5166.5187569565296</v>
      </c>
      <c r="H323" s="462">
        <f t="shared" si="36"/>
        <v>5.1665187569565297E-3</v>
      </c>
    </row>
    <row r="324" spans="1:8">
      <c r="A324" s="150" t="s">
        <v>96</v>
      </c>
      <c r="B324" s="461">
        <f>D202</f>
        <v>82.640306122448976</v>
      </c>
      <c r="C324" s="119">
        <f t="shared" si="33"/>
        <v>18189.357739613642</v>
      </c>
      <c r="D324" s="468">
        <f t="shared" si="34"/>
        <v>44425.148399299331</v>
      </c>
      <c r="E324" s="444">
        <f t="shared" si="31"/>
        <v>4543.332827110823</v>
      </c>
      <c r="F324" s="561">
        <f t="shared" si="35"/>
        <v>4.5433328271108232E-3</v>
      </c>
      <c r="G324" s="444">
        <f t="shared" si="32"/>
        <v>1860.2145203808113</v>
      </c>
      <c r="H324" s="462">
        <f t="shared" si="36"/>
        <v>1.8602145203808114E-3</v>
      </c>
    </row>
    <row r="325" spans="1:8">
      <c r="A325" s="150" t="s">
        <v>97</v>
      </c>
      <c r="B325" s="461">
        <f>D203</f>
        <v>312.16366860800628</v>
      </c>
      <c r="C325" s="119">
        <f t="shared" si="33"/>
        <v>18189.357739613642</v>
      </c>
      <c r="D325" s="468">
        <f t="shared" si="34"/>
        <v>44425.148399299331</v>
      </c>
      <c r="E325" s="444">
        <f t="shared" si="31"/>
        <v>17161.885157064204</v>
      </c>
      <c r="F325" s="561">
        <f t="shared" si="35"/>
        <v>1.7161885157064204E-2</v>
      </c>
      <c r="G325" s="444">
        <f t="shared" si="32"/>
        <v>7026.73327733734</v>
      </c>
      <c r="H325" s="462">
        <f t="shared" si="36"/>
        <v>7.02673327733734E-3</v>
      </c>
    </row>
    <row r="326" spans="1:8">
      <c r="A326" s="150" t="s">
        <v>84</v>
      </c>
      <c r="B326" s="461">
        <f>D204</f>
        <v>1.5770260906365936</v>
      </c>
      <c r="C326" s="119">
        <f t="shared" si="33"/>
        <v>18189.357739613642</v>
      </c>
      <c r="D326" s="468">
        <f t="shared" si="34"/>
        <v>44425.148399299331</v>
      </c>
      <c r="E326" s="444">
        <f t="shared" si="31"/>
        <v>86.700482403623937</v>
      </c>
      <c r="F326" s="561">
        <f t="shared" si="35"/>
        <v>8.670048240362393E-5</v>
      </c>
      <c r="G326" s="444">
        <f t="shared" si="32"/>
        <v>35.49849910375238</v>
      </c>
      <c r="H326" s="462">
        <f t="shared" si="36"/>
        <v>3.5498499103752378E-5</v>
      </c>
    </row>
    <row r="327" spans="1:8">
      <c r="A327" s="150" t="s">
        <v>631</v>
      </c>
      <c r="B327" s="461">
        <f>D205</f>
        <v>248.5959</v>
      </c>
      <c r="C327" s="119">
        <f t="shared" si="33"/>
        <v>18189.357739613642</v>
      </c>
      <c r="D327" s="468">
        <f t="shared" si="34"/>
        <v>44425.148399299331</v>
      </c>
      <c r="E327" s="444">
        <f t="shared" si="31"/>
        <v>13667.107083093764</v>
      </c>
      <c r="F327" s="561">
        <f t="shared" si="35"/>
        <v>1.3667107083093764E-2</v>
      </c>
      <c r="G327" s="444">
        <f t="shared" si="32"/>
        <v>5595.8372443820772</v>
      </c>
      <c r="H327" s="462">
        <f t="shared" si="36"/>
        <v>5.5958372443820773E-3</v>
      </c>
    </row>
    <row r="328" spans="1:8">
      <c r="A328" s="150" t="s">
        <v>250</v>
      </c>
      <c r="B328" s="461">
        <f>D206</f>
        <v>1861.2244897959183</v>
      </c>
      <c r="C328" s="119">
        <f t="shared" si="33"/>
        <v>18189.357739613642</v>
      </c>
      <c r="D328" s="468">
        <f t="shared" si="34"/>
        <v>44425.148399299331</v>
      </c>
      <c r="E328" s="444">
        <f t="shared" si="31"/>
        <v>102324.9152850766</v>
      </c>
      <c r="F328" s="561">
        <f t="shared" si="35"/>
        <v>0.1023249152850766</v>
      </c>
      <c r="G328" s="444">
        <f t="shared" si="32"/>
        <v>41895.740517667538</v>
      </c>
      <c r="H328" s="462">
        <f t="shared" si="36"/>
        <v>4.1895740517667542E-2</v>
      </c>
    </row>
    <row r="329" spans="1:8">
      <c r="A329" s="150" t="s">
        <v>251</v>
      </c>
      <c r="B329" s="461">
        <f>D207</f>
        <v>2109.8203897959183</v>
      </c>
      <c r="C329" s="119">
        <f t="shared" si="33"/>
        <v>18189.357739613642</v>
      </c>
      <c r="D329" s="468">
        <f t="shared" si="34"/>
        <v>44425.148399299331</v>
      </c>
      <c r="E329" s="444">
        <f t="shared" si="31"/>
        <v>115992.02236817036</v>
      </c>
      <c r="F329" s="561">
        <f t="shared" si="35"/>
        <v>0.11599202236817037</v>
      </c>
      <c r="G329" s="444">
        <f t="shared" si="32"/>
        <v>47491.577762049616</v>
      </c>
      <c r="H329" s="462">
        <f t="shared" si="36"/>
        <v>4.7491577762049618E-2</v>
      </c>
    </row>
    <row r="330" spans="1:8">
      <c r="A330" s="151" t="s">
        <v>238</v>
      </c>
      <c r="B330" s="461">
        <f>D208</f>
        <v>6329.461169387755</v>
      </c>
      <c r="C330" s="119">
        <f t="shared" si="33"/>
        <v>18189.357739613642</v>
      </c>
      <c r="D330" s="468">
        <f t="shared" si="34"/>
        <v>44425.148399299331</v>
      </c>
      <c r="E330" s="444">
        <f t="shared" si="31"/>
        <v>347976.06710451108</v>
      </c>
      <c r="F330" s="561">
        <f t="shared" si="35"/>
        <v>0.34797606710451107</v>
      </c>
      <c r="G330" s="444">
        <f t="shared" si="32"/>
        <v>142474.73328614884</v>
      </c>
      <c r="H330" s="462">
        <f t="shared" si="36"/>
        <v>0.14247473328614885</v>
      </c>
    </row>
    <row r="331" spans="1:8">
      <c r="A331" s="151" t="s">
        <v>239</v>
      </c>
      <c r="B331" s="461">
        <f>D209</f>
        <v>8966.7366566326527</v>
      </c>
      <c r="C331" s="119">
        <f t="shared" si="33"/>
        <v>18189.357739613642</v>
      </c>
      <c r="D331" s="468">
        <f t="shared" si="34"/>
        <v>44425.148399299331</v>
      </c>
      <c r="E331" s="444">
        <f t="shared" si="31"/>
        <v>492966.09506472404</v>
      </c>
      <c r="F331" s="561">
        <f t="shared" si="35"/>
        <v>0.49296609506472405</v>
      </c>
      <c r="G331" s="444">
        <f t="shared" si="32"/>
        <v>201839.20548871087</v>
      </c>
      <c r="H331" s="462">
        <f t="shared" si="36"/>
        <v>0.20183920548871087</v>
      </c>
    </row>
    <row r="332" spans="1:8">
      <c r="A332" s="151" t="s">
        <v>248</v>
      </c>
      <c r="B332" s="461">
        <f>D210</f>
        <v>28.666293294868073</v>
      </c>
      <c r="C332" s="119">
        <f t="shared" si="33"/>
        <v>18189.357739613642</v>
      </c>
      <c r="D332" s="468">
        <f t="shared" si="34"/>
        <v>44425.148399299331</v>
      </c>
      <c r="E332" s="444">
        <f t="shared" si="31"/>
        <v>1575.9926054143884</v>
      </c>
      <c r="F332" s="561">
        <f>E332/1000000</f>
        <v>1.5759926054143883E-3</v>
      </c>
      <c r="G332" s="444">
        <f t="shared" si="32"/>
        <v>645.27175097337874</v>
      </c>
      <c r="H332" s="462">
        <f>G332/1000000</f>
        <v>6.4527175097337875E-4</v>
      </c>
    </row>
    <row r="333" spans="1:8" ht="14.65" thickBot="1">
      <c r="A333" s="152" t="s">
        <v>86</v>
      </c>
      <c r="B333" s="463">
        <f>D211</f>
        <v>41.235940250000468</v>
      </c>
      <c r="C333" s="135">
        <f t="shared" si="33"/>
        <v>18189.357739613642</v>
      </c>
      <c r="D333" s="469">
        <f t="shared" si="34"/>
        <v>44425.148399299331</v>
      </c>
      <c r="E333" s="445">
        <f t="shared" si="31"/>
        <v>2267.0366287972274</v>
      </c>
      <c r="F333" s="562">
        <f t="shared" si="35"/>
        <v>2.2670366287972274E-3</v>
      </c>
      <c r="G333" s="445">
        <f t="shared" si="32"/>
        <v>928.21164893735818</v>
      </c>
      <c r="H333" s="464">
        <f t="shared" si="36"/>
        <v>9.2821164893735813E-4</v>
      </c>
    </row>
    <row r="334" spans="1:8">
      <c r="D334" s="654"/>
    </row>
    <row r="335" spans="1:8">
      <c r="A335" s="1" t="s">
        <v>138</v>
      </c>
      <c r="B335" s="1"/>
      <c r="C335" s="79"/>
      <c r="D335" s="79"/>
    </row>
    <row r="336" spans="1:8" ht="14.65" thickBot="1">
      <c r="A336" s="79" t="s">
        <v>358</v>
      </c>
      <c r="B336" s="79"/>
      <c r="C336" s="79"/>
    </row>
    <row r="337" spans="1:3">
      <c r="A337" s="2"/>
      <c r="B337" s="369" t="s">
        <v>614</v>
      </c>
    </row>
    <row r="338" spans="1:3" ht="14.65" thickBot="1">
      <c r="A338" s="5"/>
      <c r="B338" s="319" t="s">
        <v>35</v>
      </c>
    </row>
    <row r="339" spans="1:3" ht="14.65" thickBot="1">
      <c r="A339" s="9" t="s">
        <v>347</v>
      </c>
      <c r="B339" s="627">
        <f>B9</f>
        <v>17500</v>
      </c>
    </row>
    <row r="341" spans="1:3" ht="14.65" thickBot="1">
      <c r="A341" s="120" t="s">
        <v>641</v>
      </c>
      <c r="B341" s="79"/>
      <c r="C341" s="79"/>
    </row>
    <row r="342" spans="1:3" ht="14.65" thickBot="1">
      <c r="A342" s="519"/>
      <c r="B342" s="171" t="s">
        <v>263</v>
      </c>
      <c r="C342" s="9" t="s">
        <v>262</v>
      </c>
    </row>
    <row r="343" spans="1:3">
      <c r="A343" s="115"/>
      <c r="B343" s="624" t="s">
        <v>614</v>
      </c>
      <c r="C343" s="336" t="s">
        <v>614</v>
      </c>
    </row>
    <row r="344" spans="1:3" ht="14.65" thickBot="1">
      <c r="A344" s="133" t="s">
        <v>18</v>
      </c>
      <c r="B344" s="233" t="s">
        <v>70</v>
      </c>
      <c r="C344" s="73" t="s">
        <v>35</v>
      </c>
    </row>
    <row r="345" spans="1:3">
      <c r="A345" s="231" t="s">
        <v>72</v>
      </c>
      <c r="B345" s="413">
        <v>47700</v>
      </c>
      <c r="C345" s="531">
        <f>$B$339*B345/1000000</f>
        <v>834.75</v>
      </c>
    </row>
    <row r="346" spans="1:3">
      <c r="A346" s="232" t="s">
        <v>73</v>
      </c>
      <c r="B346" s="625">
        <v>31</v>
      </c>
      <c r="C346" s="472">
        <f t="shared" ref="C346:C359" si="37">$B$339*B346/1000000</f>
        <v>0.54249999999999998</v>
      </c>
    </row>
    <row r="347" spans="1:3">
      <c r="A347" s="232" t="s">
        <v>74</v>
      </c>
      <c r="B347" s="625">
        <v>85425</v>
      </c>
      <c r="C347" s="472">
        <f t="shared" si="37"/>
        <v>1494.9375</v>
      </c>
    </row>
    <row r="348" spans="1:3">
      <c r="A348" s="232" t="s">
        <v>75</v>
      </c>
      <c r="B348" s="625">
        <v>2.2000000000000002</v>
      </c>
      <c r="C348" s="472">
        <f t="shared" si="37"/>
        <v>3.85E-2</v>
      </c>
    </row>
    <row r="349" spans="1:3">
      <c r="A349" s="232" t="s">
        <v>76</v>
      </c>
      <c r="B349" s="625">
        <v>91</v>
      </c>
      <c r="C349" s="472">
        <f t="shared" si="37"/>
        <v>1.5925</v>
      </c>
    </row>
    <row r="350" spans="1:3">
      <c r="A350" s="232" t="s">
        <v>77</v>
      </c>
      <c r="B350" s="625">
        <v>663</v>
      </c>
      <c r="C350" s="472">
        <f t="shared" si="37"/>
        <v>11.602499999999999</v>
      </c>
    </row>
    <row r="351" spans="1:3">
      <c r="A351" s="232" t="s">
        <v>78</v>
      </c>
      <c r="B351" s="625">
        <v>109000</v>
      </c>
      <c r="C351" s="472">
        <f t="shared" si="37"/>
        <v>1907.5</v>
      </c>
    </row>
    <row r="352" spans="1:3">
      <c r="A352" s="232" t="s">
        <v>79</v>
      </c>
      <c r="B352" s="625">
        <v>9375</v>
      </c>
      <c r="C352" s="472">
        <f t="shared" si="37"/>
        <v>164.0625</v>
      </c>
    </row>
    <row r="353" spans="1:7">
      <c r="A353" s="232" t="s">
        <v>80</v>
      </c>
      <c r="B353" s="625">
        <v>12191.833333333334</v>
      </c>
      <c r="C353" s="472">
        <f t="shared" si="37"/>
        <v>213.35708333333335</v>
      </c>
    </row>
    <row r="354" spans="1:7">
      <c r="A354" s="232" t="s">
        <v>81</v>
      </c>
      <c r="B354" s="625">
        <v>2530</v>
      </c>
      <c r="C354" s="472">
        <f t="shared" si="37"/>
        <v>44.274999999999999</v>
      </c>
    </row>
    <row r="355" spans="1:7">
      <c r="A355" s="232" t="s">
        <v>82</v>
      </c>
      <c r="B355" s="625">
        <v>64.5</v>
      </c>
      <c r="C355" s="472">
        <f t="shared" si="37"/>
        <v>1.1287499999999999</v>
      </c>
    </row>
    <row r="356" spans="1:7">
      <c r="A356" s="232" t="s">
        <v>83</v>
      </c>
      <c r="B356" s="625">
        <v>70700</v>
      </c>
      <c r="C356" s="472">
        <f t="shared" si="37"/>
        <v>1237.25</v>
      </c>
    </row>
    <row r="357" spans="1:7">
      <c r="A357" s="232" t="s">
        <v>84</v>
      </c>
      <c r="B357" s="625">
        <v>117</v>
      </c>
      <c r="C357" s="472">
        <f t="shared" si="37"/>
        <v>2.0474999999999999</v>
      </c>
    </row>
    <row r="358" spans="1:7">
      <c r="A358" s="232" t="s">
        <v>85</v>
      </c>
      <c r="B358" s="625">
        <v>5857.8888888888887</v>
      </c>
      <c r="C358" s="472">
        <f t="shared" si="37"/>
        <v>102.51305555555555</v>
      </c>
    </row>
    <row r="359" spans="1:7" ht="14.65" thickBot="1">
      <c r="A359" s="233" t="s">
        <v>86</v>
      </c>
      <c r="B359" s="626">
        <v>2260</v>
      </c>
      <c r="C359" s="756">
        <f t="shared" si="37"/>
        <v>39.549999999999997</v>
      </c>
    </row>
    <row r="361" spans="1:7" ht="14.65" thickBot="1">
      <c r="A361" s="79" t="s">
        <v>645</v>
      </c>
    </row>
    <row r="362" spans="1:7" ht="14.65" thickBot="1">
      <c r="A362" s="419"/>
      <c r="B362" s="1019" t="s">
        <v>262</v>
      </c>
      <c r="C362" s="1021"/>
      <c r="D362" s="1021"/>
      <c r="E362" s="1020"/>
      <c r="F362" s="1019" t="s">
        <v>263</v>
      </c>
      <c r="G362" s="1020"/>
    </row>
    <row r="363" spans="1:7">
      <c r="A363" s="92" t="s">
        <v>93</v>
      </c>
      <c r="B363" s="266" t="s">
        <v>136</v>
      </c>
      <c r="C363" s="274" t="s">
        <v>618</v>
      </c>
      <c r="D363" s="274" t="s">
        <v>142</v>
      </c>
      <c r="E363" s="324" t="s">
        <v>619</v>
      </c>
      <c r="F363" s="1022" t="s">
        <v>459</v>
      </c>
      <c r="G363" s="1023"/>
    </row>
    <row r="364" spans="1:7" ht="14.65" thickBot="1">
      <c r="A364" s="93" t="s">
        <v>297</v>
      </c>
      <c r="B364" s="153" t="s">
        <v>35</v>
      </c>
      <c r="C364" s="154" t="s">
        <v>35</v>
      </c>
      <c r="D364" s="154" t="s">
        <v>35</v>
      </c>
      <c r="E364" s="423" t="s">
        <v>35</v>
      </c>
      <c r="F364" s="403" t="s">
        <v>257</v>
      </c>
      <c r="G364" s="155" t="s">
        <v>237</v>
      </c>
    </row>
    <row r="365" spans="1:7">
      <c r="A365" s="148" t="s">
        <v>72</v>
      </c>
      <c r="B365" s="459">
        <f>B285</f>
        <v>749.94286897593634</v>
      </c>
      <c r="C365" s="160">
        <f>C345</f>
        <v>834.75</v>
      </c>
      <c r="D365" s="141">
        <f>B365+C365</f>
        <v>1584.6928689759363</v>
      </c>
      <c r="E365" s="501">
        <f>$C$268+$B$339</f>
        <v>34530.516350292601</v>
      </c>
      <c r="F365" s="443">
        <f t="shared" ref="F365:F381" si="38">D365/E365*1000000</f>
        <v>45892.533227714332</v>
      </c>
      <c r="G365" s="460">
        <f>F365/1000000</f>
        <v>4.5892533227714333E-2</v>
      </c>
    </row>
    <row r="366" spans="1:7">
      <c r="A366" s="149" t="s">
        <v>73</v>
      </c>
      <c r="B366" s="461">
        <f>B286</f>
        <v>3.3119321292839343E-2</v>
      </c>
      <c r="C366" s="119">
        <f>C346</f>
        <v>0.54249999999999998</v>
      </c>
      <c r="D366" s="89">
        <f t="shared" ref="D366:D381" si="39">B366+C366</f>
        <v>0.57561932129283933</v>
      </c>
      <c r="E366" s="502">
        <f>$C$268+$B$339</f>
        <v>34530.516350292601</v>
      </c>
      <c r="F366" s="444">
        <f t="shared" si="38"/>
        <v>16.66987297419784</v>
      </c>
      <c r="G366" s="462">
        <f t="shared" ref="G366:G381" si="40">F366/1000000</f>
        <v>1.6669872974197839E-5</v>
      </c>
    </row>
    <row r="367" spans="1:7">
      <c r="A367" s="149" t="s">
        <v>74</v>
      </c>
      <c r="B367" s="461">
        <f t="shared" ref="B367:B375" si="41">B287</f>
        <v>425.3692763447084</v>
      </c>
      <c r="C367" s="119">
        <f t="shared" ref="C367:C374" si="42">C347</f>
        <v>1494.9375</v>
      </c>
      <c r="D367" s="89">
        <f t="shared" si="39"/>
        <v>1920.3067763447084</v>
      </c>
      <c r="E367" s="502">
        <f t="shared" ref="E367:E380" si="43">$C$268+$B$339</f>
        <v>34530.516350292601</v>
      </c>
      <c r="F367" s="444">
        <f t="shared" si="38"/>
        <v>55611.875503519259</v>
      </c>
      <c r="G367" s="462">
        <f t="shared" si="40"/>
        <v>5.5611875503519259E-2</v>
      </c>
    </row>
    <row r="368" spans="1:7">
      <c r="A368" s="149" t="s">
        <v>75</v>
      </c>
      <c r="B368" s="461">
        <f t="shared" si="41"/>
        <v>1.3840407025637685E-2</v>
      </c>
      <c r="C368" s="119">
        <f t="shared" si="42"/>
        <v>3.85E-2</v>
      </c>
      <c r="D368" s="89">
        <f t="shared" si="39"/>
        <v>5.2340407025637685E-2</v>
      </c>
      <c r="E368" s="502">
        <f t="shared" si="43"/>
        <v>34530.516350292601</v>
      </c>
      <c r="F368" s="444">
        <f t="shared" si="38"/>
        <v>1.5157724980036151</v>
      </c>
      <c r="G368" s="462">
        <f t="shared" si="40"/>
        <v>1.5157724980036151E-6</v>
      </c>
    </row>
    <row r="369" spans="1:7">
      <c r="A369" s="149" t="s">
        <v>76</v>
      </c>
      <c r="B369" s="461">
        <f t="shared" si="41"/>
        <v>0.81088407251271644</v>
      </c>
      <c r="C369" s="119">
        <f t="shared" si="42"/>
        <v>1.5925</v>
      </c>
      <c r="D369" s="89">
        <f t="shared" si="39"/>
        <v>2.4033840725127167</v>
      </c>
      <c r="E369" s="502">
        <f t="shared" si="43"/>
        <v>34530.516350292601</v>
      </c>
      <c r="F369" s="444">
        <f t="shared" si="38"/>
        <v>69.601741489520222</v>
      </c>
      <c r="G369" s="462">
        <f t="shared" si="40"/>
        <v>6.9601741489520229E-5</v>
      </c>
    </row>
    <row r="370" spans="1:7">
      <c r="A370" s="150" t="s">
        <v>77</v>
      </c>
      <c r="B370" s="461">
        <f t="shared" si="41"/>
        <v>3.6363421783059735E-2</v>
      </c>
      <c r="C370" s="119">
        <f t="shared" si="42"/>
        <v>11.602499999999999</v>
      </c>
      <c r="D370" s="89">
        <f t="shared" si="39"/>
        <v>11.638863421783059</v>
      </c>
      <c r="E370" s="502">
        <f t="shared" si="43"/>
        <v>34530.516350292601</v>
      </c>
      <c r="F370" s="444">
        <f t="shared" si="38"/>
        <v>337.06021953779543</v>
      </c>
      <c r="G370" s="462">
        <f t="shared" si="40"/>
        <v>3.3706021953779542E-4</v>
      </c>
    </row>
    <row r="371" spans="1:7">
      <c r="A371" s="150" t="s">
        <v>78</v>
      </c>
      <c r="B371" s="461">
        <f t="shared" si="41"/>
        <v>604.6466249739716</v>
      </c>
      <c r="C371" s="119">
        <f t="shared" si="42"/>
        <v>1907.5</v>
      </c>
      <c r="D371" s="89">
        <f t="shared" si="39"/>
        <v>2512.1466249739715</v>
      </c>
      <c r="E371" s="502">
        <f t="shared" si="43"/>
        <v>34530.516350292601</v>
      </c>
      <c r="F371" s="444">
        <f t="shared" si="38"/>
        <v>72751.493186191074</v>
      </c>
      <c r="G371" s="462">
        <f t="shared" si="40"/>
        <v>7.2751493186191077E-2</v>
      </c>
    </row>
    <row r="372" spans="1:7">
      <c r="A372" s="150" t="s">
        <v>79</v>
      </c>
      <c r="B372" s="461">
        <f t="shared" si="41"/>
        <v>124.40301527266575</v>
      </c>
      <c r="C372" s="119">
        <f t="shared" si="42"/>
        <v>164.0625</v>
      </c>
      <c r="D372" s="89">
        <f t="shared" si="39"/>
        <v>288.46551527266575</v>
      </c>
      <c r="E372" s="502">
        <f t="shared" si="43"/>
        <v>34530.516350292601</v>
      </c>
      <c r="F372" s="444">
        <f t="shared" si="38"/>
        <v>8353.9299657829015</v>
      </c>
      <c r="G372" s="462">
        <f t="shared" si="40"/>
        <v>8.3539299657829011E-3</v>
      </c>
    </row>
    <row r="373" spans="1:7">
      <c r="A373" s="150" t="s">
        <v>80</v>
      </c>
      <c r="B373" s="461">
        <f t="shared" si="41"/>
        <v>183.84549225215687</v>
      </c>
      <c r="C373" s="119">
        <f t="shared" si="42"/>
        <v>213.35708333333335</v>
      </c>
      <c r="D373" s="89">
        <f t="shared" si="39"/>
        <v>397.20257558549019</v>
      </c>
      <c r="E373" s="502">
        <f t="shared" si="43"/>
        <v>34530.516350292601</v>
      </c>
      <c r="F373" s="444">
        <f t="shared" si="38"/>
        <v>11502.943412606235</v>
      </c>
      <c r="G373" s="462">
        <f t="shared" si="40"/>
        <v>1.1502943412606235E-2</v>
      </c>
    </row>
    <row r="374" spans="1:7">
      <c r="A374" s="150" t="s">
        <v>81</v>
      </c>
      <c r="B374" s="461">
        <f t="shared" si="41"/>
        <v>140.18512674786865</v>
      </c>
      <c r="C374" s="119">
        <f t="shared" si="42"/>
        <v>44.274999999999999</v>
      </c>
      <c r="D374" s="89">
        <f t="shared" si="39"/>
        <v>184.46012674786866</v>
      </c>
      <c r="E374" s="502">
        <f t="shared" si="43"/>
        <v>34530.516350292601</v>
      </c>
      <c r="F374" s="444">
        <f t="shared" si="38"/>
        <v>5341.9452196029961</v>
      </c>
      <c r="G374" s="462">
        <f t="shared" si="40"/>
        <v>5.3419452196029962E-3</v>
      </c>
    </row>
    <row r="375" spans="1:7">
      <c r="A375" s="150" t="s">
        <v>82</v>
      </c>
      <c r="B375" s="461">
        <f t="shared" si="41"/>
        <v>0.77887980604109552</v>
      </c>
      <c r="C375" s="119">
        <f>C355</f>
        <v>1.1287499999999999</v>
      </c>
      <c r="D375" s="89">
        <f t="shared" si="39"/>
        <v>1.9076298060410954</v>
      </c>
      <c r="E375" s="502">
        <f t="shared" si="43"/>
        <v>34530.516350292601</v>
      </c>
      <c r="F375" s="444">
        <f t="shared" si="38"/>
        <v>55.244751821527011</v>
      </c>
      <c r="G375" s="462">
        <f t="shared" si="40"/>
        <v>5.5244751821527013E-5</v>
      </c>
    </row>
    <row r="376" spans="1:7">
      <c r="A376" s="150" t="s">
        <v>630</v>
      </c>
      <c r="B376" s="461">
        <f>B296</f>
        <v>1341.8616375144429</v>
      </c>
      <c r="C376" s="119">
        <f>C356</f>
        <v>1237.25</v>
      </c>
      <c r="D376" s="89">
        <f t="shared" si="39"/>
        <v>2579.1116375144429</v>
      </c>
      <c r="E376" s="502">
        <f t="shared" si="43"/>
        <v>34530.516350292601</v>
      </c>
      <c r="F376" s="444">
        <f t="shared" si="38"/>
        <v>74690.792670193841</v>
      </c>
      <c r="G376" s="462">
        <f t="shared" si="40"/>
        <v>7.4690792670193837E-2</v>
      </c>
    </row>
    <row r="377" spans="1:7">
      <c r="A377" s="150" t="s">
        <v>96</v>
      </c>
      <c r="B377" s="461">
        <f>B297</f>
        <v>3222.9719387755099</v>
      </c>
      <c r="C377" s="119">
        <v>0</v>
      </c>
      <c r="D377" s="89">
        <f t="shared" si="39"/>
        <v>3222.9719387755099</v>
      </c>
      <c r="E377" s="502">
        <f t="shared" si="43"/>
        <v>34530.516350292601</v>
      </c>
      <c r="F377" s="444">
        <f t="shared" si="38"/>
        <v>93336.917006403222</v>
      </c>
      <c r="G377" s="462">
        <f t="shared" si="40"/>
        <v>9.3336917006403217E-2</v>
      </c>
    </row>
    <row r="378" spans="1:7">
      <c r="A378" s="582" t="s">
        <v>97</v>
      </c>
      <c r="B378" s="461">
        <f>B298</f>
        <v>4564.8335762899524</v>
      </c>
      <c r="C378" s="119">
        <f>C376+C377</f>
        <v>1237.25</v>
      </c>
      <c r="D378" s="89">
        <f t="shared" si="39"/>
        <v>5802.0835762899524</v>
      </c>
      <c r="E378" s="502">
        <f t="shared" si="43"/>
        <v>34530.516350292601</v>
      </c>
      <c r="F378" s="480">
        <f t="shared" si="38"/>
        <v>168027.70967659706</v>
      </c>
      <c r="G378" s="583">
        <f t="shared" si="40"/>
        <v>0.16802770967659705</v>
      </c>
    </row>
    <row r="379" spans="1:7">
      <c r="A379" s="186" t="s">
        <v>84</v>
      </c>
      <c r="B379" s="461">
        <f>B299</f>
        <v>0.47237390936340629</v>
      </c>
      <c r="C379" s="119">
        <f>C357</f>
        <v>2.0474999999999999</v>
      </c>
      <c r="D379" s="89">
        <f t="shared" si="39"/>
        <v>2.5198739093634064</v>
      </c>
      <c r="E379" s="502">
        <f t="shared" si="43"/>
        <v>34530.516350292601</v>
      </c>
      <c r="F379" s="444">
        <f t="shared" si="38"/>
        <v>72.975274502144927</v>
      </c>
      <c r="G379" s="462">
        <f t="shared" si="40"/>
        <v>7.2975274502144931E-5</v>
      </c>
    </row>
    <row r="380" spans="1:7">
      <c r="A380" s="150" t="s">
        <v>85</v>
      </c>
      <c r="B380" s="461">
        <f t="shared" ref="B380" si="44">B300</f>
        <v>0</v>
      </c>
      <c r="C380" s="119">
        <f>C358</f>
        <v>102.51305555555555</v>
      </c>
      <c r="D380" s="89">
        <f t="shared" si="39"/>
        <v>102.51305555555555</v>
      </c>
      <c r="E380" s="502">
        <f t="shared" si="43"/>
        <v>34530.516350292601</v>
      </c>
      <c r="F380" s="444">
        <f t="shared" si="38"/>
        <v>2968.766945608877</v>
      </c>
      <c r="G380" s="462">
        <f t="shared" si="40"/>
        <v>2.9687669456088771E-3</v>
      </c>
    </row>
    <row r="381" spans="1:7" ht="14.65" thickBot="1">
      <c r="A381" s="152" t="s">
        <v>86</v>
      </c>
      <c r="B381" s="463">
        <f>B306</f>
        <v>0.92305974999953122</v>
      </c>
      <c r="C381" s="135">
        <f>C359</f>
        <v>39.549999999999997</v>
      </c>
      <c r="D381" s="94">
        <f t="shared" si="39"/>
        <v>40.473059749999528</v>
      </c>
      <c r="E381" s="503">
        <f>$C$268+$B$339</f>
        <v>34530.516350292601</v>
      </c>
      <c r="F381" s="445">
        <f t="shared" si="38"/>
        <v>1172.095410894618</v>
      </c>
      <c r="G381" s="464">
        <f t="shared" si="40"/>
        <v>1.172095410894618E-3</v>
      </c>
    </row>
    <row r="383" spans="1:7">
      <c r="A383" s="329" t="s">
        <v>144</v>
      </c>
      <c r="B383" s="329"/>
      <c r="C383" s="329"/>
      <c r="D383" s="329"/>
      <c r="E383" s="329"/>
    </row>
    <row r="384" spans="1:7">
      <c r="A384" s="329" t="s">
        <v>315</v>
      </c>
      <c r="B384" s="329"/>
      <c r="C384" s="329"/>
      <c r="D384" s="329"/>
      <c r="E384" s="329"/>
    </row>
    <row r="385" spans="1:5">
      <c r="A385" s="329" t="s">
        <v>312</v>
      </c>
      <c r="B385" s="329"/>
      <c r="C385" s="329"/>
      <c r="D385" s="329"/>
      <c r="E385" s="329"/>
    </row>
    <row r="387" spans="1:5" ht="14.65" hidden="1" thickBot="1">
      <c r="A387" s="329" t="s">
        <v>637</v>
      </c>
    </row>
    <row r="388" spans="1:5" hidden="1">
      <c r="A388" s="388" t="s">
        <v>93</v>
      </c>
      <c r="B388" s="323" t="s">
        <v>146</v>
      </c>
      <c r="C388" s="324" t="s">
        <v>147</v>
      </c>
      <c r="D388" s="1077" t="s">
        <v>459</v>
      </c>
      <c r="E388" s="1078"/>
    </row>
    <row r="389" spans="1:5" ht="14.65" hidden="1" thickBot="1">
      <c r="A389" s="220"/>
      <c r="B389" s="403" t="s">
        <v>35</v>
      </c>
      <c r="C389" s="423" t="s">
        <v>35</v>
      </c>
      <c r="D389" s="403" t="s">
        <v>70</v>
      </c>
      <c r="E389" s="155" t="s">
        <v>237</v>
      </c>
    </row>
    <row r="390" spans="1:5" hidden="1">
      <c r="A390" s="477" t="s">
        <v>148</v>
      </c>
      <c r="B390" s="159">
        <f>B378</f>
        <v>4564.8335762899524</v>
      </c>
      <c r="C390" s="501">
        <f>$C$268</f>
        <v>17030.516350292597</v>
      </c>
      <c r="D390" s="227">
        <f>B390/C390*1000000</f>
        <v>268038.47178782255</v>
      </c>
      <c r="E390" s="475">
        <f>D390/1000000</f>
        <v>0.26803847178782253</v>
      </c>
    </row>
    <row r="391" spans="1:5" hidden="1">
      <c r="A391" s="150" t="s">
        <v>620</v>
      </c>
      <c r="B391" s="161">
        <f>C378</f>
        <v>1237.25</v>
      </c>
      <c r="C391" s="502">
        <f>$B$339</f>
        <v>17500</v>
      </c>
      <c r="D391" s="229">
        <f>B391/C391*1000000</f>
        <v>70700</v>
      </c>
      <c r="E391" s="476">
        <f>D391/1000000</f>
        <v>7.0699999999999999E-2</v>
      </c>
    </row>
    <row r="392" spans="1:5" hidden="1">
      <c r="A392" s="478" t="s">
        <v>621</v>
      </c>
      <c r="B392" s="480">
        <f>C392*31/98</f>
        <v>0</v>
      </c>
      <c r="C392" s="587">
        <v>0</v>
      </c>
      <c r="D392" s="229" t="s">
        <v>237</v>
      </c>
      <c r="E392" s="476" t="s">
        <v>237</v>
      </c>
    </row>
    <row r="393" spans="1:5" ht="14.65" hidden="1" thickBot="1">
      <c r="A393" s="479" t="s">
        <v>306</v>
      </c>
      <c r="B393" s="162">
        <f>SUM($B$390:$B$392)</f>
        <v>5802.0835762899524</v>
      </c>
      <c r="C393" s="503">
        <f>SUM($C$390:$C$392)</f>
        <v>34530.516350292601</v>
      </c>
      <c r="D393" s="588">
        <f>B393/C393*1000000</f>
        <v>168027.70967659706</v>
      </c>
      <c r="E393" s="584">
        <f>D393/1000000</f>
        <v>0.16802770967659705</v>
      </c>
    </row>
    <row r="394" spans="1:5" hidden="1"/>
    <row r="395" spans="1:5" ht="14.65" hidden="1" thickBot="1">
      <c r="A395" s="79" t="s">
        <v>638</v>
      </c>
    </row>
    <row r="396" spans="1:5" ht="14.65" hidden="1" thickBot="1">
      <c r="A396" s="139"/>
      <c r="B396" s="102" t="s">
        <v>18</v>
      </c>
      <c r="C396" s="17" t="s">
        <v>106</v>
      </c>
    </row>
    <row r="397" spans="1:5" hidden="1">
      <c r="A397" s="332" t="s">
        <v>438</v>
      </c>
      <c r="B397" s="55" t="s">
        <v>35</v>
      </c>
      <c r="C397" s="334">
        <f>$C$392</f>
        <v>0</v>
      </c>
    </row>
    <row r="398" spans="1:5" ht="14.65" hidden="1" thickBot="1">
      <c r="A398" s="333" t="s">
        <v>639</v>
      </c>
      <c r="B398" s="381" t="s">
        <v>35</v>
      </c>
      <c r="C398" s="335">
        <f>C397/75%*25%</f>
        <v>0</v>
      </c>
      <c r="D398" s="99"/>
    </row>
    <row r="399" spans="1:5" hidden="1"/>
    <row r="400" spans="1:5">
      <c r="A400" s="329" t="s">
        <v>316</v>
      </c>
    </row>
    <row r="401" spans="1:4">
      <c r="A401" s="329" t="s">
        <v>317</v>
      </c>
    </row>
    <row r="402" spans="1:4">
      <c r="A402" s="329"/>
    </row>
    <row r="403" spans="1:4" ht="14.65" thickBot="1">
      <c r="A403" s="329" t="s">
        <v>310</v>
      </c>
    </row>
    <row r="404" spans="1:4">
      <c r="A404" s="664" t="s">
        <v>64</v>
      </c>
      <c r="B404" s="665" t="s">
        <v>24</v>
      </c>
      <c r="C404" s="666">
        <v>0.45</v>
      </c>
    </row>
    <row r="405" spans="1:4" ht="14.65" thickBot="1">
      <c r="A405" s="667" t="s">
        <v>66</v>
      </c>
      <c r="B405" s="284" t="s">
        <v>24</v>
      </c>
      <c r="C405" s="663">
        <v>0.55000000000000004</v>
      </c>
    </row>
    <row r="406" spans="1:4">
      <c r="A406" s="329"/>
    </row>
    <row r="407" spans="1:4" ht="14.65" thickBot="1">
      <c r="A407" s="329" t="s">
        <v>363</v>
      </c>
    </row>
    <row r="408" spans="1:4" ht="14.65" thickBot="1">
      <c r="A408" s="103"/>
      <c r="B408" s="102" t="s">
        <v>18</v>
      </c>
      <c r="C408" s="17" t="s">
        <v>106</v>
      </c>
    </row>
    <row r="409" spans="1:4">
      <c r="A409" s="272" t="s">
        <v>341</v>
      </c>
      <c r="B409" s="298" t="s">
        <v>35</v>
      </c>
      <c r="C409" s="669">
        <f>$C$268</f>
        <v>17030.516350292597</v>
      </c>
    </row>
    <row r="410" spans="1:4">
      <c r="A410" s="257" t="s">
        <v>607</v>
      </c>
      <c r="B410" s="346" t="s">
        <v>35</v>
      </c>
      <c r="C410" s="347">
        <f>$B$339</f>
        <v>17500</v>
      </c>
    </row>
    <row r="411" spans="1:4" ht="14.65" thickBot="1">
      <c r="A411" s="360" t="s">
        <v>309</v>
      </c>
      <c r="B411" s="320" t="s">
        <v>35</v>
      </c>
      <c r="C411" s="668">
        <f>C409+C410</f>
        <v>34530.516350292601</v>
      </c>
    </row>
    <row r="412" spans="1:4">
      <c r="A412" s="276" t="s">
        <v>345</v>
      </c>
      <c r="B412" s="296" t="s">
        <v>35</v>
      </c>
      <c r="C412" s="342">
        <f>C411/C404*C405</f>
        <v>42203.964428135405</v>
      </c>
    </row>
    <row r="413" spans="1:4" ht="14.65" thickBot="1">
      <c r="A413" s="360" t="s">
        <v>342</v>
      </c>
      <c r="B413" s="320" t="s">
        <v>35</v>
      </c>
      <c r="C413" s="668">
        <f>$C$277</f>
        <v>57437.817048532896</v>
      </c>
    </row>
    <row r="415" spans="1:4">
      <c r="A415" s="329" t="s">
        <v>313</v>
      </c>
      <c r="D415" s="329"/>
    </row>
    <row r="417" spans="1:3" ht="14.65" thickBot="1">
      <c r="A417" s="79" t="s">
        <v>289</v>
      </c>
    </row>
    <row r="418" spans="1:3" ht="14.65" thickBot="1">
      <c r="A418" s="103" t="s">
        <v>53</v>
      </c>
      <c r="B418" s="102" t="s">
        <v>18</v>
      </c>
      <c r="C418" s="17" t="s">
        <v>106</v>
      </c>
    </row>
    <row r="419" spans="1:3">
      <c r="A419" s="336" t="s">
        <v>9</v>
      </c>
      <c r="B419" s="269" t="s">
        <v>35</v>
      </c>
      <c r="C419" s="328">
        <f>$C$251</f>
        <v>74468.333398825489</v>
      </c>
    </row>
    <row r="420" spans="1:3" ht="14.65" thickBot="1">
      <c r="A420" s="672" t="s">
        <v>607</v>
      </c>
      <c r="B420" s="351" t="s">
        <v>35</v>
      </c>
      <c r="C420" s="673">
        <f>B339</f>
        <v>17500</v>
      </c>
    </row>
    <row r="422" spans="1:3" ht="14.65" thickBot="1">
      <c r="A422" s="79" t="s">
        <v>290</v>
      </c>
    </row>
    <row r="423" spans="1:3" ht="14.65" thickBot="1">
      <c r="A423" s="103" t="s">
        <v>90</v>
      </c>
      <c r="B423" s="102" t="s">
        <v>18</v>
      </c>
      <c r="C423" s="17" t="s">
        <v>91</v>
      </c>
    </row>
    <row r="424" spans="1:3">
      <c r="A424" s="276" t="s">
        <v>9</v>
      </c>
      <c r="B424" s="296" t="s">
        <v>35</v>
      </c>
      <c r="C424" s="286">
        <f>$C$251</f>
        <v>74468.333398825489</v>
      </c>
    </row>
    <row r="425" spans="1:3">
      <c r="A425" s="276" t="s">
        <v>607</v>
      </c>
      <c r="B425" s="341" t="s">
        <v>35</v>
      </c>
      <c r="C425" s="342">
        <f>B339</f>
        <v>17500</v>
      </c>
    </row>
    <row r="426" spans="1:3" ht="14.65" thickBot="1">
      <c r="A426" s="255" t="s">
        <v>305</v>
      </c>
      <c r="B426" s="271" t="s">
        <v>35</v>
      </c>
      <c r="C426" s="256">
        <f>SUM(C424:C425)</f>
        <v>91968.333398825489</v>
      </c>
    </row>
    <row r="428" spans="1:3" ht="14.65" thickBot="1">
      <c r="A428" s="79" t="s">
        <v>307</v>
      </c>
      <c r="B428" s="79"/>
      <c r="C428" s="79"/>
    </row>
    <row r="429" spans="1:3" ht="14.65" thickBot="1">
      <c r="A429" s="191" t="s">
        <v>90</v>
      </c>
      <c r="B429" s="192" t="s">
        <v>18</v>
      </c>
      <c r="C429" s="193" t="s">
        <v>106</v>
      </c>
    </row>
    <row r="430" spans="1:3">
      <c r="A430" s="272" t="s">
        <v>341</v>
      </c>
      <c r="B430" s="298" t="s">
        <v>35</v>
      </c>
      <c r="C430" s="294">
        <f>$C$268</f>
        <v>17030.516350292597</v>
      </c>
    </row>
    <row r="431" spans="1:3">
      <c r="A431" s="257" t="s">
        <v>607</v>
      </c>
      <c r="B431" s="346" t="s">
        <v>35</v>
      </c>
      <c r="C431" s="347">
        <f>B339</f>
        <v>17500</v>
      </c>
    </row>
    <row r="432" spans="1:3">
      <c r="A432" s="257" t="s">
        <v>309</v>
      </c>
      <c r="B432" s="278" t="s">
        <v>35</v>
      </c>
      <c r="C432" s="279">
        <f>C430+C431</f>
        <v>34530.516350292601</v>
      </c>
    </row>
    <row r="433" spans="1:8">
      <c r="A433" s="257" t="s">
        <v>305</v>
      </c>
      <c r="B433" s="278" t="s">
        <v>35</v>
      </c>
      <c r="C433" s="279">
        <f>$C$426</f>
        <v>91968.333398825489</v>
      </c>
    </row>
    <row r="434" spans="1:8">
      <c r="A434" s="299" t="s">
        <v>64</v>
      </c>
      <c r="B434" s="260" t="s">
        <v>24</v>
      </c>
      <c r="C434" s="300">
        <f>C432/C433</f>
        <v>0.37546093393417501</v>
      </c>
    </row>
    <row r="435" spans="1:8">
      <c r="A435" s="257" t="s">
        <v>342</v>
      </c>
      <c r="B435" s="278" t="s">
        <v>35</v>
      </c>
      <c r="C435" s="279">
        <f>$C$277</f>
        <v>57437.817048532896</v>
      </c>
    </row>
    <row r="436" spans="1:8">
      <c r="A436" s="257" t="s">
        <v>345</v>
      </c>
      <c r="B436" s="278" t="s">
        <v>35</v>
      </c>
      <c r="C436" s="279">
        <f>C435</f>
        <v>57437.817048532896</v>
      </c>
    </row>
    <row r="437" spans="1:8">
      <c r="A437" s="257" t="s">
        <v>305</v>
      </c>
      <c r="B437" s="278" t="s">
        <v>35</v>
      </c>
      <c r="C437" s="279">
        <f>$C$426</f>
        <v>91968.333398825489</v>
      </c>
    </row>
    <row r="438" spans="1:8" ht="14.65" thickBot="1">
      <c r="A438" s="301" t="s">
        <v>66</v>
      </c>
      <c r="B438" s="277" t="s">
        <v>24</v>
      </c>
      <c r="C438" s="303">
        <f>C436/C437</f>
        <v>0.62453906606582499</v>
      </c>
    </row>
    <row r="440" spans="1:8" ht="14.65" thickBot="1">
      <c r="A440" s="79" t="s">
        <v>308</v>
      </c>
    </row>
    <row r="441" spans="1:8" ht="14.65" thickBot="1">
      <c r="A441" s="482"/>
      <c r="B441" s="515" t="s">
        <v>262</v>
      </c>
      <c r="C441" s="516"/>
      <c r="D441" s="516"/>
      <c r="E441" s="516"/>
      <c r="F441" s="517"/>
      <c r="G441" s="1028" t="s">
        <v>263</v>
      </c>
      <c r="H441" s="1031"/>
    </row>
    <row r="442" spans="1:8">
      <c r="A442" s="219" t="s">
        <v>93</v>
      </c>
      <c r="B442" s="377" t="s">
        <v>136</v>
      </c>
      <c r="C442" s="421" t="s">
        <v>618</v>
      </c>
      <c r="D442" s="421" t="s">
        <v>153</v>
      </c>
      <c r="E442" s="421" t="s">
        <v>142</v>
      </c>
      <c r="F442" s="418" t="s">
        <v>309</v>
      </c>
      <c r="G442" s="1026" t="s">
        <v>459</v>
      </c>
      <c r="H442" s="1027"/>
    </row>
    <row r="443" spans="1:8" ht="14.65" thickBot="1">
      <c r="A443" s="220"/>
      <c r="B443" s="586" t="s">
        <v>35</v>
      </c>
      <c r="C443" s="349" t="s">
        <v>35</v>
      </c>
      <c r="D443" s="349" t="s">
        <v>35</v>
      </c>
      <c r="E443" s="349" t="s">
        <v>35</v>
      </c>
      <c r="F443" s="522" t="s">
        <v>35</v>
      </c>
      <c r="G443" s="403" t="s">
        <v>257</v>
      </c>
      <c r="H443" s="155" t="s">
        <v>237</v>
      </c>
    </row>
    <row r="444" spans="1:8">
      <c r="A444" s="148" t="s">
        <v>72</v>
      </c>
      <c r="B444" s="590">
        <f>B365</f>
        <v>749.94286897593634</v>
      </c>
      <c r="C444" s="591">
        <f>C365</f>
        <v>834.75</v>
      </c>
      <c r="D444" s="591">
        <v>0</v>
      </c>
      <c r="E444" s="591">
        <f>B444+C444+D444</f>
        <v>1584.6928689759363</v>
      </c>
      <c r="F444" s="661">
        <f>$C$432</f>
        <v>34530.516350292601</v>
      </c>
      <c r="G444" s="557">
        <f>E444/F444*1000000</f>
        <v>45892.533227714332</v>
      </c>
      <c r="H444" s="460">
        <f>G444/1000000</f>
        <v>4.5892533227714333E-2</v>
      </c>
    </row>
    <row r="445" spans="1:8">
      <c r="A445" s="149" t="s">
        <v>73</v>
      </c>
      <c r="B445" s="592">
        <f>B366</f>
        <v>3.3119321292839343E-2</v>
      </c>
      <c r="C445" s="364">
        <f>C366</f>
        <v>0.54249999999999998</v>
      </c>
      <c r="D445" s="364">
        <v>0</v>
      </c>
      <c r="E445" s="364">
        <f t="shared" ref="E445:E458" si="45">B445+C445+D445</f>
        <v>0.57561932129283933</v>
      </c>
      <c r="F445" s="658">
        <f t="shared" ref="F445:F458" si="46">$C$432</f>
        <v>34530.516350292601</v>
      </c>
      <c r="G445" s="558">
        <f t="shared" ref="G445:G457" si="47">E445/F445*1000000</f>
        <v>16.66987297419784</v>
      </c>
      <c r="H445" s="462">
        <f t="shared" ref="H445:H458" si="48">G445/1000000</f>
        <v>1.6669872974197839E-5</v>
      </c>
    </row>
    <row r="446" spans="1:8">
      <c r="A446" s="149" t="s">
        <v>74</v>
      </c>
      <c r="B446" s="592">
        <f t="shared" ref="B446:C453" si="49">B367</f>
        <v>425.3692763447084</v>
      </c>
      <c r="C446" s="364">
        <f t="shared" si="49"/>
        <v>1494.9375</v>
      </c>
      <c r="D446" s="364">
        <v>0</v>
      </c>
      <c r="E446" s="364">
        <f t="shared" si="45"/>
        <v>1920.3067763447084</v>
      </c>
      <c r="F446" s="658">
        <f t="shared" si="46"/>
        <v>34530.516350292601</v>
      </c>
      <c r="G446" s="558">
        <f t="shared" si="47"/>
        <v>55611.875503519259</v>
      </c>
      <c r="H446" s="462">
        <f t="shared" si="48"/>
        <v>5.5611875503519259E-2</v>
      </c>
    </row>
    <row r="447" spans="1:8">
      <c r="A447" s="149" t="s">
        <v>75</v>
      </c>
      <c r="B447" s="592">
        <f t="shared" si="49"/>
        <v>1.3840407025637685E-2</v>
      </c>
      <c r="C447" s="364">
        <f t="shared" si="49"/>
        <v>3.85E-2</v>
      </c>
      <c r="D447" s="364">
        <v>0</v>
      </c>
      <c r="E447" s="364">
        <f t="shared" si="45"/>
        <v>5.2340407025637685E-2</v>
      </c>
      <c r="F447" s="658">
        <f t="shared" si="46"/>
        <v>34530.516350292601</v>
      </c>
      <c r="G447" s="558">
        <f t="shared" si="47"/>
        <v>1.5157724980036151</v>
      </c>
      <c r="H447" s="462">
        <f t="shared" si="48"/>
        <v>1.5157724980036151E-6</v>
      </c>
    </row>
    <row r="448" spans="1:8">
      <c r="A448" s="149" t="s">
        <v>76</v>
      </c>
      <c r="B448" s="592">
        <f t="shared" si="49"/>
        <v>0.81088407251271644</v>
      </c>
      <c r="C448" s="364">
        <f t="shared" si="49"/>
        <v>1.5925</v>
      </c>
      <c r="D448" s="364">
        <v>0</v>
      </c>
      <c r="E448" s="364">
        <f t="shared" si="45"/>
        <v>2.4033840725127167</v>
      </c>
      <c r="F448" s="658">
        <f t="shared" si="46"/>
        <v>34530.516350292601</v>
      </c>
      <c r="G448" s="558">
        <f t="shared" si="47"/>
        <v>69.601741489520222</v>
      </c>
      <c r="H448" s="462">
        <f t="shared" si="48"/>
        <v>6.9601741489520229E-5</v>
      </c>
    </row>
    <row r="449" spans="1:8">
      <c r="A449" s="150" t="s">
        <v>77</v>
      </c>
      <c r="B449" s="592">
        <f t="shared" si="49"/>
        <v>3.6363421783059735E-2</v>
      </c>
      <c r="C449" s="364">
        <f t="shared" si="49"/>
        <v>11.602499999999999</v>
      </c>
      <c r="D449" s="364">
        <v>0</v>
      </c>
      <c r="E449" s="364">
        <f t="shared" si="45"/>
        <v>11.638863421783059</v>
      </c>
      <c r="F449" s="658">
        <f t="shared" si="46"/>
        <v>34530.516350292601</v>
      </c>
      <c r="G449" s="558">
        <f t="shared" si="47"/>
        <v>337.06021953779543</v>
      </c>
      <c r="H449" s="462">
        <f t="shared" si="48"/>
        <v>3.3706021953779542E-4</v>
      </c>
    </row>
    <row r="450" spans="1:8">
      <c r="A450" s="150" t="s">
        <v>78</v>
      </c>
      <c r="B450" s="592">
        <f t="shared" si="49"/>
        <v>604.6466249739716</v>
      </c>
      <c r="C450" s="364">
        <f t="shared" si="49"/>
        <v>1907.5</v>
      </c>
      <c r="D450" s="364">
        <v>0</v>
      </c>
      <c r="E450" s="364">
        <f t="shared" si="45"/>
        <v>2512.1466249739715</v>
      </c>
      <c r="F450" s="658">
        <f t="shared" si="46"/>
        <v>34530.516350292601</v>
      </c>
      <c r="G450" s="558">
        <f t="shared" si="47"/>
        <v>72751.493186191074</v>
      </c>
      <c r="H450" s="462">
        <f t="shared" si="48"/>
        <v>7.2751493186191077E-2</v>
      </c>
    </row>
    <row r="451" spans="1:8">
      <c r="A451" s="150" t="s">
        <v>79</v>
      </c>
      <c r="B451" s="592">
        <f t="shared" si="49"/>
        <v>124.40301527266575</v>
      </c>
      <c r="C451" s="364">
        <f t="shared" si="49"/>
        <v>164.0625</v>
      </c>
      <c r="D451" s="364">
        <v>0</v>
      </c>
      <c r="E451" s="364">
        <f t="shared" si="45"/>
        <v>288.46551527266575</v>
      </c>
      <c r="F451" s="658">
        <f t="shared" si="46"/>
        <v>34530.516350292601</v>
      </c>
      <c r="G451" s="558">
        <f t="shared" si="47"/>
        <v>8353.9299657829015</v>
      </c>
      <c r="H451" s="462">
        <f t="shared" si="48"/>
        <v>8.3539299657829011E-3</v>
      </c>
    </row>
    <row r="452" spans="1:8">
      <c r="A452" s="150" t="s">
        <v>80</v>
      </c>
      <c r="B452" s="592">
        <f t="shared" si="49"/>
        <v>183.84549225215687</v>
      </c>
      <c r="C452" s="364">
        <f t="shared" si="49"/>
        <v>213.35708333333335</v>
      </c>
      <c r="D452" s="364">
        <v>0</v>
      </c>
      <c r="E452" s="364">
        <f t="shared" si="45"/>
        <v>397.20257558549019</v>
      </c>
      <c r="F452" s="658">
        <f t="shared" si="46"/>
        <v>34530.516350292601</v>
      </c>
      <c r="G452" s="558">
        <f t="shared" si="47"/>
        <v>11502.943412606235</v>
      </c>
      <c r="H452" s="462">
        <f t="shared" si="48"/>
        <v>1.1502943412606235E-2</v>
      </c>
    </row>
    <row r="453" spans="1:8">
      <c r="A453" s="150" t="s">
        <v>81</v>
      </c>
      <c r="B453" s="592">
        <f t="shared" si="49"/>
        <v>140.18512674786865</v>
      </c>
      <c r="C453" s="364">
        <f t="shared" si="49"/>
        <v>44.274999999999999</v>
      </c>
      <c r="D453" s="364">
        <v>0</v>
      </c>
      <c r="E453" s="364">
        <f t="shared" si="45"/>
        <v>184.46012674786866</v>
      </c>
      <c r="F453" s="658">
        <f t="shared" si="46"/>
        <v>34530.516350292601</v>
      </c>
      <c r="G453" s="558">
        <f t="shared" si="47"/>
        <v>5341.9452196029961</v>
      </c>
      <c r="H453" s="462">
        <f t="shared" si="48"/>
        <v>5.3419452196029962E-3</v>
      </c>
    </row>
    <row r="454" spans="1:8">
      <c r="A454" s="150" t="s">
        <v>82</v>
      </c>
      <c r="B454" s="592">
        <f>B375</f>
        <v>0.77887980604109552</v>
      </c>
      <c r="C454" s="364">
        <f>C375</f>
        <v>1.1287499999999999</v>
      </c>
      <c r="D454" s="364">
        <v>0</v>
      </c>
      <c r="E454" s="364">
        <f t="shared" si="45"/>
        <v>1.9076298060410954</v>
      </c>
      <c r="F454" s="658">
        <f t="shared" si="46"/>
        <v>34530.516350292601</v>
      </c>
      <c r="G454" s="558">
        <f t="shared" si="47"/>
        <v>55.244751821527011</v>
      </c>
      <c r="H454" s="462">
        <f t="shared" si="48"/>
        <v>5.5244751821527013E-5</v>
      </c>
    </row>
    <row r="455" spans="1:8">
      <c r="A455" s="350" t="s">
        <v>154</v>
      </c>
      <c r="B455" s="592">
        <f>B378</f>
        <v>4564.8335762899524</v>
      </c>
      <c r="C455" s="364">
        <f>C378</f>
        <v>1237.25</v>
      </c>
      <c r="D455" s="364">
        <v>0</v>
      </c>
      <c r="E455" s="364">
        <f t="shared" si="45"/>
        <v>5802.0835762899524</v>
      </c>
      <c r="F455" s="658">
        <f t="shared" si="46"/>
        <v>34530.516350292601</v>
      </c>
      <c r="G455" s="597">
        <f t="shared" si="47"/>
        <v>168027.70967659706</v>
      </c>
      <c r="H455" s="583">
        <f t="shared" si="48"/>
        <v>0.16802770967659705</v>
      </c>
    </row>
    <row r="456" spans="1:8">
      <c r="A456" s="398" t="s">
        <v>84</v>
      </c>
      <c r="B456" s="592">
        <f t="shared" ref="B456:C458" si="50">B379</f>
        <v>0.47237390936340629</v>
      </c>
      <c r="C456" s="364">
        <f t="shared" si="50"/>
        <v>2.0474999999999999</v>
      </c>
      <c r="D456" s="364">
        <v>0</v>
      </c>
      <c r="E456" s="364">
        <f t="shared" si="45"/>
        <v>2.5198739093634064</v>
      </c>
      <c r="F456" s="658">
        <f t="shared" si="46"/>
        <v>34530.516350292601</v>
      </c>
      <c r="G456" s="558">
        <f t="shared" si="47"/>
        <v>72.975274502144927</v>
      </c>
      <c r="H456" s="462">
        <f t="shared" si="48"/>
        <v>7.2975274502144931E-5</v>
      </c>
    </row>
    <row r="457" spans="1:8">
      <c r="A457" s="398" t="s">
        <v>85</v>
      </c>
      <c r="B457" s="592">
        <f t="shared" si="50"/>
        <v>0</v>
      </c>
      <c r="C457" s="364">
        <f t="shared" si="50"/>
        <v>102.51305555555555</v>
      </c>
      <c r="D457" s="364">
        <v>0</v>
      </c>
      <c r="E457" s="364">
        <f t="shared" si="45"/>
        <v>102.51305555555555</v>
      </c>
      <c r="F457" s="658">
        <f t="shared" si="46"/>
        <v>34530.516350292601</v>
      </c>
      <c r="G457" s="558">
        <f t="shared" si="47"/>
        <v>2968.766945608877</v>
      </c>
      <c r="H457" s="462">
        <f t="shared" si="48"/>
        <v>2.9687669456088771E-3</v>
      </c>
    </row>
    <row r="458" spans="1:8" ht="14.65" thickBot="1">
      <c r="A458" s="152" t="s">
        <v>86</v>
      </c>
      <c r="B458" s="659">
        <f t="shared" si="50"/>
        <v>0.92305974999953122</v>
      </c>
      <c r="C458" s="379">
        <f t="shared" si="50"/>
        <v>39.549999999999997</v>
      </c>
      <c r="D458" s="379">
        <v>0</v>
      </c>
      <c r="E458" s="379">
        <f t="shared" si="45"/>
        <v>40.473059749999528</v>
      </c>
      <c r="F458" s="660">
        <f t="shared" si="46"/>
        <v>34530.516350292601</v>
      </c>
      <c r="G458" s="559">
        <f>E458/F458*1000000</f>
        <v>1172.095410894618</v>
      </c>
      <c r="H458" s="464">
        <f t="shared" si="48"/>
        <v>1.172095410894618E-3</v>
      </c>
    </row>
    <row r="460" spans="1:8">
      <c r="A460" s="1" t="s">
        <v>155</v>
      </c>
      <c r="B460" s="1"/>
      <c r="C460" s="1"/>
    </row>
    <row r="461" spans="1:8" ht="14.65" thickBot="1">
      <c r="A461" s="79" t="s">
        <v>291</v>
      </c>
    </row>
    <row r="462" spans="1:8" ht="14.65" thickBot="1">
      <c r="A462" s="16" t="s">
        <v>53</v>
      </c>
      <c r="B462" s="17" t="s">
        <v>18</v>
      </c>
      <c r="C462" s="249" t="s">
        <v>106</v>
      </c>
    </row>
    <row r="463" spans="1:8" ht="14.65" thickBot="1">
      <c r="A463" s="611" t="s">
        <v>305</v>
      </c>
      <c r="B463" s="612" t="s">
        <v>35</v>
      </c>
      <c r="C463" s="613">
        <f>$C$426</f>
        <v>91968.333398825489</v>
      </c>
    </row>
    <row r="464" spans="1:8">
      <c r="A464" s="78"/>
      <c r="B464" s="685"/>
      <c r="C464" s="686"/>
    </row>
    <row r="465" spans="1:5">
      <c r="A465" s="329" t="s">
        <v>319</v>
      </c>
      <c r="B465" s="685"/>
      <c r="C465" s="686"/>
    </row>
    <row r="467" spans="1:5" ht="14.65" thickBot="1">
      <c r="A467" s="79" t="s">
        <v>292</v>
      </c>
    </row>
    <row r="468" spans="1:5" ht="14.65" thickBot="1">
      <c r="A468" s="191" t="s">
        <v>90</v>
      </c>
      <c r="B468" s="192" t="s">
        <v>18</v>
      </c>
      <c r="C468" s="193" t="s">
        <v>91</v>
      </c>
    </row>
    <row r="469" spans="1:5">
      <c r="A469" s="703" t="s">
        <v>314</v>
      </c>
      <c r="B469" s="692" t="s">
        <v>35</v>
      </c>
      <c r="C469" s="730">
        <f>$C$432</f>
        <v>34530.516350292601</v>
      </c>
    </row>
    <row r="470" spans="1:5">
      <c r="A470" s="232" t="s">
        <v>320</v>
      </c>
      <c r="B470" s="178" t="s">
        <v>237</v>
      </c>
      <c r="C470" s="722">
        <v>0.95</v>
      </c>
    </row>
    <row r="471" spans="1:5">
      <c r="A471" s="720" t="s">
        <v>390</v>
      </c>
      <c r="B471" s="178" t="s">
        <v>35</v>
      </c>
      <c r="C471" s="718">
        <f>C469/C470</f>
        <v>36347.911947676424</v>
      </c>
    </row>
    <row r="472" spans="1:5">
      <c r="A472" s="232" t="s">
        <v>321</v>
      </c>
      <c r="B472" s="178" t="s">
        <v>237</v>
      </c>
      <c r="C472" s="722">
        <f>100%-C470</f>
        <v>5.0000000000000044E-2</v>
      </c>
    </row>
    <row r="473" spans="1:5">
      <c r="A473" s="232" t="s">
        <v>348</v>
      </c>
      <c r="B473" s="178" t="s">
        <v>35</v>
      </c>
      <c r="C473" s="84">
        <f>C471*C472</f>
        <v>1817.3955973838229</v>
      </c>
    </row>
    <row r="474" spans="1:5" ht="14.65" thickBot="1">
      <c r="A474" s="680" t="s">
        <v>391</v>
      </c>
      <c r="B474" s="6" t="s">
        <v>35</v>
      </c>
      <c r="C474" s="671">
        <f>$C$436-C473</f>
        <v>55620.421451149072</v>
      </c>
    </row>
    <row r="476" spans="1:5" ht="14.65" thickBot="1">
      <c r="A476" s="1" t="s">
        <v>235</v>
      </c>
      <c r="B476" s="1"/>
      <c r="C476" s="1"/>
      <c r="D476" s="79"/>
      <c r="E476" s="79"/>
    </row>
    <row r="477" spans="1:5" ht="14.65" thickBot="1">
      <c r="A477" s="512"/>
      <c r="B477" s="249" t="s">
        <v>18</v>
      </c>
      <c r="C477" s="249" t="s">
        <v>234</v>
      </c>
    </row>
    <row r="478" spans="1:5">
      <c r="A478" s="134" t="s">
        <v>392</v>
      </c>
      <c r="B478" s="509" t="s">
        <v>24</v>
      </c>
      <c r="C478" s="248">
        <f>H455*2.291</f>
        <v>0.38495148286908382</v>
      </c>
    </row>
    <row r="479" spans="1:5">
      <c r="A479" s="68" t="s">
        <v>324</v>
      </c>
      <c r="B479" s="510" t="s">
        <v>35</v>
      </c>
      <c r="C479" s="244">
        <f>$C$432</f>
        <v>34530.516350292601</v>
      </c>
    </row>
    <row r="480" spans="1:5">
      <c r="A480" s="68" t="s">
        <v>349</v>
      </c>
      <c r="B480" s="510" t="s">
        <v>35</v>
      </c>
      <c r="C480" s="245">
        <f>C479*C478</f>
        <v>13292.573473280281</v>
      </c>
    </row>
    <row r="481" spans="1:4">
      <c r="A481" s="68" t="s">
        <v>350</v>
      </c>
      <c r="B481" s="510" t="s">
        <v>35</v>
      </c>
      <c r="C481" s="246">
        <f>E447</f>
        <v>5.2340407025637685E-2</v>
      </c>
    </row>
    <row r="482" spans="1:4" ht="14.65" thickBot="1">
      <c r="A482" s="73" t="s">
        <v>351</v>
      </c>
      <c r="B482" s="511" t="s">
        <v>236</v>
      </c>
      <c r="C482" s="931">
        <f>C481/C480*1000000</f>
        <v>3.9375676298384494</v>
      </c>
    </row>
    <row r="483" spans="1:4" ht="14.65" thickBot="1">
      <c r="A483" s="329"/>
    </row>
    <row r="484" spans="1:4" ht="14.65" thickBot="1">
      <c r="A484" s="212"/>
      <c r="B484" s="1010" t="s">
        <v>216</v>
      </c>
      <c r="C484" s="1005" t="s">
        <v>165</v>
      </c>
      <c r="D484" s="1012"/>
    </row>
    <row r="485" spans="1:4">
      <c r="A485" s="487" t="s">
        <v>67</v>
      </c>
      <c r="B485" s="1011"/>
      <c r="C485" s="3" t="s">
        <v>166</v>
      </c>
      <c r="D485" s="15" t="s">
        <v>167</v>
      </c>
    </row>
    <row r="486" spans="1:4" ht="14.65" thickBot="1">
      <c r="A486" s="133" t="s">
        <v>18</v>
      </c>
      <c r="B486" s="610" t="s">
        <v>241</v>
      </c>
      <c r="C486" s="6" t="s">
        <v>70</v>
      </c>
      <c r="D486" s="24" t="s">
        <v>70</v>
      </c>
    </row>
    <row r="487" spans="1:4">
      <c r="A487" s="134" t="s">
        <v>222</v>
      </c>
      <c r="B487" s="684">
        <f>G445</f>
        <v>16.66987297419784</v>
      </c>
      <c r="C487" s="484">
        <f>Rohdaten!$F$12</f>
        <v>40</v>
      </c>
      <c r="D487" s="110">
        <f>Rohdaten!$H$12</f>
        <v>40</v>
      </c>
    </row>
    <row r="488" spans="1:4">
      <c r="A488" s="68" t="s">
        <v>223</v>
      </c>
      <c r="B488" s="929">
        <f>C482</f>
        <v>3.9375676298384494</v>
      </c>
      <c r="C488" s="105" t="str">
        <f>Rohdaten!$F$14</f>
        <v>50mg/kgP2O5</v>
      </c>
      <c r="D488" s="80" t="str">
        <f>Rohdaten!$H$14</f>
        <v>60mg/kgP2O5</v>
      </c>
    </row>
    <row r="489" spans="1:4">
      <c r="A489" s="68" t="s">
        <v>224</v>
      </c>
      <c r="B489" s="606">
        <f>G449</f>
        <v>337.06021953779543</v>
      </c>
      <c r="C489" s="485">
        <f>Rohdaten!$F$16</f>
        <v>900</v>
      </c>
      <c r="D489" s="82">
        <f>Rohdaten!$H$16</f>
        <v>600</v>
      </c>
    </row>
    <row r="490" spans="1:4">
      <c r="A490" s="68" t="s">
        <v>225</v>
      </c>
      <c r="B490" s="606">
        <f>G454</f>
        <v>55.244751821527011</v>
      </c>
      <c r="C490" s="485">
        <f>Rohdaten!$F$21</f>
        <v>80</v>
      </c>
      <c r="D490" s="82">
        <f>Rohdaten!$H$21</f>
        <v>100</v>
      </c>
    </row>
    <row r="491" spans="1:4">
      <c r="A491" s="68" t="s">
        <v>226</v>
      </c>
      <c r="B491" s="607">
        <f>G456</f>
        <v>72.975274502144927</v>
      </c>
      <c r="C491" s="485">
        <f>Rohdaten!$F$23</f>
        <v>150</v>
      </c>
      <c r="D491" s="82">
        <f>Rohdaten!$H$23</f>
        <v>120</v>
      </c>
    </row>
    <row r="492" spans="1:4" ht="14.65" thickBot="1">
      <c r="A492" s="73" t="s">
        <v>227</v>
      </c>
      <c r="B492" s="608">
        <f>G458</f>
        <v>1172.095410894618</v>
      </c>
      <c r="C492" s="486">
        <f>Rohdaten!$F$25</f>
        <v>5000</v>
      </c>
      <c r="D492" s="237">
        <f>Rohdaten!$H$25</f>
        <v>1500</v>
      </c>
    </row>
  </sheetData>
  <mergeCells count="42">
    <mergeCell ref="B78:F78"/>
    <mergeCell ref="G78:L78"/>
    <mergeCell ref="B79:B80"/>
    <mergeCell ref="C79:C80"/>
    <mergeCell ref="D79:D80"/>
    <mergeCell ref="E79:E80"/>
    <mergeCell ref="F79:F80"/>
    <mergeCell ref="G79:H80"/>
    <mergeCell ref="I79:L79"/>
    <mergeCell ref="G187:H188"/>
    <mergeCell ref="I80:J80"/>
    <mergeCell ref="K80:L80"/>
    <mergeCell ref="B123:C123"/>
    <mergeCell ref="B124:C124"/>
    <mergeCell ref="B186:F186"/>
    <mergeCell ref="G186:L186"/>
    <mergeCell ref="B187:B188"/>
    <mergeCell ref="C187:C188"/>
    <mergeCell ref="D187:D188"/>
    <mergeCell ref="E187:E188"/>
    <mergeCell ref="F187:F188"/>
    <mergeCell ref="G442:H442"/>
    <mergeCell ref="B484:B485"/>
    <mergeCell ref="C484:D484"/>
    <mergeCell ref="F362:G362"/>
    <mergeCell ref="F363:G363"/>
    <mergeCell ref="C37:D37"/>
    <mergeCell ref="E37:I37"/>
    <mergeCell ref="B362:E362"/>
    <mergeCell ref="D388:E388"/>
    <mergeCell ref="G441:H441"/>
    <mergeCell ref="B309:D309"/>
    <mergeCell ref="E309:H309"/>
    <mergeCell ref="E310:F310"/>
    <mergeCell ref="G310:H310"/>
    <mergeCell ref="I187:L187"/>
    <mergeCell ref="I188:J188"/>
    <mergeCell ref="K188:L188"/>
    <mergeCell ref="B282:D282"/>
    <mergeCell ref="E282:H282"/>
    <mergeCell ref="E283:F283"/>
    <mergeCell ref="G283:H28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95C7-26D6-4CDE-900B-663D6CC07380}">
  <sheetPr codeName="Tabelle18"/>
  <dimension ref="A1:L634"/>
  <sheetViews>
    <sheetView topLeftCell="A120" zoomScale="58" zoomScaleNormal="50" workbookViewId="0">
      <selection activeCell="E120" sqref="E120:E121"/>
    </sheetView>
  </sheetViews>
  <sheetFormatPr baseColWidth="10" defaultColWidth="8.86328125" defaultRowHeight="14.25"/>
  <cols>
    <col min="1" max="1" width="44.1328125" customWidth="1"/>
    <col min="2" max="2" width="34.33203125" customWidth="1"/>
    <col min="3" max="3" width="45.46484375" customWidth="1"/>
    <col min="4" max="4" width="42.19921875" customWidth="1"/>
    <col min="5" max="6" width="35" customWidth="1"/>
    <col min="7" max="7" width="35.19921875" customWidth="1"/>
    <col min="8" max="8" width="34.86328125" customWidth="1"/>
    <col min="9" max="9" width="17.6640625" customWidth="1"/>
    <col min="10" max="10" width="18.19921875" customWidth="1"/>
    <col min="11" max="11" width="17.53125" customWidth="1"/>
    <col min="12" max="12" width="16.86328125" customWidth="1"/>
  </cols>
  <sheetData>
    <row r="1" spans="1:5">
      <c r="A1" s="165"/>
      <c r="B1" t="s">
        <v>245</v>
      </c>
    </row>
    <row r="2" spans="1:5">
      <c r="A2" s="390"/>
      <c r="B2" t="s">
        <v>246</v>
      </c>
    </row>
    <row r="3" spans="1:5">
      <c r="A3" s="91"/>
      <c r="B3" t="s">
        <v>247</v>
      </c>
    </row>
    <row r="5" spans="1:5">
      <c r="A5" s="1" t="s">
        <v>41</v>
      </c>
      <c r="B5" s="13"/>
      <c r="C5" s="13"/>
      <c r="D5" s="13"/>
    </row>
    <row r="6" spans="1:5" ht="14.65" thickBot="1">
      <c r="A6" s="79" t="s">
        <v>358</v>
      </c>
      <c r="B6" s="79"/>
      <c r="C6" s="79"/>
      <c r="D6" s="79"/>
    </row>
    <row r="7" spans="1:5">
      <c r="A7" s="218"/>
      <c r="B7" s="166" t="s">
        <v>43</v>
      </c>
      <c r="C7" s="189" t="s">
        <v>44</v>
      </c>
      <c r="D7" s="190" t="s">
        <v>45</v>
      </c>
    </row>
    <row r="8" spans="1:5" ht="14.65" thickBot="1">
      <c r="A8" s="252"/>
      <c r="B8" s="6" t="s">
        <v>35</v>
      </c>
      <c r="C8" s="7" t="s">
        <v>35</v>
      </c>
      <c r="D8" s="24" t="s">
        <v>35</v>
      </c>
    </row>
    <row r="9" spans="1:5" ht="14.65" thickBot="1">
      <c r="A9" s="251" t="s">
        <v>357</v>
      </c>
      <c r="B9" s="264">
        <v>17500</v>
      </c>
      <c r="C9" s="264">
        <v>7000</v>
      </c>
      <c r="D9" s="265">
        <v>12000</v>
      </c>
    </row>
    <row r="11" spans="1:5" ht="14.65" thickBot="1">
      <c r="A11" s="79" t="s">
        <v>359</v>
      </c>
    </row>
    <row r="12" spans="1:5" ht="14.65" thickBot="1">
      <c r="A12" s="500"/>
      <c r="B12" s="16" t="s">
        <v>18</v>
      </c>
      <c r="C12" s="17" t="s">
        <v>48</v>
      </c>
    </row>
    <row r="13" spans="1:5">
      <c r="A13" s="498" t="s">
        <v>329</v>
      </c>
      <c r="B13" s="25" t="s">
        <v>21</v>
      </c>
      <c r="C13" s="629">
        <v>0.3</v>
      </c>
      <c r="E13" s="714"/>
    </row>
    <row r="14" spans="1:5">
      <c r="A14" s="415" t="s">
        <v>330</v>
      </c>
      <c r="B14" s="37" t="s">
        <v>22</v>
      </c>
      <c r="C14" s="630">
        <v>0.55000000000000004</v>
      </c>
    </row>
    <row r="15" spans="1:5">
      <c r="A15" s="415" t="s">
        <v>366</v>
      </c>
      <c r="B15" s="37" t="s">
        <v>19</v>
      </c>
      <c r="C15" s="391">
        <v>2.8340000000000001</v>
      </c>
    </row>
    <row r="16" spans="1:5" ht="14.65" thickBot="1">
      <c r="A16" s="417" t="s">
        <v>23</v>
      </c>
      <c r="B16" s="6" t="s">
        <v>237</v>
      </c>
      <c r="C16" s="416">
        <v>1.7</v>
      </c>
    </row>
    <row r="17" spans="1:5">
      <c r="A17" s="715"/>
      <c r="B17" s="716"/>
      <c r="C17" s="716"/>
      <c r="D17" s="716"/>
    </row>
    <row r="18" spans="1:5">
      <c r="A18" s="717" t="s">
        <v>325</v>
      </c>
      <c r="B18" s="716"/>
      <c r="C18" s="716"/>
      <c r="D18" s="716"/>
    </row>
    <row r="19" spans="1:5">
      <c r="A19" s="79"/>
    </row>
    <row r="20" spans="1:5" ht="14.65" thickBot="1">
      <c r="A20" s="79" t="s">
        <v>264</v>
      </c>
    </row>
    <row r="21" spans="1:5" ht="14.65" thickBot="1">
      <c r="A21" s="191" t="s">
        <v>53</v>
      </c>
      <c r="B21" s="192" t="s">
        <v>18</v>
      </c>
      <c r="C21" s="193" t="s">
        <v>54</v>
      </c>
    </row>
    <row r="22" spans="1:5">
      <c r="A22" s="388" t="s">
        <v>301</v>
      </c>
      <c r="B22" s="323" t="s">
        <v>35</v>
      </c>
      <c r="C22" s="687">
        <f>D9</f>
        <v>12000</v>
      </c>
    </row>
    <row r="23" spans="1:5" hidden="1">
      <c r="A23" s="679" t="s">
        <v>49</v>
      </c>
      <c r="B23" s="721" t="s">
        <v>21</v>
      </c>
      <c r="C23" s="292">
        <f>$C$13</f>
        <v>0.3</v>
      </c>
    </row>
    <row r="24" spans="1:5">
      <c r="A24" s="719" t="s">
        <v>366</v>
      </c>
      <c r="B24" s="178" t="s">
        <v>35</v>
      </c>
      <c r="C24" s="84">
        <f>C22*WK</f>
        <v>34008</v>
      </c>
    </row>
    <row r="25" spans="1:5">
      <c r="A25" s="232" t="s">
        <v>329</v>
      </c>
      <c r="B25" s="178" t="s">
        <v>35</v>
      </c>
      <c r="C25" s="84">
        <f>C22*SSK</f>
        <v>3600</v>
      </c>
      <c r="D25" s="121"/>
      <c r="E25" s="121"/>
    </row>
    <row r="26" spans="1:5" hidden="1">
      <c r="A26" s="232" t="s">
        <v>50</v>
      </c>
      <c r="B26" s="37" t="s">
        <v>22</v>
      </c>
      <c r="C26" s="85">
        <f>$C$14</f>
        <v>0.55000000000000004</v>
      </c>
      <c r="D26" s="121"/>
      <c r="E26" s="121"/>
    </row>
    <row r="27" spans="1:5">
      <c r="A27" s="232" t="s">
        <v>327</v>
      </c>
      <c r="B27" s="37" t="s">
        <v>237</v>
      </c>
      <c r="C27" s="722">
        <f>C25/(C25+C28)</f>
        <v>0.12992637505413598</v>
      </c>
      <c r="D27" s="121"/>
      <c r="E27" s="121"/>
    </row>
    <row r="28" spans="1:5">
      <c r="A28" s="232" t="s">
        <v>367</v>
      </c>
      <c r="B28" s="178" t="s">
        <v>35</v>
      </c>
      <c r="C28" s="723">
        <f>C24-C33</f>
        <v>24108</v>
      </c>
      <c r="D28" s="121"/>
      <c r="E28" s="121"/>
    </row>
    <row r="29" spans="1:5">
      <c r="A29" s="720" t="s">
        <v>331</v>
      </c>
      <c r="B29" s="724" t="s">
        <v>35</v>
      </c>
      <c r="C29" s="718">
        <f>C25+C28</f>
        <v>27708</v>
      </c>
      <c r="D29" s="121"/>
      <c r="E29" s="121"/>
    </row>
    <row r="30" spans="1:5">
      <c r="A30" s="232" t="s">
        <v>428</v>
      </c>
      <c r="B30" s="178" t="s">
        <v>35</v>
      </c>
      <c r="C30" s="84">
        <f>C22*PSK</f>
        <v>6600.0000000000009</v>
      </c>
      <c r="D30" s="121"/>
      <c r="E30" s="121"/>
    </row>
    <row r="31" spans="1:5" hidden="1">
      <c r="A31" s="232" t="s">
        <v>51</v>
      </c>
      <c r="B31" s="37" t="s">
        <v>19</v>
      </c>
      <c r="C31" s="85">
        <f>$C$15</f>
        <v>2.8340000000000001</v>
      </c>
    </row>
    <row r="32" spans="1:5">
      <c r="A32" s="232" t="s">
        <v>326</v>
      </c>
      <c r="B32" s="37" t="s">
        <v>237</v>
      </c>
      <c r="C32" s="722">
        <v>0.4</v>
      </c>
    </row>
    <row r="33" spans="1:3">
      <c r="A33" s="232" t="s">
        <v>426</v>
      </c>
      <c r="B33" s="178" t="s">
        <v>35</v>
      </c>
      <c r="C33" s="723">
        <f>C30/C32*(1-C32)</f>
        <v>9900</v>
      </c>
    </row>
    <row r="34" spans="1:3" ht="14.65" thickBot="1">
      <c r="A34" s="680" t="s">
        <v>427</v>
      </c>
      <c r="B34" s="694" t="s">
        <v>35</v>
      </c>
      <c r="C34" s="725">
        <f>C30+C33</f>
        <v>16500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12000</v>
      </c>
    </row>
    <row r="39" spans="1:3" hidden="1">
      <c r="A39" s="257" t="s">
        <v>32</v>
      </c>
      <c r="B39" s="287" t="s">
        <v>35</v>
      </c>
      <c r="C39" s="295">
        <f>$C$25</f>
        <v>3600</v>
      </c>
    </row>
    <row r="40" spans="1:3" hidden="1">
      <c r="A40" s="257" t="s">
        <v>33</v>
      </c>
      <c r="B40" s="287" t="s">
        <v>35</v>
      </c>
      <c r="C40" s="295">
        <f>$C$30</f>
        <v>6600.0000000000009</v>
      </c>
    </row>
    <row r="41" spans="1:3" hidden="1">
      <c r="A41" s="257" t="s">
        <v>57</v>
      </c>
      <c r="B41" s="287" t="s">
        <v>35</v>
      </c>
      <c r="C41" s="279">
        <f>C38+C39+C40</f>
        <v>22200</v>
      </c>
    </row>
    <row r="42" spans="1:3" hidden="1">
      <c r="A42" s="257" t="s">
        <v>58</v>
      </c>
      <c r="B42" s="287" t="s">
        <v>35</v>
      </c>
      <c r="C42" s="279">
        <f>$C$22+$C$25+$C$30+$C$24</f>
        <v>56208</v>
      </c>
    </row>
    <row r="43" spans="1:3" hidden="1">
      <c r="A43" s="299" t="s">
        <v>59</v>
      </c>
      <c r="B43" s="258" t="s">
        <v>24</v>
      </c>
      <c r="C43" s="300">
        <f>C41/C42</f>
        <v>0.39496157130657555</v>
      </c>
    </row>
    <row r="44" spans="1:3" hidden="1">
      <c r="A44" s="257" t="s">
        <v>34</v>
      </c>
      <c r="B44" s="287" t="s">
        <v>35</v>
      </c>
      <c r="C44" s="279">
        <f>$C$24</f>
        <v>34008</v>
      </c>
    </row>
    <row r="45" spans="1:3" hidden="1">
      <c r="A45" s="257" t="s">
        <v>60</v>
      </c>
      <c r="B45" s="287" t="s">
        <v>35</v>
      </c>
      <c r="C45" s="279">
        <f>C44</f>
        <v>34008</v>
      </c>
    </row>
    <row r="46" spans="1:3" hidden="1">
      <c r="A46" s="257" t="s">
        <v>58</v>
      </c>
      <c r="B46" s="287" t="s">
        <v>35</v>
      </c>
      <c r="C46" s="279">
        <f>$C$22+$C$25+$C$30+$C$24</f>
        <v>56208</v>
      </c>
    </row>
    <row r="47" spans="1:3" ht="14.65" hidden="1" thickBot="1">
      <c r="A47" s="301" t="s">
        <v>61</v>
      </c>
      <c r="B47" s="259" t="s">
        <v>24</v>
      </c>
      <c r="C47" s="302">
        <f>C44/C46</f>
        <v>0.60503842869342439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62</v>
      </c>
    </row>
    <row r="51" spans="1:6" hidden="1">
      <c r="A51" s="272" t="s">
        <v>55</v>
      </c>
      <c r="B51" s="293" t="s">
        <v>35</v>
      </c>
      <c r="C51" s="294">
        <f>$C$22</f>
        <v>12000</v>
      </c>
    </row>
    <row r="52" spans="1:6" hidden="1">
      <c r="A52" s="257" t="s">
        <v>32</v>
      </c>
      <c r="B52" s="287" t="s">
        <v>35</v>
      </c>
      <c r="C52" s="295">
        <f>$C$25</f>
        <v>3600</v>
      </c>
    </row>
    <row r="53" spans="1:6" hidden="1">
      <c r="A53" s="257" t="s">
        <v>33</v>
      </c>
      <c r="B53" s="287" t="s">
        <v>35</v>
      </c>
      <c r="C53" s="295">
        <f>$C$30</f>
        <v>6600.0000000000009</v>
      </c>
    </row>
    <row r="54" spans="1:6" hidden="1">
      <c r="A54" s="257" t="s">
        <v>430</v>
      </c>
      <c r="B54" s="287" t="s">
        <v>35</v>
      </c>
      <c r="C54" s="279">
        <f>C51+C52+C53</f>
        <v>22200</v>
      </c>
    </row>
    <row r="55" spans="1:6" hidden="1">
      <c r="A55" s="257" t="s">
        <v>58</v>
      </c>
      <c r="B55" s="287" t="s">
        <v>35</v>
      </c>
      <c r="C55" s="279">
        <f>$C$22+$C$25+$C$30+$C$24</f>
        <v>56208</v>
      </c>
    </row>
    <row r="56" spans="1:6" hidden="1">
      <c r="A56" s="299" t="s">
        <v>64</v>
      </c>
      <c r="B56" s="258" t="s">
        <v>24</v>
      </c>
      <c r="C56" s="300">
        <f>C54/C88</f>
        <v>0.39496157130657555</v>
      </c>
    </row>
    <row r="57" spans="1:6" hidden="1">
      <c r="A57" s="257" t="s">
        <v>34</v>
      </c>
      <c r="B57" s="287" t="s">
        <v>35</v>
      </c>
      <c r="C57" s="279">
        <f>$C$24</f>
        <v>34008</v>
      </c>
    </row>
    <row r="58" spans="1:6" hidden="1">
      <c r="A58" s="257" t="s">
        <v>65</v>
      </c>
      <c r="B58" s="287" t="s">
        <v>35</v>
      </c>
      <c r="C58" s="279">
        <f>C44</f>
        <v>34008</v>
      </c>
    </row>
    <row r="59" spans="1:6" hidden="1">
      <c r="A59" s="257" t="s">
        <v>58</v>
      </c>
      <c r="B59" s="287" t="s">
        <v>35</v>
      </c>
      <c r="C59" s="279">
        <f>$C$22+$C$25+$C$30+$C$24</f>
        <v>56208</v>
      </c>
    </row>
    <row r="60" spans="1:6" ht="14.65" hidden="1" thickBot="1">
      <c r="A60" s="301" t="s">
        <v>66</v>
      </c>
      <c r="B60" s="259" t="s">
        <v>24</v>
      </c>
      <c r="C60" s="303">
        <f>C58/C88</f>
        <v>0.60503842869342439</v>
      </c>
    </row>
    <row r="61" spans="1:6" hidden="1">
      <c r="A61" s="180"/>
      <c r="B61" s="181"/>
      <c r="C61" s="182"/>
    </row>
    <row r="62" spans="1:6" ht="14.65" thickBot="1">
      <c r="A62" s="183" t="s">
        <v>303</v>
      </c>
      <c r="B62" s="181"/>
      <c r="C62" s="182"/>
    </row>
    <row r="63" spans="1:6" ht="14.65" thickBot="1">
      <c r="A63" s="410"/>
      <c r="B63" s="169"/>
      <c r="C63" s="9" t="s">
        <v>263</v>
      </c>
      <c r="D63" s="1043" t="s">
        <v>262</v>
      </c>
      <c r="E63" s="1044"/>
      <c r="F63" s="1045"/>
    </row>
    <row r="64" spans="1:6">
      <c r="A64" s="92" t="s">
        <v>268</v>
      </c>
      <c r="B64" s="446" t="s">
        <v>88</v>
      </c>
      <c r="C64" s="412" t="s">
        <v>45</v>
      </c>
      <c r="D64" s="497" t="s">
        <v>69</v>
      </c>
      <c r="E64" s="421" t="s">
        <v>253</v>
      </c>
      <c r="F64" s="492" t="s">
        <v>254</v>
      </c>
    </row>
    <row r="65" spans="1:7" ht="14.65" thickBot="1">
      <c r="A65" s="93" t="s">
        <v>18</v>
      </c>
      <c r="B65" s="411" t="s">
        <v>24</v>
      </c>
      <c r="C65" s="73" t="s">
        <v>71</v>
      </c>
      <c r="D65" s="6" t="s">
        <v>35</v>
      </c>
      <c r="E65" s="7" t="s">
        <v>35</v>
      </c>
      <c r="F65" s="24" t="s">
        <v>35</v>
      </c>
    </row>
    <row r="66" spans="1:7">
      <c r="A66" s="106" t="s">
        <v>72</v>
      </c>
      <c r="B66" s="447">
        <v>0.65137271969690658</v>
      </c>
      <c r="C66" s="413">
        <v>39002</v>
      </c>
      <c r="D66" s="227">
        <f t="shared" ref="D66:D80" si="0">$D$9*C66/1000000</f>
        <v>468.024</v>
      </c>
      <c r="E66" s="429">
        <f t="shared" ref="E66:E78" si="1">B66*D66</f>
        <v>304.85806576342503</v>
      </c>
      <c r="F66" s="467">
        <f t="shared" ref="F66:F78" si="2">D66*(1-B66)</f>
        <v>163.165934236575</v>
      </c>
    </row>
    <row r="67" spans="1:7">
      <c r="A67" s="107" t="s">
        <v>73</v>
      </c>
      <c r="B67" s="448">
        <v>0.80153246110453391</v>
      </c>
      <c r="C67" s="413">
        <v>28.6</v>
      </c>
      <c r="D67" s="229">
        <f t="shared" si="0"/>
        <v>0.34320000000000001</v>
      </c>
      <c r="E67" s="424">
        <f t="shared" si="1"/>
        <v>0.27508594065107606</v>
      </c>
      <c r="F67" s="468">
        <f t="shared" si="2"/>
        <v>6.8114059348923964E-2</v>
      </c>
    </row>
    <row r="68" spans="1:7">
      <c r="A68" s="108" t="s">
        <v>74</v>
      </c>
      <c r="B68" s="448">
        <v>0.15823734978631154</v>
      </c>
      <c r="C68" s="413">
        <v>159000</v>
      </c>
      <c r="D68" s="229">
        <f t="shared" si="0"/>
        <v>1908</v>
      </c>
      <c r="E68" s="424">
        <f t="shared" si="1"/>
        <v>301.91686339228244</v>
      </c>
      <c r="F68" s="468">
        <f t="shared" si="2"/>
        <v>1606.0831366077175</v>
      </c>
      <c r="G68" s="710"/>
    </row>
    <row r="69" spans="1:7">
      <c r="A69" s="108" t="s">
        <v>75</v>
      </c>
      <c r="B69" s="448">
        <v>0.25348730816186238</v>
      </c>
      <c r="C69" s="413">
        <v>3.5</v>
      </c>
      <c r="D69" s="229">
        <f t="shared" si="0"/>
        <v>4.2000000000000003E-2</v>
      </c>
      <c r="E69" s="424">
        <f t="shared" si="1"/>
        <v>1.064646694279822E-2</v>
      </c>
      <c r="F69" s="468">
        <f t="shared" si="2"/>
        <v>3.1353533057201781E-2</v>
      </c>
    </row>
    <row r="70" spans="1:7">
      <c r="A70" s="108" t="s">
        <v>76</v>
      </c>
      <c r="B70" s="448">
        <v>0.40356545688185752</v>
      </c>
      <c r="C70" s="413">
        <v>136</v>
      </c>
      <c r="D70" s="229">
        <f t="shared" si="0"/>
        <v>1.6319999999999999</v>
      </c>
      <c r="E70" s="424">
        <f t="shared" si="1"/>
        <v>0.65861882563119145</v>
      </c>
      <c r="F70" s="468">
        <f t="shared" si="2"/>
        <v>0.97338117436880844</v>
      </c>
    </row>
    <row r="71" spans="1:7">
      <c r="A71" s="108" t="s">
        <v>77</v>
      </c>
      <c r="B71" s="448">
        <v>0.23362301177680689</v>
      </c>
      <c r="C71" s="413">
        <v>656</v>
      </c>
      <c r="D71" s="229">
        <f t="shared" si="0"/>
        <v>7.8719999999999999</v>
      </c>
      <c r="E71" s="424">
        <f t="shared" si="1"/>
        <v>1.8390803487070237</v>
      </c>
      <c r="F71" s="468">
        <f t="shared" si="2"/>
        <v>6.0329196512929757</v>
      </c>
    </row>
    <row r="72" spans="1:7">
      <c r="A72" s="108" t="s">
        <v>78</v>
      </c>
      <c r="B72" s="448">
        <v>0.50785001796590601</v>
      </c>
      <c r="C72" s="413">
        <v>87577</v>
      </c>
      <c r="D72" s="229">
        <f t="shared" si="0"/>
        <v>1050.924</v>
      </c>
      <c r="E72" s="424">
        <f t="shared" si="1"/>
        <v>533.71177228080182</v>
      </c>
      <c r="F72" s="468">
        <f t="shared" si="2"/>
        <v>517.21222771919815</v>
      </c>
    </row>
    <row r="73" spans="1:7">
      <c r="A73" s="108" t="s">
        <v>79</v>
      </c>
      <c r="B73" s="448">
        <v>0.76085478233676074</v>
      </c>
      <c r="C73" s="413">
        <v>8230</v>
      </c>
      <c r="D73" s="229">
        <f t="shared" si="0"/>
        <v>98.76</v>
      </c>
      <c r="E73" s="424">
        <f t="shared" si="1"/>
        <v>75.142018303578496</v>
      </c>
      <c r="F73" s="468">
        <f t="shared" si="2"/>
        <v>23.617981696421509</v>
      </c>
    </row>
    <row r="74" spans="1:7">
      <c r="A74" s="108" t="s">
        <v>80</v>
      </c>
      <c r="B74" s="448">
        <v>0.77360051904316074</v>
      </c>
      <c r="C74" s="413">
        <v>12900</v>
      </c>
      <c r="D74" s="229">
        <f t="shared" si="0"/>
        <v>154.80000000000001</v>
      </c>
      <c r="E74" s="424">
        <f t="shared" si="1"/>
        <v>119.7533603478813</v>
      </c>
      <c r="F74" s="468">
        <f t="shared" si="2"/>
        <v>35.046639652118721</v>
      </c>
    </row>
    <row r="75" spans="1:7">
      <c r="A75" s="108" t="s">
        <v>81</v>
      </c>
      <c r="B75" s="448">
        <v>0.8205530976880453</v>
      </c>
      <c r="C75" s="413">
        <v>8100</v>
      </c>
      <c r="D75" s="229">
        <f t="shared" si="0"/>
        <v>97.2</v>
      </c>
      <c r="E75" s="424">
        <f t="shared" si="1"/>
        <v>79.757761095277999</v>
      </c>
      <c r="F75" s="468">
        <f t="shared" si="2"/>
        <v>17.442238904721997</v>
      </c>
    </row>
    <row r="76" spans="1:7">
      <c r="A76" s="108" t="s">
        <v>82</v>
      </c>
      <c r="B76" s="448">
        <v>0.435768646693799</v>
      </c>
      <c r="C76" s="413">
        <v>125</v>
      </c>
      <c r="D76" s="229">
        <f t="shared" si="0"/>
        <v>1.5</v>
      </c>
      <c r="E76" s="424">
        <f t="shared" si="1"/>
        <v>0.65365297004069856</v>
      </c>
      <c r="F76" s="468">
        <f t="shared" si="2"/>
        <v>0.84634702995930144</v>
      </c>
    </row>
    <row r="77" spans="1:7">
      <c r="A77" s="108" t="s">
        <v>83</v>
      </c>
      <c r="B77" s="448">
        <v>0.87583141379652929</v>
      </c>
      <c r="C77" s="413">
        <v>81618</v>
      </c>
      <c r="D77" s="229">
        <f t="shared" si="0"/>
        <v>979.41600000000005</v>
      </c>
      <c r="E77" s="424">
        <f t="shared" si="1"/>
        <v>857.80329997494152</v>
      </c>
      <c r="F77" s="468">
        <f t="shared" si="2"/>
        <v>121.61270002505847</v>
      </c>
    </row>
    <row r="78" spans="1:7">
      <c r="A78" s="108" t="s">
        <v>84</v>
      </c>
      <c r="B78" s="448">
        <v>0.23049375883839485</v>
      </c>
      <c r="C78" s="413">
        <v>124</v>
      </c>
      <c r="D78" s="229">
        <f t="shared" si="0"/>
        <v>1.488</v>
      </c>
      <c r="E78" s="424">
        <f t="shared" si="1"/>
        <v>0.34297471315153155</v>
      </c>
      <c r="F78" s="468">
        <f t="shared" si="2"/>
        <v>1.1450252868484685</v>
      </c>
    </row>
    <row r="79" spans="1:7">
      <c r="A79" s="108" t="s">
        <v>85</v>
      </c>
      <c r="B79" s="448" t="s">
        <v>89</v>
      </c>
      <c r="C79" s="413">
        <v>18900</v>
      </c>
      <c r="D79" s="229">
        <f t="shared" si="0"/>
        <v>226.8</v>
      </c>
      <c r="E79" s="424" t="s">
        <v>89</v>
      </c>
      <c r="F79" s="468" t="s">
        <v>89</v>
      </c>
    </row>
    <row r="80" spans="1:7" ht="14.65" thickBot="1">
      <c r="A80" s="109" t="s">
        <v>86</v>
      </c>
      <c r="B80" s="449">
        <v>0.43789451837070636</v>
      </c>
      <c r="C80" s="414">
        <v>2353</v>
      </c>
      <c r="D80" s="230">
        <f t="shared" si="0"/>
        <v>28.236000000000001</v>
      </c>
      <c r="E80" s="435">
        <f>B80*D80</f>
        <v>12.364389620715265</v>
      </c>
      <c r="F80" s="469">
        <f>D80*(1-B80)</f>
        <v>15.871610379284736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$C$22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3600</v>
      </c>
    </row>
    <row r="87" spans="1:3">
      <c r="A87" s="257" t="s">
        <v>428</v>
      </c>
      <c r="B87" s="278" t="s">
        <v>35</v>
      </c>
      <c r="C87" s="289">
        <f>C30</f>
        <v>6600.0000000000009</v>
      </c>
    </row>
    <row r="88" spans="1:3" ht="14.65" thickBot="1">
      <c r="A88" s="255" t="s">
        <v>4</v>
      </c>
      <c r="B88" s="271" t="s">
        <v>35</v>
      </c>
      <c r="C88" s="256">
        <f>C84+C85+C86+C87</f>
        <v>56208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12000</v>
      </c>
    </row>
    <row r="93" spans="1:3" hidden="1">
      <c r="A93" s="257" t="s">
        <v>87</v>
      </c>
      <c r="B93" s="278" t="s">
        <v>35</v>
      </c>
      <c r="C93" s="295">
        <f>SUM($E$66:$E$80)</f>
        <v>2289.0875900440278</v>
      </c>
    </row>
    <row r="94" spans="1:3" hidden="1">
      <c r="A94" s="257" t="s">
        <v>57</v>
      </c>
      <c r="B94" s="278" t="s">
        <v>35</v>
      </c>
      <c r="C94" s="279">
        <f>C92-C93</f>
        <v>9710.9124099559722</v>
      </c>
    </row>
    <row r="95" spans="1:3" hidden="1">
      <c r="A95" s="257" t="s">
        <v>4</v>
      </c>
      <c r="B95" s="278" t="s">
        <v>35</v>
      </c>
      <c r="C95" s="279">
        <f>$C$88</f>
        <v>56208</v>
      </c>
    </row>
    <row r="96" spans="1:3" hidden="1">
      <c r="A96" s="299" t="s">
        <v>59</v>
      </c>
      <c r="B96" s="260" t="s">
        <v>24</v>
      </c>
      <c r="C96" s="300">
        <f>C94/C95</f>
        <v>0.17276744253408718</v>
      </c>
    </row>
    <row r="97" spans="1:3" hidden="1">
      <c r="A97" s="257" t="s">
        <v>34</v>
      </c>
      <c r="B97" s="278" t="s">
        <v>35</v>
      </c>
      <c r="C97" s="279">
        <f>$C$24</f>
        <v>34008</v>
      </c>
    </row>
    <row r="98" spans="1:3" hidden="1">
      <c r="A98" s="257" t="s">
        <v>32</v>
      </c>
      <c r="B98" s="278" t="s">
        <v>35</v>
      </c>
      <c r="C98" s="295">
        <f>$C$25</f>
        <v>3600</v>
      </c>
    </row>
    <row r="99" spans="1:3" hidden="1">
      <c r="A99" s="257" t="s">
        <v>33</v>
      </c>
      <c r="B99" s="278" t="s">
        <v>35</v>
      </c>
      <c r="C99" s="295">
        <f>$C$30</f>
        <v>6600.0000000000009</v>
      </c>
    </row>
    <row r="100" spans="1:3" hidden="1">
      <c r="A100" s="257" t="s">
        <v>87</v>
      </c>
      <c r="B100" s="278" t="s">
        <v>35</v>
      </c>
      <c r="C100" s="295">
        <f>SUM($E$66:$E$80)</f>
        <v>2289.0875900440278</v>
      </c>
    </row>
    <row r="101" spans="1:3" hidden="1">
      <c r="A101" s="257" t="s">
        <v>60</v>
      </c>
      <c r="B101" s="278" t="s">
        <v>35</v>
      </c>
      <c r="C101" s="279">
        <f>SUM(C97:C100)</f>
        <v>46497.08759004403</v>
      </c>
    </row>
    <row r="102" spans="1:3" hidden="1">
      <c r="A102" s="257" t="s">
        <v>4</v>
      </c>
      <c r="B102" s="278" t="s">
        <v>35</v>
      </c>
      <c r="C102" s="279">
        <f>$C$88</f>
        <v>56208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0.82723255746591284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12000</v>
      </c>
    </row>
    <row r="108" spans="1:3">
      <c r="A108" s="257" t="s">
        <v>329</v>
      </c>
      <c r="B108" s="278" t="s">
        <v>35</v>
      </c>
      <c r="C108" s="295">
        <f>$C$25</f>
        <v>3600</v>
      </c>
    </row>
    <row r="109" spans="1:3">
      <c r="A109" s="257" t="s">
        <v>428</v>
      </c>
      <c r="B109" s="278" t="s">
        <v>35</v>
      </c>
      <c r="C109" s="295">
        <f>$C$30</f>
        <v>6600.0000000000009</v>
      </c>
    </row>
    <row r="110" spans="1:3">
      <c r="A110" s="257" t="s">
        <v>336</v>
      </c>
      <c r="B110" s="278" t="s">
        <v>35</v>
      </c>
      <c r="C110" s="279">
        <f>C107+C108+C109</f>
        <v>22200</v>
      </c>
    </row>
    <row r="111" spans="1:3">
      <c r="A111" s="257" t="s">
        <v>4</v>
      </c>
      <c r="B111" s="278" t="s">
        <v>35</v>
      </c>
      <c r="C111" s="279">
        <f>$C$88</f>
        <v>56208</v>
      </c>
    </row>
    <row r="112" spans="1:3">
      <c r="A112" s="299" t="s">
        <v>64</v>
      </c>
      <c r="B112" s="260" t="s">
        <v>24</v>
      </c>
      <c r="C112" s="300">
        <f>C110/C111</f>
        <v>0.39496157130657555</v>
      </c>
    </row>
    <row r="113" spans="1:12">
      <c r="A113" s="257" t="s">
        <v>366</v>
      </c>
      <c r="B113" s="278" t="s">
        <v>35</v>
      </c>
      <c r="C113" s="279">
        <f>$C$24</f>
        <v>34008</v>
      </c>
    </row>
    <row r="114" spans="1:12">
      <c r="A114" s="257" t="s">
        <v>333</v>
      </c>
      <c r="B114" s="278" t="s">
        <v>35</v>
      </c>
      <c r="C114" s="279">
        <f>C113</f>
        <v>34008</v>
      </c>
    </row>
    <row r="115" spans="1:12">
      <c r="A115" s="257" t="s">
        <v>4</v>
      </c>
      <c r="B115" s="278" t="s">
        <v>35</v>
      </c>
      <c r="C115" s="279">
        <f>$C$88</f>
        <v>56208</v>
      </c>
    </row>
    <row r="116" spans="1:12" ht="14.65" thickBot="1">
      <c r="A116" s="301" t="s">
        <v>66</v>
      </c>
      <c r="B116" s="277" t="s">
        <v>24</v>
      </c>
      <c r="C116" s="303">
        <f>C114/C115</f>
        <v>0.60503842869342439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3">D66</f>
        <v>468.024</v>
      </c>
      <c r="C123" s="428">
        <f t="shared" ref="C123:C134" si="4">E66</f>
        <v>304.85806576342503</v>
      </c>
      <c r="D123" s="428">
        <f t="shared" ref="D123:D134" si="5">F66</f>
        <v>163.165934236575</v>
      </c>
      <c r="E123" s="160">
        <f>$C$110</f>
        <v>22200</v>
      </c>
      <c r="F123" s="440">
        <f>$C$88</f>
        <v>56208</v>
      </c>
      <c r="G123" s="443">
        <f t="shared" ref="G123:G143" si="6">B123/E123*1000000</f>
        <v>21082.162162162163</v>
      </c>
      <c r="H123" s="554">
        <f>G123/1000000</f>
        <v>2.1082162162162164E-2</v>
      </c>
      <c r="I123" s="557">
        <f t="shared" ref="I123:I143" si="7">C123/F123*1000000</f>
        <v>5423.7486792525096</v>
      </c>
      <c r="J123" s="432">
        <f>I123/1000000</f>
        <v>5.4237486792525101E-3</v>
      </c>
      <c r="K123" s="431">
        <f t="shared" ref="K123:K143" si="8">D123/F123*1000000</f>
        <v>2902.8952148550916</v>
      </c>
      <c r="L123" s="433">
        <f>K123/1000000</f>
        <v>2.9028952148550916E-3</v>
      </c>
    </row>
    <row r="124" spans="1:12">
      <c r="A124" s="149" t="s">
        <v>73</v>
      </c>
      <c r="B124" s="161">
        <f t="shared" si="3"/>
        <v>0.34320000000000001</v>
      </c>
      <c r="C124" s="235">
        <f t="shared" si="4"/>
        <v>0.27508594065107606</v>
      </c>
      <c r="D124" s="235">
        <f t="shared" si="5"/>
        <v>6.8114059348923964E-2</v>
      </c>
      <c r="E124" s="119">
        <f t="shared" ref="E124:E143" si="9">$C$110</f>
        <v>22200</v>
      </c>
      <c r="F124" s="441">
        <f t="shared" ref="F124:F143" si="10">$C$88</f>
        <v>56208</v>
      </c>
      <c r="G124" s="444">
        <f t="shared" si="6"/>
        <v>15.459459459459461</v>
      </c>
      <c r="H124" s="555">
        <f t="shared" ref="H124:H143" si="11">G124/1000000</f>
        <v>1.5459459459459461E-5</v>
      </c>
      <c r="I124" s="558">
        <f t="shared" si="7"/>
        <v>4.8940709623376755</v>
      </c>
      <c r="J124" s="427">
        <f t="shared" ref="J124:J143" si="12">I124/1000000</f>
        <v>4.8940709623376754E-6</v>
      </c>
      <c r="K124" s="426">
        <f t="shared" si="8"/>
        <v>1.2118214373207365</v>
      </c>
      <c r="L124" s="434">
        <f t="shared" ref="L124:L143" si="13">K124/1000000</f>
        <v>1.2118214373207366E-6</v>
      </c>
    </row>
    <row r="125" spans="1:12">
      <c r="A125" s="149" t="s">
        <v>74</v>
      </c>
      <c r="B125" s="161">
        <f t="shared" si="3"/>
        <v>1908</v>
      </c>
      <c r="C125" s="235">
        <f t="shared" si="4"/>
        <v>301.91686339228244</v>
      </c>
      <c r="D125" s="235">
        <f t="shared" si="5"/>
        <v>1606.0831366077175</v>
      </c>
      <c r="E125" s="119">
        <f t="shared" si="9"/>
        <v>22200</v>
      </c>
      <c r="F125" s="441">
        <f t="shared" si="10"/>
        <v>56208</v>
      </c>
      <c r="G125" s="444">
        <f t="shared" si="6"/>
        <v>85945.945945945947</v>
      </c>
      <c r="H125" s="555">
        <f t="shared" si="11"/>
        <v>8.5945945945945942E-2</v>
      </c>
      <c r="I125" s="558">
        <f t="shared" si="7"/>
        <v>5371.4215661877752</v>
      </c>
      <c r="J125" s="427">
        <f t="shared" si="12"/>
        <v>5.371421566187775E-3</v>
      </c>
      <c r="K125" s="426">
        <f t="shared" si="8"/>
        <v>28573.924292053045</v>
      </c>
      <c r="L125" s="434">
        <f t="shared" si="13"/>
        <v>2.8573924292053045E-2</v>
      </c>
    </row>
    <row r="126" spans="1:12">
      <c r="A126" s="149" t="s">
        <v>75</v>
      </c>
      <c r="B126" s="161">
        <f t="shared" si="3"/>
        <v>4.2000000000000003E-2</v>
      </c>
      <c r="C126" s="235">
        <f t="shared" si="4"/>
        <v>1.064646694279822E-2</v>
      </c>
      <c r="D126" s="235">
        <f t="shared" si="5"/>
        <v>3.1353533057201781E-2</v>
      </c>
      <c r="E126" s="119">
        <f t="shared" si="9"/>
        <v>22200</v>
      </c>
      <c r="F126" s="441">
        <f t="shared" si="10"/>
        <v>56208</v>
      </c>
      <c r="G126" s="444">
        <f t="shared" si="6"/>
        <v>1.8918918918918919</v>
      </c>
      <c r="H126" s="555">
        <f t="shared" si="11"/>
        <v>1.891891891891892E-6</v>
      </c>
      <c r="I126" s="558">
        <f t="shared" si="7"/>
        <v>0.18941195101761707</v>
      </c>
      <c r="J126" s="427">
        <f t="shared" si="12"/>
        <v>1.8941195101761708E-7</v>
      </c>
      <c r="K126" s="426">
        <f t="shared" si="8"/>
        <v>0.55781264334617464</v>
      </c>
      <c r="L126" s="434">
        <f t="shared" si="13"/>
        <v>5.5781264334617463E-7</v>
      </c>
    </row>
    <row r="127" spans="1:12">
      <c r="A127" s="149" t="s">
        <v>76</v>
      </c>
      <c r="B127" s="161">
        <f t="shared" si="3"/>
        <v>1.6319999999999999</v>
      </c>
      <c r="C127" s="235">
        <f t="shared" si="4"/>
        <v>0.65861882563119145</v>
      </c>
      <c r="D127" s="235">
        <f t="shared" si="5"/>
        <v>0.97338117436880844</v>
      </c>
      <c r="E127" s="119">
        <f t="shared" si="9"/>
        <v>22200</v>
      </c>
      <c r="F127" s="441">
        <f t="shared" si="10"/>
        <v>56208</v>
      </c>
      <c r="G127" s="444">
        <f t="shared" si="6"/>
        <v>73.513513513513502</v>
      </c>
      <c r="H127" s="555">
        <f t="shared" si="11"/>
        <v>7.3513513513513503E-5</v>
      </c>
      <c r="I127" s="558">
        <f t="shared" si="7"/>
        <v>11.717528210062472</v>
      </c>
      <c r="J127" s="427">
        <f t="shared" si="12"/>
        <v>1.1717528210062473E-5</v>
      </c>
      <c r="K127" s="426">
        <f t="shared" si="8"/>
        <v>17.317484599501999</v>
      </c>
      <c r="L127" s="434">
        <f t="shared" si="13"/>
        <v>1.7317484599502E-5</v>
      </c>
    </row>
    <row r="128" spans="1:12">
      <c r="A128" s="150" t="s">
        <v>77</v>
      </c>
      <c r="B128" s="161">
        <f t="shared" si="3"/>
        <v>7.8719999999999999</v>
      </c>
      <c r="C128" s="235">
        <f t="shared" si="4"/>
        <v>1.8390803487070237</v>
      </c>
      <c r="D128" s="235">
        <f t="shared" si="5"/>
        <v>6.0329196512929757</v>
      </c>
      <c r="E128" s="119">
        <f t="shared" si="9"/>
        <v>22200</v>
      </c>
      <c r="F128" s="441">
        <f t="shared" si="10"/>
        <v>56208</v>
      </c>
      <c r="G128" s="444">
        <f t="shared" si="6"/>
        <v>354.59459459459458</v>
      </c>
      <c r="H128" s="555">
        <f t="shared" si="11"/>
        <v>3.545945945945946E-4</v>
      </c>
      <c r="I128" s="558">
        <f t="shared" si="7"/>
        <v>32.719192084881577</v>
      </c>
      <c r="J128" s="427">
        <f t="shared" si="12"/>
        <v>3.271919208488158E-5</v>
      </c>
      <c r="K128" s="426">
        <f t="shared" si="8"/>
        <v>107.33204617301764</v>
      </c>
      <c r="L128" s="434">
        <f t="shared" si="13"/>
        <v>1.0733204617301765E-4</v>
      </c>
    </row>
    <row r="129" spans="1:12">
      <c r="A129" s="150" t="s">
        <v>78</v>
      </c>
      <c r="B129" s="161">
        <f t="shared" si="3"/>
        <v>1050.924</v>
      </c>
      <c r="C129" s="235">
        <f t="shared" si="4"/>
        <v>533.71177228080182</v>
      </c>
      <c r="D129" s="235">
        <f t="shared" si="5"/>
        <v>517.21222771919815</v>
      </c>
      <c r="E129" s="119">
        <f t="shared" si="9"/>
        <v>22200</v>
      </c>
      <c r="F129" s="441">
        <f t="shared" si="10"/>
        <v>56208</v>
      </c>
      <c r="G129" s="444">
        <f t="shared" si="6"/>
        <v>47338.91891891892</v>
      </c>
      <c r="H129" s="555">
        <f t="shared" si="11"/>
        <v>4.7338918918918921E-2</v>
      </c>
      <c r="I129" s="558">
        <f t="shared" si="7"/>
        <v>9495.2991083262496</v>
      </c>
      <c r="J129" s="427">
        <f t="shared" si="12"/>
        <v>9.4952991083262495E-3</v>
      </c>
      <c r="K129" s="426">
        <f t="shared" si="8"/>
        <v>9201.7546918445441</v>
      </c>
      <c r="L129" s="434">
        <f t="shared" si="13"/>
        <v>9.2017546918445447E-3</v>
      </c>
    </row>
    <row r="130" spans="1:12">
      <c r="A130" s="150" t="s">
        <v>79</v>
      </c>
      <c r="B130" s="161">
        <f t="shared" si="3"/>
        <v>98.76</v>
      </c>
      <c r="C130" s="235">
        <f t="shared" si="4"/>
        <v>75.142018303578496</v>
      </c>
      <c r="D130" s="235">
        <f t="shared" si="5"/>
        <v>23.617981696421509</v>
      </c>
      <c r="E130" s="119">
        <f t="shared" si="9"/>
        <v>22200</v>
      </c>
      <c r="F130" s="441">
        <f t="shared" si="10"/>
        <v>56208</v>
      </c>
      <c r="G130" s="444">
        <f t="shared" si="6"/>
        <v>4448.6486486486492</v>
      </c>
      <c r="H130" s="555">
        <f t="shared" si="11"/>
        <v>4.448648648648649E-3</v>
      </c>
      <c r="I130" s="558">
        <f t="shared" si="7"/>
        <v>1336.8562892040013</v>
      </c>
      <c r="J130" s="427">
        <f t="shared" si="12"/>
        <v>1.3368562892040012E-3</v>
      </c>
      <c r="K130" s="426">
        <f t="shared" si="8"/>
        <v>420.18897125714329</v>
      </c>
      <c r="L130" s="434">
        <f t="shared" si="13"/>
        <v>4.2018897125714328E-4</v>
      </c>
    </row>
    <row r="131" spans="1:12">
      <c r="A131" s="150" t="s">
        <v>80</v>
      </c>
      <c r="B131" s="161">
        <f t="shared" si="3"/>
        <v>154.80000000000001</v>
      </c>
      <c r="C131" s="235">
        <f t="shared" si="4"/>
        <v>119.7533603478813</v>
      </c>
      <c r="D131" s="235">
        <f t="shared" si="5"/>
        <v>35.046639652118721</v>
      </c>
      <c r="E131" s="119">
        <f t="shared" si="9"/>
        <v>22200</v>
      </c>
      <c r="F131" s="441">
        <f t="shared" si="10"/>
        <v>56208</v>
      </c>
      <c r="G131" s="444">
        <f t="shared" si="6"/>
        <v>6972.9729729729743</v>
      </c>
      <c r="H131" s="555">
        <f t="shared" si="11"/>
        <v>6.9729729729729739E-3</v>
      </c>
      <c r="I131" s="558">
        <f t="shared" si="7"/>
        <v>2130.5394311820614</v>
      </c>
      <c r="J131" s="427">
        <f t="shared" si="12"/>
        <v>2.1305394311820613E-3</v>
      </c>
      <c r="K131" s="426">
        <f t="shared" si="8"/>
        <v>623.51693090162826</v>
      </c>
      <c r="L131" s="434">
        <f t="shared" si="13"/>
        <v>6.2351693090162831E-4</v>
      </c>
    </row>
    <row r="132" spans="1:12">
      <c r="A132" s="150" t="s">
        <v>81</v>
      </c>
      <c r="B132" s="161">
        <f t="shared" si="3"/>
        <v>97.2</v>
      </c>
      <c r="C132" s="235">
        <f t="shared" si="4"/>
        <v>79.757761095277999</v>
      </c>
      <c r="D132" s="235">
        <f t="shared" si="5"/>
        <v>17.442238904721997</v>
      </c>
      <c r="E132" s="119">
        <f t="shared" si="9"/>
        <v>22200</v>
      </c>
      <c r="F132" s="441">
        <f t="shared" si="10"/>
        <v>56208</v>
      </c>
      <c r="G132" s="444">
        <f t="shared" si="6"/>
        <v>4378.3783783783783</v>
      </c>
      <c r="H132" s="555">
        <f t="shared" si="11"/>
        <v>4.3783783783783786E-3</v>
      </c>
      <c r="I132" s="558">
        <f t="shared" si="7"/>
        <v>1418.9752543281738</v>
      </c>
      <c r="J132" s="427">
        <f t="shared" si="12"/>
        <v>1.4189752543281738E-3</v>
      </c>
      <c r="K132" s="426">
        <f t="shared" si="8"/>
        <v>310.31594977088662</v>
      </c>
      <c r="L132" s="434">
        <f t="shared" si="13"/>
        <v>3.1031594977088664E-4</v>
      </c>
    </row>
    <row r="133" spans="1:12">
      <c r="A133" s="150" t="s">
        <v>82</v>
      </c>
      <c r="B133" s="161">
        <f t="shared" si="3"/>
        <v>1.5</v>
      </c>
      <c r="C133" s="235">
        <f t="shared" si="4"/>
        <v>0.65365297004069856</v>
      </c>
      <c r="D133" s="235">
        <f t="shared" si="5"/>
        <v>0.84634702995930144</v>
      </c>
      <c r="E133" s="119">
        <f t="shared" si="9"/>
        <v>22200</v>
      </c>
      <c r="F133" s="441">
        <f t="shared" si="10"/>
        <v>56208</v>
      </c>
      <c r="G133" s="444">
        <f t="shared" si="6"/>
        <v>67.567567567567565</v>
      </c>
      <c r="H133" s="555">
        <f t="shared" si="11"/>
        <v>6.7567567567567569E-5</v>
      </c>
      <c r="I133" s="558">
        <f t="shared" si="7"/>
        <v>11.629180366508301</v>
      </c>
      <c r="J133" s="427">
        <f t="shared" si="12"/>
        <v>1.1629180366508301E-5</v>
      </c>
      <c r="K133" s="426">
        <f t="shared" si="8"/>
        <v>15.0574122893414</v>
      </c>
      <c r="L133" s="434">
        <f t="shared" si="13"/>
        <v>1.50574122893414E-5</v>
      </c>
    </row>
    <row r="134" spans="1:12">
      <c r="A134" s="150" t="s">
        <v>214</v>
      </c>
      <c r="B134" s="161">
        <f t="shared" si="3"/>
        <v>979.41600000000005</v>
      </c>
      <c r="C134" s="235">
        <f t="shared" si="4"/>
        <v>857.80329997494152</v>
      </c>
      <c r="D134" s="235">
        <f t="shared" si="5"/>
        <v>121.61270002505847</v>
      </c>
      <c r="E134" s="119">
        <f t="shared" si="9"/>
        <v>22200</v>
      </c>
      <c r="F134" s="441">
        <f t="shared" si="10"/>
        <v>56208</v>
      </c>
      <c r="G134" s="444">
        <f t="shared" si="6"/>
        <v>44117.83783783784</v>
      </c>
      <c r="H134" s="555">
        <f t="shared" si="11"/>
        <v>4.4117837837837841E-2</v>
      </c>
      <c r="I134" s="558">
        <f t="shared" si="7"/>
        <v>15261.231496849941</v>
      </c>
      <c r="J134" s="427">
        <f t="shared" si="12"/>
        <v>1.5261231496849941E-2</v>
      </c>
      <c r="K134" s="426">
        <f t="shared" si="8"/>
        <v>2163.6190582311856</v>
      </c>
      <c r="L134" s="434">
        <f t="shared" si="13"/>
        <v>2.1636190582311858E-3</v>
      </c>
    </row>
    <row r="135" spans="1:12">
      <c r="A135" s="150" t="s">
        <v>96</v>
      </c>
      <c r="B135" s="161">
        <f>$C$30*31/98</f>
        <v>2087.7551020408168</v>
      </c>
      <c r="C135" s="235">
        <f>$C$30*31/98</f>
        <v>2087.7551020408168</v>
      </c>
      <c r="D135" s="235">
        <v>0</v>
      </c>
      <c r="E135" s="119">
        <f t="shared" si="9"/>
        <v>22200</v>
      </c>
      <c r="F135" s="441">
        <f t="shared" si="10"/>
        <v>56208</v>
      </c>
      <c r="G135" s="444">
        <f t="shared" si="6"/>
        <v>94043.022614451198</v>
      </c>
      <c r="H135" s="555">
        <f t="shared" si="11"/>
        <v>9.4043022614451202E-2</v>
      </c>
      <c r="I135" s="558">
        <f t="shared" si="7"/>
        <v>37143.379982223472</v>
      </c>
      <c r="J135" s="427">
        <f t="shared" si="12"/>
        <v>3.7143379982223473E-2</v>
      </c>
      <c r="K135" s="426">
        <f t="shared" si="8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3067.171102040817</v>
      </c>
      <c r="C136" s="235">
        <f>C134+C135</f>
        <v>2945.5584020157585</v>
      </c>
      <c r="D136" s="235">
        <f>D134+D135</f>
        <v>121.61270002505847</v>
      </c>
      <c r="E136" s="119">
        <f t="shared" si="9"/>
        <v>22200</v>
      </c>
      <c r="F136" s="441">
        <f t="shared" si="10"/>
        <v>56208</v>
      </c>
      <c r="G136" s="444">
        <f t="shared" si="6"/>
        <v>138160.86045228905</v>
      </c>
      <c r="H136" s="555">
        <f t="shared" si="11"/>
        <v>0.13816086045228906</v>
      </c>
      <c r="I136" s="558">
        <f t="shared" si="7"/>
        <v>52404.611479073414</v>
      </c>
      <c r="J136" s="427">
        <f t="shared" si="12"/>
        <v>5.2404611479073417E-2</v>
      </c>
      <c r="K136" s="426">
        <f t="shared" si="8"/>
        <v>2163.6190582311856</v>
      </c>
      <c r="L136" s="434">
        <f t="shared" si="13"/>
        <v>2.1636190582311858E-3</v>
      </c>
    </row>
    <row r="137" spans="1:12">
      <c r="A137" s="150" t="s">
        <v>84</v>
      </c>
      <c r="B137" s="161">
        <f>D78</f>
        <v>1.488</v>
      </c>
      <c r="C137" s="235">
        <f>E78</f>
        <v>0.34297471315153155</v>
      </c>
      <c r="D137" s="235">
        <f>F78</f>
        <v>1.1450252868484685</v>
      </c>
      <c r="E137" s="119">
        <f t="shared" si="9"/>
        <v>22200</v>
      </c>
      <c r="F137" s="441">
        <f t="shared" si="10"/>
        <v>56208</v>
      </c>
      <c r="G137" s="444">
        <f t="shared" si="6"/>
        <v>67.027027027027032</v>
      </c>
      <c r="H137" s="555">
        <f t="shared" si="11"/>
        <v>6.7027027027027027E-5</v>
      </c>
      <c r="I137" s="558">
        <f t="shared" si="7"/>
        <v>6.101884307421213</v>
      </c>
      <c r="J137" s="427">
        <f t="shared" si="12"/>
        <v>6.1018843074212133E-6</v>
      </c>
      <c r="K137" s="426">
        <f t="shared" si="8"/>
        <v>20.371215607181689</v>
      </c>
      <c r="L137" s="434">
        <f t="shared" si="13"/>
        <v>2.0371215607181691E-5</v>
      </c>
    </row>
    <row r="138" spans="1:12">
      <c r="A138" s="150" t="s">
        <v>249</v>
      </c>
      <c r="B138" s="161">
        <f>D79</f>
        <v>226.8</v>
      </c>
      <c r="C138" s="235">
        <v>0</v>
      </c>
      <c r="D138" s="235">
        <f>D79</f>
        <v>226.8</v>
      </c>
      <c r="E138" s="119">
        <f t="shared" si="9"/>
        <v>22200</v>
      </c>
      <c r="F138" s="441">
        <f t="shared" si="10"/>
        <v>56208</v>
      </c>
      <c r="G138" s="444">
        <f t="shared" si="6"/>
        <v>10216.216216216217</v>
      </c>
      <c r="H138" s="555">
        <f t="shared" si="11"/>
        <v>1.0216216216216217E-2</v>
      </c>
      <c r="I138" s="558">
        <f t="shared" si="7"/>
        <v>0</v>
      </c>
      <c r="J138" s="427">
        <f t="shared" si="12"/>
        <v>0</v>
      </c>
      <c r="K138" s="426">
        <f t="shared" si="8"/>
        <v>4035.0128095644745</v>
      </c>
      <c r="L138" s="434">
        <f t="shared" si="13"/>
        <v>4.0350128095644746E-3</v>
      </c>
    </row>
    <row r="139" spans="1:12">
      <c r="A139" s="150" t="s">
        <v>250</v>
      </c>
      <c r="B139" s="161">
        <f>$C$25*32/98</f>
        <v>1175.5102040816328</v>
      </c>
      <c r="C139" s="235">
        <v>0</v>
      </c>
      <c r="D139" s="235">
        <f>$C$25*32/98</f>
        <v>1175.5102040816328</v>
      </c>
      <c r="E139" s="119">
        <f t="shared" si="9"/>
        <v>22200</v>
      </c>
      <c r="F139" s="441">
        <f t="shared" si="10"/>
        <v>56208</v>
      </c>
      <c r="G139" s="444">
        <f t="shared" si="6"/>
        <v>52950.910093767241</v>
      </c>
      <c r="H139" s="555">
        <f t="shared" si="11"/>
        <v>5.2950910093767241E-2</v>
      </c>
      <c r="I139" s="558">
        <f t="shared" si="7"/>
        <v>0</v>
      </c>
      <c r="J139" s="427">
        <f t="shared" si="12"/>
        <v>0</v>
      </c>
      <c r="K139" s="426">
        <f t="shared" si="8"/>
        <v>20913.574652747524</v>
      </c>
      <c r="L139" s="434">
        <f t="shared" si="13"/>
        <v>2.0913574652747523E-2</v>
      </c>
    </row>
    <row r="140" spans="1:12">
      <c r="A140" s="150" t="s">
        <v>251</v>
      </c>
      <c r="B140" s="161">
        <f>B138+B139</f>
        <v>1402.3102040816327</v>
      </c>
      <c r="C140" s="235">
        <v>0</v>
      </c>
      <c r="D140" s="235">
        <f>D138+D139</f>
        <v>1402.3102040816327</v>
      </c>
      <c r="E140" s="119">
        <f t="shared" si="9"/>
        <v>22200</v>
      </c>
      <c r="F140" s="441">
        <f t="shared" si="10"/>
        <v>56208</v>
      </c>
      <c r="G140" s="444">
        <f t="shared" si="6"/>
        <v>63167.126309983461</v>
      </c>
      <c r="H140" s="555">
        <f t="shared" si="11"/>
        <v>6.316712630998346E-2</v>
      </c>
      <c r="I140" s="558">
        <f t="shared" si="7"/>
        <v>0</v>
      </c>
      <c r="J140" s="427">
        <f t="shared" si="12"/>
        <v>0</v>
      </c>
      <c r="K140" s="426">
        <f t="shared" si="8"/>
        <v>24948.587462311996</v>
      </c>
      <c r="L140" s="434">
        <f t="shared" si="13"/>
        <v>2.4948587462311995E-2</v>
      </c>
    </row>
    <row r="141" spans="1:12">
      <c r="A141" s="151" t="s">
        <v>238</v>
      </c>
      <c r="B141" s="161">
        <f>B140/32*96</f>
        <v>4206.9306122448979</v>
      </c>
      <c r="C141" s="235">
        <v>0</v>
      </c>
      <c r="D141" s="235">
        <f>D140/32*96</f>
        <v>4206.9306122448979</v>
      </c>
      <c r="E141" s="119">
        <f t="shared" si="9"/>
        <v>22200</v>
      </c>
      <c r="F141" s="441">
        <f t="shared" si="10"/>
        <v>56208</v>
      </c>
      <c r="G141" s="444">
        <f t="shared" si="6"/>
        <v>189501.37892995036</v>
      </c>
      <c r="H141" s="555">
        <f t="shared" si="11"/>
        <v>0.18950137892995036</v>
      </c>
      <c r="I141" s="558">
        <f t="shared" si="7"/>
        <v>0</v>
      </c>
      <c r="J141" s="427">
        <f t="shared" si="12"/>
        <v>0</v>
      </c>
      <c r="K141" s="426">
        <f t="shared" si="8"/>
        <v>74845.762386935996</v>
      </c>
      <c r="L141" s="434">
        <f t="shared" si="13"/>
        <v>7.4845762386935993E-2</v>
      </c>
    </row>
    <row r="142" spans="1:12">
      <c r="A142" s="151" t="s">
        <v>239</v>
      </c>
      <c r="B142" s="161">
        <f>B140/32*136</f>
        <v>5959.8183673469393</v>
      </c>
      <c r="C142" s="235">
        <v>0</v>
      </c>
      <c r="D142" s="235">
        <f>D140/32*136</f>
        <v>5959.8183673469393</v>
      </c>
      <c r="E142" s="119">
        <f t="shared" si="9"/>
        <v>22200</v>
      </c>
      <c r="F142" s="441">
        <f t="shared" si="10"/>
        <v>56208</v>
      </c>
      <c r="G142" s="444">
        <f t="shared" si="6"/>
        <v>268460.2868174297</v>
      </c>
      <c r="H142" s="555">
        <f t="shared" si="11"/>
        <v>0.26846028681742973</v>
      </c>
      <c r="I142" s="558">
        <f t="shared" si="7"/>
        <v>0</v>
      </c>
      <c r="J142" s="427">
        <f t="shared" si="12"/>
        <v>0</v>
      </c>
      <c r="K142" s="426">
        <f t="shared" si="8"/>
        <v>106031.49671482599</v>
      </c>
      <c r="L142" s="434">
        <f t="shared" si="13"/>
        <v>0.10603149671482599</v>
      </c>
    </row>
    <row r="143" spans="1:12" ht="14.65" thickBot="1">
      <c r="A143" s="152" t="s">
        <v>86</v>
      </c>
      <c r="B143" s="162">
        <f>D80</f>
        <v>28.236000000000001</v>
      </c>
      <c r="C143" s="236">
        <f>E80</f>
        <v>12.364389620715265</v>
      </c>
      <c r="D143" s="236">
        <f>F80</f>
        <v>15.871610379284736</v>
      </c>
      <c r="E143" s="135">
        <f t="shared" si="9"/>
        <v>22200</v>
      </c>
      <c r="F143" s="442">
        <f t="shared" si="10"/>
        <v>56208</v>
      </c>
      <c r="G143" s="445">
        <f t="shared" si="6"/>
        <v>1271.8918918918919</v>
      </c>
      <c r="H143" s="556">
        <f t="shared" si="11"/>
        <v>1.271891891891892E-3</v>
      </c>
      <c r="I143" s="559">
        <f t="shared" si="7"/>
        <v>219.97561949749618</v>
      </c>
      <c r="J143" s="438">
        <f t="shared" si="12"/>
        <v>2.1997561949749618E-4</v>
      </c>
      <c r="K143" s="437">
        <f t="shared" si="8"/>
        <v>282.3728006562186</v>
      </c>
      <c r="L143" s="439">
        <f t="shared" si="13"/>
        <v>2.823728006562186E-4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360</v>
      </c>
      <c r="B146" s="79"/>
      <c r="C146" s="79"/>
    </row>
    <row r="147" spans="1:3">
      <c r="A147" s="496" t="s">
        <v>100</v>
      </c>
      <c r="B147" s="493">
        <v>0.05</v>
      </c>
      <c r="C147" s="304" t="s">
        <v>101</v>
      </c>
    </row>
    <row r="148" spans="1:3">
      <c r="A148" s="392" t="s">
        <v>102</v>
      </c>
      <c r="B148" s="494">
        <v>1.86</v>
      </c>
      <c r="C148" s="72" t="s">
        <v>103</v>
      </c>
    </row>
    <row r="149" spans="1:3">
      <c r="A149" s="392" t="s">
        <v>104</v>
      </c>
      <c r="B149" s="494">
        <v>0.997</v>
      </c>
      <c r="C149" s="72" t="s">
        <v>103</v>
      </c>
    </row>
    <row r="150" spans="1:3">
      <c r="A150" s="392" t="s">
        <v>105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4</v>
      </c>
      <c r="B155" s="269" t="s">
        <v>35</v>
      </c>
      <c r="C155" s="386">
        <f>C88</f>
        <v>56208</v>
      </c>
    </row>
    <row r="156" spans="1:3">
      <c r="A156" s="392" t="s">
        <v>107</v>
      </c>
      <c r="B156" s="105" t="s">
        <v>108</v>
      </c>
      <c r="C156" s="450">
        <v>1.3</v>
      </c>
    </row>
    <row r="157" spans="1:3">
      <c r="A157" s="257" t="s">
        <v>109</v>
      </c>
      <c r="B157" s="105" t="s">
        <v>110</v>
      </c>
      <c r="C157" s="84">
        <f>C155/C156</f>
        <v>43236.923076923078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111</v>
      </c>
      <c r="B159" s="278" t="s">
        <v>110</v>
      </c>
      <c r="C159" s="289">
        <f>C157*C158</f>
        <v>864.73846153846159</v>
      </c>
    </row>
    <row r="160" spans="1:3">
      <c r="A160" s="281" t="s">
        <v>112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882.62008302620131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12000</v>
      </c>
    </row>
    <row r="166" spans="1:3" hidden="1">
      <c r="A166" s="257" t="s">
        <v>87</v>
      </c>
      <c r="B166" s="278" t="s">
        <v>35</v>
      </c>
      <c r="C166" s="295">
        <f>SUM($E$66:$E$80)</f>
        <v>2289.0875900440278</v>
      </c>
    </row>
    <row r="167" spans="1:3" hidden="1">
      <c r="A167" s="257" t="s">
        <v>57</v>
      </c>
      <c r="B167" s="278" t="s">
        <v>35</v>
      </c>
      <c r="C167" s="279">
        <f>C165-C166</f>
        <v>9710.9124099559722</v>
      </c>
    </row>
    <row r="168" spans="1:3" hidden="1">
      <c r="A168" s="257" t="s">
        <v>114</v>
      </c>
      <c r="B168" s="278" t="s">
        <v>35</v>
      </c>
      <c r="C168" s="279">
        <f>$C$88+$C$161</f>
        <v>57090.620083026202</v>
      </c>
    </row>
    <row r="169" spans="1:3" hidden="1">
      <c r="A169" s="299" t="s">
        <v>59</v>
      </c>
      <c r="B169" s="260" t="s">
        <v>24</v>
      </c>
      <c r="C169" s="300">
        <f>C167/C168</f>
        <v>0.1700964606065499</v>
      </c>
    </row>
    <row r="170" spans="1:3" hidden="1">
      <c r="A170" s="257" t="s">
        <v>34</v>
      </c>
      <c r="B170" s="278" t="s">
        <v>35</v>
      </c>
      <c r="C170" s="279">
        <f>$C$24</f>
        <v>34008</v>
      </c>
    </row>
    <row r="171" spans="1:3" hidden="1">
      <c r="A171" s="257" t="s">
        <v>32</v>
      </c>
      <c r="B171" s="278" t="s">
        <v>35</v>
      </c>
      <c r="C171" s="295">
        <f>$C$25</f>
        <v>3600</v>
      </c>
    </row>
    <row r="172" spans="1:3" hidden="1">
      <c r="A172" s="257" t="s">
        <v>33</v>
      </c>
      <c r="B172" s="278" t="s">
        <v>35</v>
      </c>
      <c r="C172" s="295">
        <f>$C$30</f>
        <v>6600.0000000000009</v>
      </c>
    </row>
    <row r="173" spans="1:3" hidden="1">
      <c r="A173" s="257" t="s">
        <v>87</v>
      </c>
      <c r="B173" s="278" t="s">
        <v>35</v>
      </c>
      <c r="C173" s="295">
        <f>SUM($E$66:$E$80)</f>
        <v>2289.0875900440278</v>
      </c>
    </row>
    <row r="174" spans="1:3" hidden="1">
      <c r="A174" s="257" t="s">
        <v>113</v>
      </c>
      <c r="B174" s="278" t="s">
        <v>35</v>
      </c>
      <c r="C174" s="295">
        <f>$C$161</f>
        <v>882.62008302620131</v>
      </c>
    </row>
    <row r="175" spans="1:3" hidden="1">
      <c r="A175" s="257" t="s">
        <v>60</v>
      </c>
      <c r="B175" s="278" t="s">
        <v>35</v>
      </c>
      <c r="C175" s="279">
        <f>C170+C171+C172+C173+C174</f>
        <v>47379.707673070232</v>
      </c>
    </row>
    <row r="176" spans="1:3" hidden="1">
      <c r="A176" s="257" t="s">
        <v>114</v>
      </c>
      <c r="B176" s="278" t="s">
        <v>35</v>
      </c>
      <c r="C176" s="279">
        <f>$C$88+$C$161</f>
        <v>57090.620083026202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0.82990353939345018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12000</v>
      </c>
    </row>
    <row r="182" spans="1:3" hidden="1">
      <c r="A182" s="282" t="s">
        <v>32</v>
      </c>
      <c r="B182" s="288" t="s">
        <v>35</v>
      </c>
      <c r="C182" s="295">
        <f>$C$25</f>
        <v>3600</v>
      </c>
    </row>
    <row r="183" spans="1:3" hidden="1">
      <c r="A183" s="282" t="s">
        <v>33</v>
      </c>
      <c r="B183" s="288" t="s">
        <v>35</v>
      </c>
      <c r="C183" s="295">
        <f>$C$30</f>
        <v>6600.0000000000009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882.62008302620131</v>
      </c>
    </row>
    <row r="186" spans="1:3" hidden="1">
      <c r="A186" s="282" t="s">
        <v>116</v>
      </c>
      <c r="B186" s="288" t="s">
        <v>35</v>
      </c>
      <c r="C186" s="295">
        <f>C185*C184</f>
        <v>44.131004151310066</v>
      </c>
    </row>
    <row r="187" spans="1:3" hidden="1">
      <c r="A187" s="282" t="s">
        <v>430</v>
      </c>
      <c r="B187" s="288" t="s">
        <v>35</v>
      </c>
      <c r="C187" s="279">
        <f>C181+C182+C183+C186</f>
        <v>22244.13100415131</v>
      </c>
    </row>
    <row r="188" spans="1:3" hidden="1">
      <c r="A188" s="282" t="s">
        <v>114</v>
      </c>
      <c r="B188" s="288" t="s">
        <v>35</v>
      </c>
      <c r="C188" s="279">
        <f>$C$88+$C$161</f>
        <v>57090.620083026202</v>
      </c>
    </row>
    <row r="189" spans="1:3" hidden="1">
      <c r="A189" s="310" t="s">
        <v>64</v>
      </c>
      <c r="B189" s="283" t="s">
        <v>24</v>
      </c>
      <c r="C189" s="300">
        <f>C187/C188</f>
        <v>0.38962847087318264</v>
      </c>
    </row>
    <row r="190" spans="1:3" hidden="1">
      <c r="A190" s="282" t="s">
        <v>34</v>
      </c>
      <c r="B190" s="288" t="s">
        <v>35</v>
      </c>
      <c r="C190" s="279">
        <f>$C$24</f>
        <v>34008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882.62008302620131</v>
      </c>
    </row>
    <row r="193" spans="1:3" hidden="1">
      <c r="A193" s="282" t="s">
        <v>118</v>
      </c>
      <c r="B193" s="81" t="s">
        <v>35</v>
      </c>
      <c r="C193" s="84">
        <f>C191*C192</f>
        <v>838.48907887489122</v>
      </c>
    </row>
    <row r="194" spans="1:3" hidden="1">
      <c r="A194" s="282" t="s">
        <v>65</v>
      </c>
      <c r="B194" s="81" t="s">
        <v>35</v>
      </c>
      <c r="C194" s="84">
        <f>C190+C193</f>
        <v>34846.489078874889</v>
      </c>
    </row>
    <row r="195" spans="1:3" hidden="1">
      <c r="A195" s="282" t="s">
        <v>114</v>
      </c>
      <c r="B195" s="81" t="s">
        <v>35</v>
      </c>
      <c r="C195" s="84">
        <f>$C$88+$C$161</f>
        <v>57090.620083026202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0.61037152912681736</v>
      </c>
    </row>
    <row r="197" spans="1:3" hidden="1">
      <c r="A197" s="83"/>
      <c r="B197" s="77"/>
      <c r="C197" s="96"/>
    </row>
    <row r="198" spans="1:3" ht="14.65" thickBot="1">
      <c r="A198" s="79" t="s">
        <v>119</v>
      </c>
    </row>
    <row r="199" spans="1:3" ht="14.65" thickBot="1">
      <c r="A199" s="605" t="s">
        <v>23</v>
      </c>
      <c r="B199" s="1057">
        <v>1.7</v>
      </c>
      <c r="C199" s="1058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6">
        <v>2.5000000000000001E-2</v>
      </c>
    </row>
    <row r="205" spans="1:3">
      <c r="A205" s="232" t="s">
        <v>72</v>
      </c>
      <c r="B205" s="704" t="s">
        <v>160</v>
      </c>
      <c r="C205" s="706">
        <v>2.5000000000000001E-2</v>
      </c>
    </row>
    <row r="206" spans="1:3">
      <c r="A206" s="232" t="s">
        <v>78</v>
      </c>
      <c r="B206" s="704" t="s">
        <v>160</v>
      </c>
      <c r="C206" s="706">
        <v>2.5000000000000001E-2</v>
      </c>
    </row>
    <row r="207" spans="1:3">
      <c r="A207" s="232" t="s">
        <v>80</v>
      </c>
      <c r="B207" s="704" t="s">
        <v>160</v>
      </c>
      <c r="C207" s="706">
        <v>2.5000000000000001E-2</v>
      </c>
    </row>
    <row r="208" spans="1:3">
      <c r="A208" s="232" t="s">
        <v>83</v>
      </c>
      <c r="B208" s="704" t="s">
        <v>160</v>
      </c>
      <c r="C208" s="706">
        <v>2.5000000000000001E-2</v>
      </c>
    </row>
    <row r="209" spans="1:4">
      <c r="A209" s="232" t="s">
        <v>79</v>
      </c>
      <c r="B209" s="704" t="s">
        <v>160</v>
      </c>
      <c r="C209" s="706">
        <v>2.5000000000000001E-2</v>
      </c>
    </row>
    <row r="210" spans="1:4">
      <c r="A210" s="232" t="s">
        <v>75</v>
      </c>
      <c r="B210" s="704" t="s">
        <v>322</v>
      </c>
      <c r="C210" s="740">
        <v>2.5000000000000001E-2</v>
      </c>
    </row>
    <row r="211" spans="1:4" ht="14.65" thickBot="1">
      <c r="A211" s="233" t="s">
        <v>84</v>
      </c>
      <c r="B211" s="708" t="s">
        <v>323</v>
      </c>
      <c r="C211" s="741">
        <v>2.5000000000000001E-2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2.5000000000000001E-2</v>
      </c>
      <c r="C216" s="428">
        <f>E66</f>
        <v>304.85806576342503</v>
      </c>
      <c r="D216" s="122">
        <f>C216*B216</f>
        <v>7.6214516440856261</v>
      </c>
    </row>
    <row r="217" spans="1:4">
      <c r="A217" s="185" t="s">
        <v>73</v>
      </c>
      <c r="B217" s="352">
        <f>C202</f>
        <v>0.9</v>
      </c>
      <c r="C217" s="235">
        <f>E67</f>
        <v>0.27508594065107606</v>
      </c>
      <c r="D217" s="87">
        <f>C217*B217</f>
        <v>0.24757734658596844</v>
      </c>
    </row>
    <row r="218" spans="1:4">
      <c r="A218" s="185" t="s">
        <v>75</v>
      </c>
      <c r="B218" s="400">
        <f>C210</f>
        <v>2.5000000000000001E-2</v>
      </c>
      <c r="C218" s="235">
        <f>E69</f>
        <v>1.064646694279822E-2</v>
      </c>
      <c r="D218" s="739">
        <f t="shared" ref="D218:D234" si="14">C218*B218</f>
        <v>2.6616167356995551E-4</v>
      </c>
    </row>
    <row r="219" spans="1:4">
      <c r="A219" s="186" t="s">
        <v>77</v>
      </c>
      <c r="B219" s="352">
        <f>C201</f>
        <v>0.99</v>
      </c>
      <c r="C219" s="235">
        <f>E71</f>
        <v>1.8390803487070237</v>
      </c>
      <c r="D219" s="87">
        <f t="shared" si="14"/>
        <v>1.8206895452199534</v>
      </c>
    </row>
    <row r="220" spans="1:4">
      <c r="A220" s="186" t="s">
        <v>78</v>
      </c>
      <c r="B220" s="400">
        <f>C206</f>
        <v>2.5000000000000001E-2</v>
      </c>
      <c r="C220" s="235">
        <f>E72</f>
        <v>533.71177228080182</v>
      </c>
      <c r="D220" s="87">
        <f t="shared" si="14"/>
        <v>13.342794307020046</v>
      </c>
    </row>
    <row r="221" spans="1:4">
      <c r="A221" s="186" t="s">
        <v>79</v>
      </c>
      <c r="B221" s="400">
        <f>C209</f>
        <v>2.5000000000000001E-2</v>
      </c>
      <c r="C221" s="235">
        <f>E73</f>
        <v>75.142018303578496</v>
      </c>
      <c r="D221" s="87">
        <f t="shared" si="14"/>
        <v>1.8785504575894625</v>
      </c>
    </row>
    <row r="222" spans="1:4">
      <c r="A222" s="186" t="s">
        <v>80</v>
      </c>
      <c r="B222" s="400">
        <f>C207</f>
        <v>2.5000000000000001E-2</v>
      </c>
      <c r="C222" s="235">
        <f>E74</f>
        <v>119.7533603478813</v>
      </c>
      <c r="D222" s="87">
        <f t="shared" si="14"/>
        <v>2.9938340086970325</v>
      </c>
    </row>
    <row r="223" spans="1:4">
      <c r="A223" s="186" t="s">
        <v>82</v>
      </c>
      <c r="B223" s="400">
        <f>C204</f>
        <v>2.5000000000000001E-2</v>
      </c>
      <c r="C223" s="235">
        <f>E76</f>
        <v>0.65365297004069856</v>
      </c>
      <c r="D223" s="87">
        <f t="shared" si="14"/>
        <v>1.6341324251017465E-2</v>
      </c>
    </row>
    <row r="224" spans="1:4">
      <c r="A224" s="186" t="s">
        <v>213</v>
      </c>
      <c r="B224" s="400">
        <f>C208</f>
        <v>2.5000000000000001E-2</v>
      </c>
      <c r="C224" s="235">
        <f>E77</f>
        <v>857.80329997494152</v>
      </c>
      <c r="D224" s="87">
        <f t="shared" si="14"/>
        <v>21.445082499373541</v>
      </c>
    </row>
    <row r="225" spans="1:4">
      <c r="A225" s="406" t="s">
        <v>96</v>
      </c>
      <c r="B225" s="400">
        <f>C208</f>
        <v>2.5000000000000001E-2</v>
      </c>
      <c r="C225" s="235">
        <f>B135</f>
        <v>2087.7551020408168</v>
      </c>
      <c r="D225" s="87">
        <f t="shared" si="14"/>
        <v>52.193877551020421</v>
      </c>
    </row>
    <row r="226" spans="1:4">
      <c r="A226" s="406" t="s">
        <v>274</v>
      </c>
      <c r="B226" s="400">
        <f>C208</f>
        <v>2.5000000000000001E-2</v>
      </c>
      <c r="C226" s="235">
        <f>C224+C225</f>
        <v>2945.5584020157585</v>
      </c>
      <c r="D226" s="87">
        <f t="shared" si="14"/>
        <v>73.638960050393962</v>
      </c>
    </row>
    <row r="227" spans="1:4">
      <c r="A227" s="406" t="s">
        <v>84</v>
      </c>
      <c r="B227" s="400">
        <f>C211</f>
        <v>2.5000000000000001E-2</v>
      </c>
      <c r="C227" s="235">
        <f>E78</f>
        <v>0.34297471315153155</v>
      </c>
      <c r="D227" s="87">
        <f t="shared" si="14"/>
        <v>8.5743678287882891E-3</v>
      </c>
    </row>
    <row r="228" spans="1:4">
      <c r="A228" s="186" t="s">
        <v>249</v>
      </c>
      <c r="B228" s="402">
        <v>1</v>
      </c>
      <c r="C228" s="235">
        <f>B138</f>
        <v>226.8</v>
      </c>
      <c r="D228" s="87">
        <f t="shared" si="14"/>
        <v>226.8</v>
      </c>
    </row>
    <row r="229" spans="1:4">
      <c r="A229" s="186" t="s">
        <v>250</v>
      </c>
      <c r="B229" s="396">
        <v>1</v>
      </c>
      <c r="C229" s="235">
        <f>B139</f>
        <v>1175.5102040816328</v>
      </c>
      <c r="D229" s="87">
        <f t="shared" si="14"/>
        <v>1175.5102040816328</v>
      </c>
    </row>
    <row r="230" spans="1:4">
      <c r="A230" s="186" t="s">
        <v>251</v>
      </c>
      <c r="B230" s="397">
        <v>1</v>
      </c>
      <c r="C230" s="573">
        <f>C228+C229</f>
        <v>1402.3102040816327</v>
      </c>
      <c r="D230" s="87">
        <f>C230*B230</f>
        <v>1402.3102040816327</v>
      </c>
    </row>
    <row r="231" spans="1:4">
      <c r="A231" s="406" t="s">
        <v>238</v>
      </c>
      <c r="B231" s="397">
        <v>1</v>
      </c>
      <c r="C231" s="573">
        <f>C230/32*96</f>
        <v>4206.9306122448979</v>
      </c>
      <c r="D231" s="87">
        <f>C231*B231</f>
        <v>4206.9306122448979</v>
      </c>
    </row>
    <row r="232" spans="1:4">
      <c r="A232" s="406" t="s">
        <v>239</v>
      </c>
      <c r="B232" s="397">
        <v>1</v>
      </c>
      <c r="C232" s="573">
        <f>C230/32*136</f>
        <v>5959.8183673469393</v>
      </c>
      <c r="D232" s="87">
        <f>C232*B232</f>
        <v>5959.8183673469393</v>
      </c>
    </row>
    <row r="233" spans="1:4">
      <c r="A233" s="406" t="s">
        <v>248</v>
      </c>
      <c r="B233" s="396">
        <v>1</v>
      </c>
      <c r="C233" s="235">
        <f>C161*B147*32/78</f>
        <v>18.105027344127205</v>
      </c>
      <c r="D233" s="87">
        <f>C233*B233</f>
        <v>18.105027344127205</v>
      </c>
    </row>
    <row r="234" spans="1:4" ht="14.65" thickBot="1">
      <c r="A234" s="187" t="s">
        <v>86</v>
      </c>
      <c r="B234" s="353">
        <f>C203</f>
        <v>0.95</v>
      </c>
      <c r="C234" s="236">
        <f>E80</f>
        <v>12.364389620715265</v>
      </c>
      <c r="D234" s="88">
        <f t="shared" si="14"/>
        <v>11.746170139679501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56208</v>
      </c>
    </row>
    <row r="239" spans="1:4">
      <c r="A239" s="281" t="s">
        <v>334</v>
      </c>
      <c r="B239" s="278" t="s">
        <v>35</v>
      </c>
      <c r="C239" s="289">
        <f>C161</f>
        <v>882.62008302620131</v>
      </c>
    </row>
    <row r="240" spans="1:4" ht="14.65" thickBot="1">
      <c r="A240" s="255" t="s">
        <v>6</v>
      </c>
      <c r="B240" s="271" t="s">
        <v>35</v>
      </c>
      <c r="C240" s="280">
        <f>C238+C239</f>
        <v>57090.620083026202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12000</v>
      </c>
    </row>
    <row r="245" spans="1:4" hidden="1">
      <c r="A245" s="282" t="s">
        <v>87</v>
      </c>
      <c r="B245" s="288" t="s">
        <v>35</v>
      </c>
      <c r="C245" s="295">
        <f>SUM($E$66:$E$80)</f>
        <v>2289.0875900440278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882.62008302620131</v>
      </c>
    </row>
    <row r="248" spans="1:4" hidden="1">
      <c r="A248" s="287" t="s">
        <v>122</v>
      </c>
      <c r="B248" s="288" t="s">
        <v>35</v>
      </c>
      <c r="C248" s="289">
        <f>C247*C246</f>
        <v>44.131004151310066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13176.428584502648</v>
      </c>
    </row>
    <row r="250" spans="1:4" hidden="1">
      <c r="A250" s="282" t="s">
        <v>57</v>
      </c>
      <c r="B250" s="288" t="s">
        <v>35</v>
      </c>
      <c r="C250" s="279">
        <f>C244-C245+C248+C249</f>
        <v>22931.47199860993</v>
      </c>
    </row>
    <row r="251" spans="1:4" hidden="1">
      <c r="A251" s="282" t="s">
        <v>6</v>
      </c>
      <c r="B251" s="288" t="s">
        <v>35</v>
      </c>
      <c r="C251" s="289">
        <f>$C$240</f>
        <v>57090.620083026202</v>
      </c>
    </row>
    <row r="252" spans="1:4" hidden="1">
      <c r="A252" s="310" t="s">
        <v>59</v>
      </c>
      <c r="B252" s="283" t="s">
        <v>24</v>
      </c>
      <c r="C252" s="300">
        <f>C250/C251</f>
        <v>0.40166794414320539</v>
      </c>
    </row>
    <row r="253" spans="1:4" hidden="1">
      <c r="A253" s="282" t="s">
        <v>32</v>
      </c>
      <c r="B253" s="288" t="s">
        <v>35</v>
      </c>
      <c r="C253" s="279">
        <f>$C$25</f>
        <v>3600</v>
      </c>
    </row>
    <row r="254" spans="1:4" hidden="1">
      <c r="A254" s="282" t="s">
        <v>33</v>
      </c>
      <c r="B254" s="288" t="s">
        <v>35</v>
      </c>
      <c r="C254" s="279">
        <f>$C$30</f>
        <v>6600.0000000000009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SUM($E$66:$E$80)</f>
        <v>2289.0875900440278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882.62008302620131</v>
      </c>
    </row>
    <row r="259" spans="1:4" hidden="1">
      <c r="A259" s="287" t="s">
        <v>123</v>
      </c>
      <c r="B259" s="288" t="s">
        <v>35</v>
      </c>
      <c r="C259" s="289">
        <f>C239*C257</f>
        <v>838.48907887489122</v>
      </c>
    </row>
    <row r="260" spans="1:4" hidden="1">
      <c r="A260" s="282" t="s">
        <v>121</v>
      </c>
      <c r="B260" s="288" t="s">
        <v>35</v>
      </c>
      <c r="C260" s="295">
        <f>SUM($D$216:$D$234)</f>
        <v>13176.428584502648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57090.620083026202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C22</f>
        <v>12000</v>
      </c>
      <c r="D267" s="99"/>
    </row>
    <row r="268" spans="1:4">
      <c r="A268" s="282" t="s">
        <v>329</v>
      </c>
      <c r="B268" s="288" t="s">
        <v>35</v>
      </c>
      <c r="C268" s="295">
        <f>C25</f>
        <v>3600</v>
      </c>
      <c r="D268" s="99"/>
    </row>
    <row r="269" spans="1:4">
      <c r="A269" s="282" t="s">
        <v>428</v>
      </c>
      <c r="B269" s="288" t="s">
        <v>35</v>
      </c>
      <c r="C269" s="295">
        <f>C30</f>
        <v>6600.0000000000009</v>
      </c>
      <c r="D269" s="99"/>
    </row>
    <row r="270" spans="1:4">
      <c r="A270" s="282" t="s">
        <v>115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C161</f>
        <v>882.62008302620131</v>
      </c>
      <c r="D271" s="99"/>
    </row>
    <row r="272" spans="1:4">
      <c r="A272" s="282" t="s">
        <v>429</v>
      </c>
      <c r="B272" s="288" t="s">
        <v>35</v>
      </c>
      <c r="C272" s="295">
        <f>C271*C270</f>
        <v>44.131004151310066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22244.13100415131</v>
      </c>
      <c r="D273" s="99"/>
    </row>
    <row r="274" spans="1:12">
      <c r="A274" s="282" t="s">
        <v>6</v>
      </c>
      <c r="B274" s="288" t="s">
        <v>35</v>
      </c>
      <c r="C274" s="289">
        <f>C240</f>
        <v>57090.620083026202</v>
      </c>
    </row>
    <row r="275" spans="1:12">
      <c r="A275" s="310" t="s">
        <v>64</v>
      </c>
      <c r="B275" s="283" t="s">
        <v>24</v>
      </c>
      <c r="C275" s="300">
        <f>C273/C274</f>
        <v>0.38962847087318264</v>
      </c>
    </row>
    <row r="276" spans="1:12">
      <c r="A276" s="282" t="s">
        <v>366</v>
      </c>
      <c r="B276" s="288" t="s">
        <v>35</v>
      </c>
      <c r="C276" s="279">
        <f>C24</f>
        <v>34008</v>
      </c>
    </row>
    <row r="277" spans="1:12">
      <c r="A277" s="282" t="s">
        <v>117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C161</f>
        <v>882.62008302620131</v>
      </c>
    </row>
    <row r="279" spans="1:12">
      <c r="A279" s="282" t="s">
        <v>356</v>
      </c>
      <c r="B279" s="288" t="s">
        <v>35</v>
      </c>
      <c r="C279" s="279">
        <f>C277*C278</f>
        <v>838.48907887489122</v>
      </c>
    </row>
    <row r="280" spans="1:12">
      <c r="A280" s="282" t="s">
        <v>335</v>
      </c>
      <c r="B280" s="288" t="s">
        <v>35</v>
      </c>
      <c r="C280" s="279">
        <f>C276+C279</f>
        <v>34846.489078874889</v>
      </c>
    </row>
    <row r="281" spans="1:12">
      <c r="A281" s="282" t="s">
        <v>6</v>
      </c>
      <c r="B281" s="288" t="s">
        <v>35</v>
      </c>
      <c r="C281" s="289">
        <f>C240</f>
        <v>57090.620083026202</v>
      </c>
    </row>
    <row r="282" spans="1:12" ht="14.65" thickBot="1">
      <c r="A282" s="311" t="s">
        <v>66</v>
      </c>
      <c r="B282" s="284" t="s">
        <v>24</v>
      </c>
      <c r="C282" s="303">
        <f>C280/C281</f>
        <v>0.61037152912681736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62" t="s">
        <v>262</v>
      </c>
      <c r="C285" s="1063"/>
      <c r="D285" s="1063"/>
      <c r="E285" s="1063"/>
      <c r="F285" s="1064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468.024</v>
      </c>
      <c r="C289" s="429">
        <f>B289-D289</f>
        <v>297.23661411933938</v>
      </c>
      <c r="D289" s="428">
        <f>D123+D216</f>
        <v>170.78738588066062</v>
      </c>
      <c r="E289" s="160">
        <f>$C$273</f>
        <v>22244.13100415131</v>
      </c>
      <c r="F289" s="429">
        <f>$C$240</f>
        <v>57090.620083026202</v>
      </c>
      <c r="G289" s="404">
        <f t="shared" ref="G289:G308" si="15">B289/E289*1000000</f>
        <v>21040.336433581291</v>
      </c>
      <c r="H289" s="560">
        <f>G289/1000000</f>
        <v>2.1040336433581292E-2</v>
      </c>
      <c r="I289" s="557">
        <f>C289/F289*1000000</f>
        <v>5206.4001702393798</v>
      </c>
      <c r="J289" s="430">
        <f>I289/1000000</f>
        <v>5.2064001702393798E-3</v>
      </c>
      <c r="K289" s="431">
        <f>D289/F289*1000000</f>
        <v>2991.5139410342113</v>
      </c>
      <c r="L289" s="433">
        <f>K289/1000000</f>
        <v>2.9915139410342114E-3</v>
      </c>
    </row>
    <row r="290" spans="1:12">
      <c r="A290" s="149" t="s">
        <v>73</v>
      </c>
      <c r="B290" s="161">
        <f>B124</f>
        <v>0.34320000000000001</v>
      </c>
      <c r="C290" s="424">
        <f t="shared" ref="C290:C310" si="16">B290-D290</f>
        <v>2.7508594065107583E-2</v>
      </c>
      <c r="D290" s="235">
        <f>D124+D217</f>
        <v>0.31569140593489242</v>
      </c>
      <c r="E290" s="119">
        <f t="shared" ref="E290:E310" si="17">$C$273</f>
        <v>22244.13100415131</v>
      </c>
      <c r="F290" s="424">
        <f t="shared" ref="F290:F310" si="18">$C$240</f>
        <v>57090.620083026202</v>
      </c>
      <c r="G290" s="395">
        <f t="shared" si="15"/>
        <v>15.428788831352877</v>
      </c>
      <c r="H290" s="561">
        <f t="shared" ref="H290:H310" si="19">G290/1000000</f>
        <v>1.5428788831352878E-5</v>
      </c>
      <c r="I290" s="558">
        <f t="shared" ref="I290:I310" si="20">C290/F290*1000000</f>
        <v>0.48184087027084599</v>
      </c>
      <c r="J290" s="425">
        <f t="shared" ref="J290:J310" si="21">I290/1000000</f>
        <v>4.81840870270846E-7</v>
      </c>
      <c r="K290" s="426">
        <f t="shared" ref="K290:K310" si="22">D290/F290*1000000</f>
        <v>5.5296545295144144</v>
      </c>
      <c r="L290" s="434">
        <f t="shared" ref="L290:L310" si="23">K290/1000000</f>
        <v>5.5296545295144144E-6</v>
      </c>
    </row>
    <row r="291" spans="1:12">
      <c r="A291" s="149" t="s">
        <v>74</v>
      </c>
      <c r="B291" s="161">
        <f t="shared" ref="B291:B305" si="24">B125</f>
        <v>1908</v>
      </c>
      <c r="C291" s="424">
        <f t="shared" si="16"/>
        <v>301.91686339228249</v>
      </c>
      <c r="D291" s="235">
        <f>D125</f>
        <v>1606.0831366077175</v>
      </c>
      <c r="E291" s="119">
        <f t="shared" si="17"/>
        <v>22244.13100415131</v>
      </c>
      <c r="F291" s="424">
        <f t="shared" si="18"/>
        <v>57090.620083026202</v>
      </c>
      <c r="G291" s="395">
        <f t="shared" si="15"/>
        <v>85775.434412066694</v>
      </c>
      <c r="H291" s="561">
        <f t="shared" si="19"/>
        <v>8.5775434412066698E-2</v>
      </c>
      <c r="I291" s="558">
        <f t="shared" si="20"/>
        <v>5288.3794737771013</v>
      </c>
      <c r="J291" s="425">
        <f t="shared" si="21"/>
        <v>5.2883794737771011E-3</v>
      </c>
      <c r="K291" s="426">
        <f t="shared" si="22"/>
        <v>28132.171874679418</v>
      </c>
      <c r="L291" s="434">
        <f t="shared" si="23"/>
        <v>2.8132171874679417E-2</v>
      </c>
    </row>
    <row r="292" spans="1:12">
      <c r="A292" s="149" t="s">
        <v>75</v>
      </c>
      <c r="B292" s="161">
        <f t="shared" si="24"/>
        <v>4.2000000000000003E-2</v>
      </c>
      <c r="C292" s="424">
        <f t="shared" si="16"/>
        <v>1.0380305269228264E-2</v>
      </c>
      <c r="D292" s="235">
        <f>D218+D126</f>
        <v>3.1619694730771739E-2</v>
      </c>
      <c r="E292" s="119">
        <f t="shared" si="17"/>
        <v>22244.13100415131</v>
      </c>
      <c r="F292" s="424">
        <f t="shared" si="18"/>
        <v>57090.620083026202</v>
      </c>
      <c r="G292" s="395">
        <f t="shared" si="15"/>
        <v>1.8881384933473802</v>
      </c>
      <c r="H292" s="561">
        <f t="shared" si="19"/>
        <v>1.8881384933473802E-6</v>
      </c>
      <c r="I292" s="558">
        <f t="shared" si="20"/>
        <v>0.18182155412101517</v>
      </c>
      <c r="J292" s="425">
        <f t="shared" si="21"/>
        <v>1.8182155412101517E-7</v>
      </c>
      <c r="K292" s="426">
        <f t="shared" si="22"/>
        <v>0.55385095983871957</v>
      </c>
      <c r="L292" s="434">
        <f t="shared" si="23"/>
        <v>5.5385095983871962E-7</v>
      </c>
    </row>
    <row r="293" spans="1:12">
      <c r="A293" s="149" t="s">
        <v>76</v>
      </c>
      <c r="B293" s="161">
        <f t="shared" si="24"/>
        <v>1.6319999999999999</v>
      </c>
      <c r="C293" s="424">
        <f t="shared" si="16"/>
        <v>0.65861882563119145</v>
      </c>
      <c r="D293" s="235">
        <f>D127</f>
        <v>0.97338117436880844</v>
      </c>
      <c r="E293" s="119">
        <f t="shared" si="17"/>
        <v>22244.13100415131</v>
      </c>
      <c r="F293" s="424">
        <f t="shared" si="18"/>
        <v>57090.620083026202</v>
      </c>
      <c r="G293" s="395">
        <f t="shared" si="15"/>
        <v>73.367667170069623</v>
      </c>
      <c r="H293" s="561">
        <f t="shared" si="19"/>
        <v>7.3367667170069629E-5</v>
      </c>
      <c r="I293" s="558">
        <f t="shared" si="20"/>
        <v>11.536375409364446</v>
      </c>
      <c r="J293" s="425">
        <f t="shared" si="21"/>
        <v>1.1536375409364445E-5</v>
      </c>
      <c r="K293" s="426">
        <f t="shared" si="22"/>
        <v>17.049756561642383</v>
      </c>
      <c r="L293" s="434">
        <f t="shared" si="23"/>
        <v>1.7049756561642384E-5</v>
      </c>
    </row>
    <row r="294" spans="1:12">
      <c r="A294" s="150" t="s">
        <v>77</v>
      </c>
      <c r="B294" s="161">
        <f t="shared" si="24"/>
        <v>7.8719999999999999</v>
      </c>
      <c r="C294" s="424">
        <f t="shared" si="16"/>
        <v>1.8390803487070784E-2</v>
      </c>
      <c r="D294" s="235">
        <f>D128+D219</f>
        <v>7.8536091965129291</v>
      </c>
      <c r="E294" s="119">
        <f t="shared" si="17"/>
        <v>22244.13100415131</v>
      </c>
      <c r="F294" s="424">
        <f t="shared" si="18"/>
        <v>57090.620083026202</v>
      </c>
      <c r="G294" s="395">
        <f t="shared" si="15"/>
        <v>353.89110046739466</v>
      </c>
      <c r="H294" s="561">
        <f t="shared" si="19"/>
        <v>3.5389110046739466E-4</v>
      </c>
      <c r="I294" s="558">
        <f t="shared" si="20"/>
        <v>0.32213353893030516</v>
      </c>
      <c r="J294" s="425">
        <f t="shared" si="21"/>
        <v>3.2213353893030519E-7</v>
      </c>
      <c r="K294" s="426">
        <f t="shared" si="22"/>
        <v>137.56391479180851</v>
      </c>
      <c r="L294" s="434">
        <f t="shared" si="23"/>
        <v>1.3756391479180852E-4</v>
      </c>
    </row>
    <row r="295" spans="1:12">
      <c r="A295" s="150" t="s">
        <v>78</v>
      </c>
      <c r="B295" s="161">
        <f t="shared" si="24"/>
        <v>1050.924</v>
      </c>
      <c r="C295" s="424">
        <f t="shared" si="16"/>
        <v>520.36897797378174</v>
      </c>
      <c r="D295" s="235">
        <f>D129+D220</f>
        <v>530.55502202621824</v>
      </c>
      <c r="E295" s="119">
        <f t="shared" si="17"/>
        <v>22244.13100415131</v>
      </c>
      <c r="F295" s="424">
        <f t="shared" si="18"/>
        <v>57090.620083026202</v>
      </c>
      <c r="G295" s="395">
        <f t="shared" si="15"/>
        <v>47245.001380538146</v>
      </c>
      <c r="H295" s="561">
        <f t="shared" si="19"/>
        <v>4.7245001380538144E-2</v>
      </c>
      <c r="I295" s="558">
        <f t="shared" si="20"/>
        <v>9114.7893860149943</v>
      </c>
      <c r="J295" s="425">
        <f t="shared" si="21"/>
        <v>9.1147893860149942E-3</v>
      </c>
      <c r="K295" s="426">
        <f t="shared" si="22"/>
        <v>9293.2082582854837</v>
      </c>
      <c r="L295" s="434">
        <f t="shared" si="23"/>
        <v>9.293208258285484E-3</v>
      </c>
    </row>
    <row r="296" spans="1:12">
      <c r="A296" s="150" t="s">
        <v>79</v>
      </c>
      <c r="B296" s="161">
        <f t="shared" si="24"/>
        <v>98.76</v>
      </c>
      <c r="C296" s="424">
        <f t="shared" si="16"/>
        <v>73.263467845989027</v>
      </c>
      <c r="D296" s="235">
        <f>D130+D221</f>
        <v>25.496532154010971</v>
      </c>
      <c r="E296" s="119">
        <f t="shared" si="17"/>
        <v>22244.13100415131</v>
      </c>
      <c r="F296" s="424">
        <f t="shared" si="18"/>
        <v>57090.620083026202</v>
      </c>
      <c r="G296" s="395">
        <f t="shared" si="15"/>
        <v>4439.8228000711251</v>
      </c>
      <c r="H296" s="561">
        <f t="shared" si="19"/>
        <v>4.4398228000711252E-3</v>
      </c>
      <c r="I296" s="558">
        <f t="shared" si="20"/>
        <v>1283.2837993254032</v>
      </c>
      <c r="J296" s="425">
        <f t="shared" si="21"/>
        <v>1.2832837993254033E-3</v>
      </c>
      <c r="K296" s="426">
        <f t="shared" si="22"/>
        <v>446.59756921420143</v>
      </c>
      <c r="L296" s="434">
        <f t="shared" si="23"/>
        <v>4.465975692142014E-4</v>
      </c>
    </row>
    <row r="297" spans="1:12">
      <c r="A297" s="150" t="s">
        <v>80</v>
      </c>
      <c r="B297" s="161">
        <f t="shared" si="24"/>
        <v>154.80000000000001</v>
      </c>
      <c r="C297" s="424">
        <f t="shared" si="16"/>
        <v>116.75952633918425</v>
      </c>
      <c r="D297" s="235">
        <f>D131+D222</f>
        <v>38.040473660815756</v>
      </c>
      <c r="E297" s="119">
        <f t="shared" si="17"/>
        <v>22244.13100415131</v>
      </c>
      <c r="F297" s="424">
        <f t="shared" si="18"/>
        <v>57090.620083026202</v>
      </c>
      <c r="G297" s="395">
        <f t="shared" si="15"/>
        <v>6959.139018337487</v>
      </c>
      <c r="H297" s="561">
        <f t="shared" si="19"/>
        <v>6.9591390183374874E-3</v>
      </c>
      <c r="I297" s="558">
        <f t="shared" si="20"/>
        <v>2045.1612921594176</v>
      </c>
      <c r="J297" s="425">
        <f t="shared" si="21"/>
        <v>2.0451612921594175E-3</v>
      </c>
      <c r="K297" s="426">
        <f t="shared" si="22"/>
        <v>666.31740214931904</v>
      </c>
      <c r="L297" s="434">
        <f t="shared" si="23"/>
        <v>6.6631740214931898E-4</v>
      </c>
    </row>
    <row r="298" spans="1:12">
      <c r="A298" s="150" t="s">
        <v>81</v>
      </c>
      <c r="B298" s="161">
        <f t="shared" si="24"/>
        <v>97.2</v>
      </c>
      <c r="C298" s="424">
        <f t="shared" si="16"/>
        <v>79.757761095277999</v>
      </c>
      <c r="D298" s="235">
        <f>D132</f>
        <v>17.442238904721997</v>
      </c>
      <c r="E298" s="119">
        <f t="shared" si="17"/>
        <v>22244.13100415131</v>
      </c>
      <c r="F298" s="424">
        <f t="shared" si="18"/>
        <v>57090.620083026202</v>
      </c>
      <c r="G298" s="395">
        <f t="shared" si="15"/>
        <v>4369.6919417467943</v>
      </c>
      <c r="H298" s="561">
        <f t="shared" si="19"/>
        <v>4.3696919417467945E-3</v>
      </c>
      <c r="I298" s="558">
        <f t="shared" si="20"/>
        <v>1397.0379193515018</v>
      </c>
      <c r="J298" s="425">
        <f t="shared" si="21"/>
        <v>1.3970379193515019E-3</v>
      </c>
      <c r="K298" s="426">
        <f t="shared" si="22"/>
        <v>305.51847009816947</v>
      </c>
      <c r="L298" s="434">
        <f t="shared" si="23"/>
        <v>3.055184700981695E-4</v>
      </c>
    </row>
    <row r="299" spans="1:12">
      <c r="A299" s="150" t="s">
        <v>82</v>
      </c>
      <c r="B299" s="161">
        <f t="shared" si="24"/>
        <v>1.5</v>
      </c>
      <c r="C299" s="424">
        <f t="shared" si="16"/>
        <v>0.63731164578968114</v>
      </c>
      <c r="D299" s="235">
        <f>D133+D223</f>
        <v>0.86268835421031886</v>
      </c>
      <c r="E299" s="119">
        <f t="shared" si="17"/>
        <v>22244.13100415131</v>
      </c>
      <c r="F299" s="424">
        <f t="shared" si="18"/>
        <v>57090.620083026202</v>
      </c>
      <c r="G299" s="395">
        <f t="shared" si="15"/>
        <v>67.433517619549292</v>
      </c>
      <c r="H299" s="561">
        <f t="shared" si="19"/>
        <v>6.743351761954929E-5</v>
      </c>
      <c r="I299" s="558">
        <f t="shared" si="20"/>
        <v>11.163158586521682</v>
      </c>
      <c r="J299" s="425">
        <f t="shared" si="21"/>
        <v>1.1163158586521681E-5</v>
      </c>
      <c r="K299" s="426">
        <f t="shared" si="22"/>
        <v>15.110859769183126</v>
      </c>
      <c r="L299" s="434">
        <f t="shared" si="23"/>
        <v>1.5110859769183126E-5</v>
      </c>
    </row>
    <row r="300" spans="1:12">
      <c r="A300" s="150" t="s">
        <v>213</v>
      </c>
      <c r="B300" s="161">
        <f t="shared" si="24"/>
        <v>979.41600000000005</v>
      </c>
      <c r="C300" s="424">
        <f t="shared" si="16"/>
        <v>836.35821747556804</v>
      </c>
      <c r="D300" s="235">
        <f>D134+D224</f>
        <v>143.05778252443201</v>
      </c>
      <c r="E300" s="119">
        <f t="shared" si="17"/>
        <v>22244.13100415131</v>
      </c>
      <c r="F300" s="424">
        <f t="shared" si="18"/>
        <v>57090.620083026202</v>
      </c>
      <c r="G300" s="395">
        <f t="shared" si="15"/>
        <v>44030.310728578988</v>
      </c>
      <c r="H300" s="561">
        <f t="shared" si="19"/>
        <v>4.4030310728578985E-2</v>
      </c>
      <c r="I300" s="558">
        <f t="shared" si="20"/>
        <v>14649.660771931753</v>
      </c>
      <c r="J300" s="425">
        <f t="shared" si="21"/>
        <v>1.4649660771931753E-2</v>
      </c>
      <c r="K300" s="426">
        <f t="shared" si="22"/>
        <v>2505.8018693155691</v>
      </c>
      <c r="L300" s="434">
        <f t="shared" si="23"/>
        <v>2.505801869315569E-3</v>
      </c>
    </row>
    <row r="301" spans="1:12">
      <c r="A301" s="150" t="s">
        <v>96</v>
      </c>
      <c r="B301" s="161">
        <f t="shared" si="24"/>
        <v>2087.7551020408168</v>
      </c>
      <c r="C301" s="424">
        <f t="shared" si="16"/>
        <v>2035.5612244897964</v>
      </c>
      <c r="D301" s="235">
        <f>D135+D225</f>
        <v>52.193877551020421</v>
      </c>
      <c r="E301" s="119">
        <f t="shared" si="17"/>
        <v>22244.13100415131</v>
      </c>
      <c r="F301" s="424">
        <f t="shared" si="18"/>
        <v>57090.620083026202</v>
      </c>
      <c r="G301" s="395">
        <f t="shared" si="15"/>
        <v>93856.446972515565</v>
      </c>
      <c r="H301" s="561">
        <f t="shared" si="19"/>
        <v>9.3856446972515564E-2</v>
      </c>
      <c r="I301" s="558">
        <f t="shared" si="20"/>
        <v>35654.915317603911</v>
      </c>
      <c r="J301" s="425">
        <f t="shared" si="21"/>
        <v>3.5654915317603911E-2</v>
      </c>
      <c r="K301" s="426">
        <f t="shared" si="22"/>
        <v>914.22859788727976</v>
      </c>
      <c r="L301" s="434">
        <f t="shared" si="23"/>
        <v>9.1422859788727973E-4</v>
      </c>
    </row>
    <row r="302" spans="1:12">
      <c r="A302" s="150" t="s">
        <v>97</v>
      </c>
      <c r="B302" s="161">
        <f t="shared" si="24"/>
        <v>3067.171102040817</v>
      </c>
      <c r="C302" s="424">
        <f t="shared" si="16"/>
        <v>2871.9194419653645</v>
      </c>
      <c r="D302" s="235">
        <f>D136+D226</f>
        <v>195.25166007545243</v>
      </c>
      <c r="E302" s="119">
        <f t="shared" si="17"/>
        <v>22244.13100415131</v>
      </c>
      <c r="F302" s="424">
        <f t="shared" si="18"/>
        <v>57090.620083026202</v>
      </c>
      <c r="G302" s="395">
        <f t="shared" si="15"/>
        <v>137886.75770109458</v>
      </c>
      <c r="H302" s="561">
        <f t="shared" si="19"/>
        <v>0.13788675770109457</v>
      </c>
      <c r="I302" s="558">
        <f t="shared" si="20"/>
        <v>50304.576089535665</v>
      </c>
      <c r="J302" s="425">
        <f t="shared" si="21"/>
        <v>5.0304576089535667E-2</v>
      </c>
      <c r="K302" s="426">
        <f t="shared" si="22"/>
        <v>3420.0304672028487</v>
      </c>
      <c r="L302" s="434">
        <f t="shared" si="23"/>
        <v>3.4200304672028486E-3</v>
      </c>
    </row>
    <row r="303" spans="1:12">
      <c r="A303" s="150" t="s">
        <v>84</v>
      </c>
      <c r="B303" s="161">
        <f t="shared" si="24"/>
        <v>1.488</v>
      </c>
      <c r="C303" s="424">
        <f t="shared" si="16"/>
        <v>0.3344003453227431</v>
      </c>
      <c r="D303" s="235">
        <f>D227+D137</f>
        <v>1.1535996546772569</v>
      </c>
      <c r="E303" s="119">
        <f t="shared" si="17"/>
        <v>22244.13100415131</v>
      </c>
      <c r="F303" s="424">
        <f t="shared" si="18"/>
        <v>57090.620083026202</v>
      </c>
      <c r="G303" s="395">
        <f t="shared" si="15"/>
        <v>66.894049478592891</v>
      </c>
      <c r="H303" s="561">
        <f t="shared" si="19"/>
        <v>6.6894049478592895E-5</v>
      </c>
      <c r="I303" s="558">
        <f t="shared" si="20"/>
        <v>5.8573605407758524</v>
      </c>
      <c r="J303" s="425">
        <f t="shared" si="21"/>
        <v>5.8573605407758521E-6</v>
      </c>
      <c r="K303" s="426">
        <f t="shared" si="22"/>
        <v>20.206465668083318</v>
      </c>
      <c r="L303" s="434">
        <f t="shared" si="23"/>
        <v>2.0206465668083317E-5</v>
      </c>
    </row>
    <row r="304" spans="1:12">
      <c r="A304" s="150" t="s">
        <v>249</v>
      </c>
      <c r="B304" s="161">
        <f t="shared" si="24"/>
        <v>226.8</v>
      </c>
      <c r="C304" s="424">
        <f t="shared" si="16"/>
        <v>0</v>
      </c>
      <c r="D304" s="235">
        <f t="shared" ref="D304:D309" si="25">D228</f>
        <v>226.8</v>
      </c>
      <c r="E304" s="119">
        <f t="shared" si="17"/>
        <v>22244.13100415131</v>
      </c>
      <c r="F304" s="424">
        <f t="shared" si="18"/>
        <v>57090.620083026202</v>
      </c>
      <c r="G304" s="395">
        <f t="shared" si="15"/>
        <v>10195.947864075853</v>
      </c>
      <c r="H304" s="561">
        <f t="shared" si="19"/>
        <v>1.0195947864075853E-2</v>
      </c>
      <c r="I304" s="558">
        <f t="shared" si="20"/>
        <v>0</v>
      </c>
      <c r="J304" s="425">
        <f t="shared" si="21"/>
        <v>0</v>
      </c>
      <c r="K304" s="426">
        <f t="shared" si="22"/>
        <v>3972.631575382567</v>
      </c>
      <c r="L304" s="434">
        <f t="shared" si="23"/>
        <v>3.972631575382567E-3</v>
      </c>
    </row>
    <row r="305" spans="1:12">
      <c r="A305" s="150" t="s">
        <v>250</v>
      </c>
      <c r="B305" s="161">
        <f t="shared" si="24"/>
        <v>1175.5102040816328</v>
      </c>
      <c r="C305" s="424">
        <f t="shared" si="16"/>
        <v>0</v>
      </c>
      <c r="D305" s="235">
        <f t="shared" si="25"/>
        <v>1175.5102040816328</v>
      </c>
      <c r="E305" s="119">
        <f t="shared" si="17"/>
        <v>22244.13100415131</v>
      </c>
      <c r="F305" s="424">
        <f t="shared" si="18"/>
        <v>57090.620083026202</v>
      </c>
      <c r="G305" s="395">
        <f t="shared" si="15"/>
        <v>52845.858705932507</v>
      </c>
      <c r="H305" s="561">
        <f t="shared" si="19"/>
        <v>5.2845858705932509E-2</v>
      </c>
      <c r="I305" s="558">
        <f t="shared" si="20"/>
        <v>0</v>
      </c>
      <c r="J305" s="425">
        <f t="shared" si="21"/>
        <v>0</v>
      </c>
      <c r="K305" s="426">
        <f t="shared" si="22"/>
        <v>20590.251119572749</v>
      </c>
      <c r="L305" s="434">
        <f t="shared" si="23"/>
        <v>2.0590251119572748E-2</v>
      </c>
    </row>
    <row r="306" spans="1:12">
      <c r="A306" s="150" t="s">
        <v>251</v>
      </c>
      <c r="B306" s="161">
        <f>B304+B305</f>
        <v>1402.3102040816327</v>
      </c>
      <c r="C306" s="424">
        <f>B306-D306</f>
        <v>0</v>
      </c>
      <c r="D306" s="235">
        <f t="shared" si="25"/>
        <v>1402.3102040816327</v>
      </c>
      <c r="E306" s="119">
        <f t="shared" si="17"/>
        <v>22244.13100415131</v>
      </c>
      <c r="F306" s="424">
        <f t="shared" si="18"/>
        <v>57090.620083026202</v>
      </c>
      <c r="G306" s="395">
        <f t="shared" si="15"/>
        <v>63041.806570008368</v>
      </c>
      <c r="H306" s="561">
        <f t="shared" si="19"/>
        <v>6.3041806570008366E-2</v>
      </c>
      <c r="I306" s="558">
        <f>C306/F306*1000000</f>
        <v>0</v>
      </c>
      <c r="J306" s="425">
        <f>I306/1000000</f>
        <v>0</v>
      </c>
      <c r="K306" s="426">
        <f>D306/F306*1000000</f>
        <v>24562.882694955315</v>
      </c>
      <c r="L306" s="434">
        <f>K306/1000000</f>
        <v>2.4562882694955317E-2</v>
      </c>
    </row>
    <row r="307" spans="1:12">
      <c r="A307" s="151" t="s">
        <v>238</v>
      </c>
      <c r="B307" s="161">
        <f>B306/32*96</f>
        <v>4206.9306122448979</v>
      </c>
      <c r="C307" s="424">
        <f>B307-D307</f>
        <v>0</v>
      </c>
      <c r="D307" s="235">
        <f t="shared" si="25"/>
        <v>4206.9306122448979</v>
      </c>
      <c r="E307" s="119">
        <f t="shared" si="17"/>
        <v>22244.13100415131</v>
      </c>
      <c r="F307" s="424">
        <f t="shared" si="18"/>
        <v>57090.620083026202</v>
      </c>
      <c r="G307" s="395">
        <f t="shared" si="15"/>
        <v>189125.41971002507</v>
      </c>
      <c r="H307" s="561">
        <f t="shared" si="19"/>
        <v>0.18912541971002508</v>
      </c>
      <c r="I307" s="558">
        <f>C307/F307*1000000</f>
        <v>0</v>
      </c>
      <c r="J307" s="425">
        <f>I307/1000000</f>
        <v>0</v>
      </c>
      <c r="K307" s="426">
        <f>D307/F307*1000000</f>
        <v>73688.648084865941</v>
      </c>
      <c r="L307" s="434">
        <f>K307/1000000</f>
        <v>7.3688648084865943E-2</v>
      </c>
    </row>
    <row r="308" spans="1:12">
      <c r="A308" s="151" t="s">
        <v>239</v>
      </c>
      <c r="B308" s="161">
        <f>B306/32*136</f>
        <v>5959.8183673469393</v>
      </c>
      <c r="C308" s="424">
        <f>B308-D308</f>
        <v>0</v>
      </c>
      <c r="D308" s="235">
        <f t="shared" si="25"/>
        <v>5959.8183673469393</v>
      </c>
      <c r="E308" s="119">
        <f t="shared" si="17"/>
        <v>22244.13100415131</v>
      </c>
      <c r="F308" s="424">
        <f t="shared" si="18"/>
        <v>57090.620083026202</v>
      </c>
      <c r="G308" s="395">
        <f t="shared" si="15"/>
        <v>267927.67792253551</v>
      </c>
      <c r="H308" s="561">
        <f t="shared" si="19"/>
        <v>0.26792767792253552</v>
      </c>
      <c r="I308" s="558">
        <f>C308/F308*1000000</f>
        <v>0</v>
      </c>
      <c r="J308" s="425">
        <f>I308/1000000</f>
        <v>0</v>
      </c>
      <c r="K308" s="426">
        <f>D308/F308*1000000</f>
        <v>104392.25145356009</v>
      </c>
      <c r="L308" s="434">
        <f>K308/1000000</f>
        <v>0.1043922514535601</v>
      </c>
    </row>
    <row r="309" spans="1:12">
      <c r="A309" s="151" t="s">
        <v>248</v>
      </c>
      <c r="B309" s="161">
        <f>C233</f>
        <v>18.105027344127205</v>
      </c>
      <c r="C309" s="424">
        <f>B309-D309</f>
        <v>0</v>
      </c>
      <c r="D309" s="235">
        <f t="shared" si="25"/>
        <v>18.105027344127205</v>
      </c>
      <c r="E309" s="119">
        <f t="shared" si="17"/>
        <v>22244.13100415131</v>
      </c>
      <c r="F309" s="424">
        <f t="shared" si="18"/>
        <v>57090.620083026202</v>
      </c>
      <c r="G309" s="395">
        <f>B309/E309*1000000</f>
        <v>813.92378694174897</v>
      </c>
      <c r="H309" s="561">
        <f t="shared" si="19"/>
        <v>8.1392378694174899E-4</v>
      </c>
      <c r="I309" s="558">
        <f>C309/F309*1000000</f>
        <v>0</v>
      </c>
      <c r="J309" s="425">
        <f>I309/1000000</f>
        <v>0</v>
      </c>
      <c r="K309" s="426">
        <f>D309/F309*1000000</f>
        <v>317.1278805134238</v>
      </c>
      <c r="L309" s="434">
        <f>K309/1000000</f>
        <v>3.1712788051342378E-4</v>
      </c>
    </row>
    <row r="310" spans="1:12" ht="14.65" thickBot="1">
      <c r="A310" s="152" t="s">
        <v>86</v>
      </c>
      <c r="B310" s="162">
        <f>B143</f>
        <v>28.236000000000001</v>
      </c>
      <c r="C310" s="435">
        <f t="shared" si="16"/>
        <v>0.61821948103576219</v>
      </c>
      <c r="D310" s="236">
        <f>D143+D234</f>
        <v>27.617780518964238</v>
      </c>
      <c r="E310" s="135">
        <f t="shared" si="17"/>
        <v>22244.13100415131</v>
      </c>
      <c r="F310" s="435">
        <f t="shared" si="18"/>
        <v>57090.620083026202</v>
      </c>
      <c r="G310" s="405">
        <f>B310/E310*1000000</f>
        <v>1269.3685356703959</v>
      </c>
      <c r="H310" s="562">
        <f t="shared" si="19"/>
        <v>1.2693685356703959E-3</v>
      </c>
      <c r="I310" s="559">
        <f t="shared" si="20"/>
        <v>10.82873999505861</v>
      </c>
      <c r="J310" s="436">
        <f t="shared" si="21"/>
        <v>1.0828739995058611E-5</v>
      </c>
      <c r="K310" s="437">
        <f t="shared" si="22"/>
        <v>483.75338153272872</v>
      </c>
      <c r="L310" s="439">
        <f t="shared" si="23"/>
        <v>4.8375338153272871E-4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355</v>
      </c>
    </row>
    <row r="315" spans="1:12" ht="14.65" thickBot="1">
      <c r="A315" s="456">
        <v>0.62634496250407568</v>
      </c>
      <c r="B315" s="457">
        <v>0.37365503749592438</v>
      </c>
      <c r="C315" s="458">
        <v>0.4094383112944317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6</v>
      </c>
      <c r="B319" s="269" t="s">
        <v>35</v>
      </c>
      <c r="C319" s="386">
        <f>C240</f>
        <v>57090.620083026202</v>
      </c>
    </row>
    <row r="320" spans="1:12">
      <c r="A320" s="415" t="s">
        <v>338</v>
      </c>
      <c r="B320" s="37" t="s">
        <v>52</v>
      </c>
      <c r="C320" s="631">
        <v>1.5</v>
      </c>
    </row>
    <row r="321" spans="1:3">
      <c r="A321" s="257" t="s">
        <v>301</v>
      </c>
      <c r="B321" s="278" t="s">
        <v>35</v>
      </c>
      <c r="C321" s="279">
        <f>C22</f>
        <v>12000</v>
      </c>
    </row>
    <row r="322" spans="1:3" ht="14.65" thickBot="1">
      <c r="A322" s="255" t="s">
        <v>338</v>
      </c>
      <c r="B322" s="271" t="s">
        <v>35</v>
      </c>
      <c r="C322" s="256">
        <f>WWK*C321</f>
        <v>18000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12000</v>
      </c>
    </row>
    <row r="327" spans="1:3" hidden="1">
      <c r="A327" s="282" t="s">
        <v>87</v>
      </c>
      <c r="B327" s="288" t="s">
        <v>35</v>
      </c>
      <c r="C327" s="295">
        <f>SUM($E$66:$E$80)</f>
        <v>2289.0875900440278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882.62008302620131</v>
      </c>
    </row>
    <row r="330" spans="1:3" hidden="1">
      <c r="A330" s="282" t="s">
        <v>116</v>
      </c>
      <c r="B330" s="288" t="s">
        <v>35</v>
      </c>
      <c r="C330" s="295">
        <f>C329*C328</f>
        <v>44.131004151310066</v>
      </c>
    </row>
    <row r="331" spans="1:3" hidden="1">
      <c r="A331" s="282" t="s">
        <v>121</v>
      </c>
      <c r="B331" s="288" t="s">
        <v>35</v>
      </c>
      <c r="C331" s="295">
        <f>SUM($D$216:$D$234)</f>
        <v>13176.428584502648</v>
      </c>
    </row>
    <row r="332" spans="1:3" hidden="1">
      <c r="A332" s="282" t="s">
        <v>57</v>
      </c>
      <c r="B332" s="288" t="s">
        <v>35</v>
      </c>
      <c r="C332" s="279">
        <f>C326-C327+C330+C331</f>
        <v>22931.47199860993</v>
      </c>
    </row>
    <row r="333" spans="1:3" hidden="1">
      <c r="A333" s="282" t="s">
        <v>128</v>
      </c>
      <c r="B333" s="288" t="s">
        <v>35</v>
      </c>
      <c r="C333" s="279">
        <f>$C$319+$C$322</f>
        <v>75090.62008302621</v>
      </c>
    </row>
    <row r="334" spans="1:3" hidden="1">
      <c r="A334" s="310" t="s">
        <v>59</v>
      </c>
      <c r="B334" s="283" t="s">
        <v>24</v>
      </c>
      <c r="C334" s="300">
        <f>C332/C333</f>
        <v>0.30538397436663933</v>
      </c>
    </row>
    <row r="335" spans="1:3" hidden="1">
      <c r="A335" s="282" t="s">
        <v>32</v>
      </c>
      <c r="B335" s="288" t="s">
        <v>35</v>
      </c>
      <c r="C335" s="279">
        <f>$C$25</f>
        <v>3600</v>
      </c>
    </row>
    <row r="336" spans="1:3" hidden="1">
      <c r="A336" s="282" t="s">
        <v>33</v>
      </c>
      <c r="B336" s="288" t="s">
        <v>35</v>
      </c>
      <c r="C336" s="279">
        <f>$C$30</f>
        <v>6600.0000000000009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SUM($E$66:$E$80)</f>
        <v>2289.0875900440278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882.62008302620131</v>
      </c>
    </row>
    <row r="341" spans="1:3" hidden="1">
      <c r="A341" s="282" t="s">
        <v>118</v>
      </c>
      <c r="B341" s="288" t="s">
        <v>35</v>
      </c>
      <c r="C341" s="279">
        <f>C339*C340</f>
        <v>838.48907887489122</v>
      </c>
    </row>
    <row r="342" spans="1:3" hidden="1">
      <c r="A342" s="282" t="s">
        <v>37</v>
      </c>
      <c r="B342" s="288" t="s">
        <v>35</v>
      </c>
      <c r="C342" s="279">
        <f>$C$322</f>
        <v>18000</v>
      </c>
    </row>
    <row r="343" spans="1:3" hidden="1">
      <c r="A343" s="282" t="s">
        <v>121</v>
      </c>
      <c r="B343" s="288" t="s">
        <v>35</v>
      </c>
      <c r="C343" s="295">
        <f>SUM($D$216:$D$234)</f>
        <v>13176.428584502648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75090.62008302621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12000</v>
      </c>
    </row>
    <row r="351" spans="1:3" hidden="1">
      <c r="A351" s="282" t="s">
        <v>32</v>
      </c>
      <c r="B351" s="288" t="s">
        <v>35</v>
      </c>
      <c r="C351" s="295">
        <f>$C$25</f>
        <v>3600</v>
      </c>
    </row>
    <row r="352" spans="1:3" hidden="1">
      <c r="A352" s="282" t="s">
        <v>33</v>
      </c>
      <c r="B352" s="288" t="s">
        <v>35</v>
      </c>
      <c r="C352" s="295">
        <f>$C$30</f>
        <v>6600.0000000000009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882.62008302620131</v>
      </c>
    </row>
    <row r="355" spans="1:3" hidden="1">
      <c r="A355" s="282" t="s">
        <v>116</v>
      </c>
      <c r="B355" s="288" t="s">
        <v>35</v>
      </c>
      <c r="C355" s="295">
        <f>C354*C353</f>
        <v>44.131004151310066</v>
      </c>
    </row>
    <row r="356" spans="1:3" hidden="1">
      <c r="A356" s="282" t="s">
        <v>430</v>
      </c>
      <c r="B356" s="288" t="s">
        <v>35</v>
      </c>
      <c r="C356" s="279">
        <f>C350+C351+C352+C355</f>
        <v>22244.13100415131</v>
      </c>
    </row>
    <row r="357" spans="1:3" hidden="1">
      <c r="A357" s="282" t="s">
        <v>114</v>
      </c>
      <c r="B357" s="288" t="s">
        <v>35</v>
      </c>
      <c r="C357" s="279">
        <f>$C$319+$C$322</f>
        <v>75090.62008302621</v>
      </c>
    </row>
    <row r="358" spans="1:3" hidden="1">
      <c r="A358" s="310" t="s">
        <v>64</v>
      </c>
      <c r="B358" s="283" t="s">
        <v>24</v>
      </c>
      <c r="C358" s="300">
        <f>C356/C357</f>
        <v>0.29623048763689014</v>
      </c>
    </row>
    <row r="359" spans="1:3" hidden="1">
      <c r="A359" s="282" t="s">
        <v>34</v>
      </c>
      <c r="B359" s="288" t="s">
        <v>35</v>
      </c>
      <c r="C359" s="279">
        <f>$C$24</f>
        <v>34008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882.62008302620131</v>
      </c>
    </row>
    <row r="362" spans="1:3" hidden="1">
      <c r="A362" s="282" t="s">
        <v>118</v>
      </c>
      <c r="B362" s="288" t="s">
        <v>35</v>
      </c>
      <c r="C362" s="279">
        <f>C360*C361</f>
        <v>838.48907887489122</v>
      </c>
    </row>
    <row r="363" spans="1:3" hidden="1">
      <c r="A363" s="282" t="s">
        <v>37</v>
      </c>
      <c r="B363" s="288" t="s">
        <v>35</v>
      </c>
      <c r="C363" s="279">
        <f>$C$322</f>
        <v>18000</v>
      </c>
    </row>
    <row r="364" spans="1:3" hidden="1">
      <c r="A364" s="282" t="s">
        <v>65</v>
      </c>
      <c r="B364" s="288" t="s">
        <v>35</v>
      </c>
      <c r="C364" s="279">
        <f>C359+C362+C363</f>
        <v>52846.489078874889</v>
      </c>
    </row>
    <row r="365" spans="1:3" hidden="1">
      <c r="A365" s="282" t="s">
        <v>114</v>
      </c>
      <c r="B365" s="288" t="s">
        <v>35</v>
      </c>
      <c r="C365" s="279">
        <f>$C$319+$C$322</f>
        <v>75090.62008302621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0.70376951236310969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6</v>
      </c>
      <c r="B370" s="296" t="s">
        <v>35</v>
      </c>
      <c r="C370" s="286">
        <f>C319</f>
        <v>57090.620083026202</v>
      </c>
    </row>
    <row r="371" spans="1:3">
      <c r="A371" s="257" t="s">
        <v>338</v>
      </c>
      <c r="B371" s="278" t="s">
        <v>35</v>
      </c>
      <c r="C371" s="279">
        <f>C322</f>
        <v>18000</v>
      </c>
    </row>
    <row r="372" spans="1:3">
      <c r="A372" s="257" t="s">
        <v>339</v>
      </c>
      <c r="B372" s="278" t="s">
        <v>35</v>
      </c>
      <c r="C372" s="279">
        <f>C370+C371</f>
        <v>75090.62008302621</v>
      </c>
    </row>
    <row r="373" spans="1:3">
      <c r="A373" s="257" t="s">
        <v>130</v>
      </c>
      <c r="B373" s="278" t="s">
        <v>24</v>
      </c>
      <c r="C373" s="314">
        <f>A315</f>
        <v>0.62634496250407568</v>
      </c>
    </row>
    <row r="374" spans="1:3">
      <c r="A374" s="253" t="s">
        <v>9</v>
      </c>
      <c r="B374" s="270" t="s">
        <v>35</v>
      </c>
      <c r="C374" s="254">
        <f>C372*C373</f>
        <v>47032.631620310844</v>
      </c>
    </row>
    <row r="375" spans="1:3">
      <c r="A375" s="257" t="s">
        <v>131</v>
      </c>
      <c r="B375" s="278" t="s">
        <v>24</v>
      </c>
      <c r="C375" s="314">
        <f>B315</f>
        <v>0.37365503749592438</v>
      </c>
    </row>
    <row r="376" spans="1:3">
      <c r="A376" s="253" t="s">
        <v>11</v>
      </c>
      <c r="B376" s="270" t="s">
        <v>35</v>
      </c>
      <c r="C376" s="322">
        <f>C372*C375</f>
        <v>28057.98846271537</v>
      </c>
    </row>
    <row r="377" spans="1:3">
      <c r="A377" s="281" t="s">
        <v>355</v>
      </c>
      <c r="B377" s="278" t="s">
        <v>24</v>
      </c>
      <c r="C377" s="318">
        <f>C315</f>
        <v>0.4094383112944317</v>
      </c>
    </row>
    <row r="378" spans="1:3">
      <c r="A378" s="281" t="s">
        <v>421</v>
      </c>
      <c r="B378" s="278" t="s">
        <v>35</v>
      </c>
      <c r="C378" s="289">
        <f>C376*C377</f>
        <v>11488.015414492829</v>
      </c>
    </row>
    <row r="379" spans="1:3">
      <c r="A379" s="281" t="s">
        <v>132</v>
      </c>
      <c r="B379" s="278" t="s">
        <v>24</v>
      </c>
      <c r="C379" s="318">
        <f>1-C377</f>
        <v>0.59056168870556824</v>
      </c>
    </row>
    <row r="380" spans="1:3" ht="14.65" thickBot="1">
      <c r="A380" s="319" t="s">
        <v>340</v>
      </c>
      <c r="B380" s="320" t="s">
        <v>35</v>
      </c>
      <c r="C380" s="321">
        <f>C376*C379</f>
        <v>16569.973048222539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12000</v>
      </c>
    </row>
    <row r="385" spans="1:3">
      <c r="A385" s="257" t="s">
        <v>329</v>
      </c>
      <c r="B385" s="278" t="s">
        <v>35</v>
      </c>
      <c r="C385" s="295">
        <f>$C$25</f>
        <v>3600</v>
      </c>
    </row>
    <row r="386" spans="1:3">
      <c r="A386" s="257" t="s">
        <v>428</v>
      </c>
      <c r="B386" s="278" t="s">
        <v>35</v>
      </c>
      <c r="C386" s="295">
        <f>$C$30</f>
        <v>6600.0000000000009</v>
      </c>
    </row>
    <row r="387" spans="1:3">
      <c r="A387" s="257" t="s">
        <v>115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882.62008302620131</v>
      </c>
    </row>
    <row r="389" spans="1:3">
      <c r="A389" s="257" t="s">
        <v>429</v>
      </c>
      <c r="B389" s="278" t="s">
        <v>35</v>
      </c>
      <c r="C389" s="295">
        <f>C388*C387</f>
        <v>44.131004151310066</v>
      </c>
    </row>
    <row r="390" spans="1:3">
      <c r="A390" s="281" t="s">
        <v>421</v>
      </c>
      <c r="B390" s="278" t="s">
        <v>35</v>
      </c>
      <c r="C390" s="289">
        <f>$C$378</f>
        <v>11488.015414492829</v>
      </c>
    </row>
    <row r="391" spans="1:3">
      <c r="A391" s="257" t="s">
        <v>341</v>
      </c>
      <c r="B391" s="278" t="s">
        <v>35</v>
      </c>
      <c r="C391" s="279">
        <f>C384+C385+C386+C389-C390</f>
        <v>10756.115589658481</v>
      </c>
    </row>
    <row r="392" spans="1:3">
      <c r="A392" s="257" t="s">
        <v>9</v>
      </c>
      <c r="B392" s="278" t="s">
        <v>35</v>
      </c>
      <c r="C392" s="279">
        <f>$C$374</f>
        <v>47032.631620310844</v>
      </c>
    </row>
    <row r="393" spans="1:3">
      <c r="A393" s="299" t="s">
        <v>64</v>
      </c>
      <c r="B393" s="260" t="s">
        <v>24</v>
      </c>
      <c r="C393" s="300">
        <f>C391/C392</f>
        <v>0.22869474275841919</v>
      </c>
    </row>
    <row r="394" spans="1:3">
      <c r="A394" s="257" t="s">
        <v>366</v>
      </c>
      <c r="B394" s="278" t="s">
        <v>35</v>
      </c>
      <c r="C394" s="279">
        <f>$C$24</f>
        <v>34008</v>
      </c>
    </row>
    <row r="395" spans="1:3">
      <c r="A395" s="257" t="s">
        <v>117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882.62008302620131</v>
      </c>
    </row>
    <row r="397" spans="1:3">
      <c r="A397" s="257" t="s">
        <v>356</v>
      </c>
      <c r="B397" s="278" t="s">
        <v>35</v>
      </c>
      <c r="C397" s="279">
        <f>C395*C396</f>
        <v>838.48907887489122</v>
      </c>
    </row>
    <row r="398" spans="1:3">
      <c r="A398" s="257" t="s">
        <v>338</v>
      </c>
      <c r="B398" s="278" t="s">
        <v>35</v>
      </c>
      <c r="C398" s="279">
        <f>$C$322</f>
        <v>18000</v>
      </c>
    </row>
    <row r="399" spans="1:3">
      <c r="A399" s="281" t="s">
        <v>340</v>
      </c>
      <c r="B399" s="278" t="s">
        <v>35</v>
      </c>
      <c r="C399" s="289">
        <f>$C$380</f>
        <v>16569.973048222539</v>
      </c>
    </row>
    <row r="400" spans="1:3">
      <c r="A400" s="257" t="s">
        <v>342</v>
      </c>
      <c r="B400" s="278" t="s">
        <v>35</v>
      </c>
      <c r="C400" s="279">
        <f>C394+C397+C398-C399</f>
        <v>36276.516030652347</v>
      </c>
    </row>
    <row r="401" spans="1:8">
      <c r="A401" s="257" t="s">
        <v>9</v>
      </c>
      <c r="B401" s="278" t="s">
        <v>35</v>
      </c>
      <c r="C401" s="279">
        <f>$C$374</f>
        <v>47032.631620310844</v>
      </c>
    </row>
    <row r="402" spans="1:8" ht="14.65" thickBot="1">
      <c r="A402" s="301" t="s">
        <v>66</v>
      </c>
      <c r="B402" s="277" t="s">
        <v>24</v>
      </c>
      <c r="C402" s="303">
        <f>C400/C401</f>
        <v>0.7713052572415805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297.23661411933938</v>
      </c>
      <c r="C408" s="160">
        <f>$C$391</f>
        <v>10756.115589658481</v>
      </c>
      <c r="D408" s="467">
        <f>$C$374</f>
        <v>47032.631620310844</v>
      </c>
      <c r="E408" s="465">
        <f>B408/C408*1000000</f>
        <v>27634.196717365045</v>
      </c>
      <c r="F408" s="560">
        <f>E408/1000000</f>
        <v>2.7634196717365046E-2</v>
      </c>
      <c r="G408" s="443">
        <f>B408/D408*1000000</f>
        <v>6319.795509613351</v>
      </c>
      <c r="H408" s="460">
        <f>G408/1000000</f>
        <v>6.3197955096133511E-3</v>
      </c>
    </row>
    <row r="409" spans="1:8">
      <c r="A409" s="112" t="s">
        <v>73</v>
      </c>
      <c r="B409" s="461">
        <f>C290</f>
        <v>2.7508594065107583E-2</v>
      </c>
      <c r="C409" s="119">
        <f t="shared" ref="C409:C429" si="26">$C$391</f>
        <v>10756.115589658481</v>
      </c>
      <c r="D409" s="468">
        <f t="shared" ref="D409:D429" si="27">$C$374</f>
        <v>47032.631620310844</v>
      </c>
      <c r="E409" s="331">
        <f t="shared" ref="E409:E429" si="28">B409/C409*1000000</f>
        <v>2.5574840504276337</v>
      </c>
      <c r="F409" s="561">
        <f t="shared" ref="F409:F429" si="29">E409/1000000</f>
        <v>2.5574840504276335E-6</v>
      </c>
      <c r="G409" s="444">
        <f t="shared" ref="G409:G429" si="30">B409/D409*1000000</f>
        <v>0.58488315702130755</v>
      </c>
      <c r="H409" s="462">
        <f t="shared" ref="H409:H429" si="31">G409/1000000</f>
        <v>5.8488315702130753E-7</v>
      </c>
    </row>
    <row r="410" spans="1:8">
      <c r="A410" s="112" t="s">
        <v>74</v>
      </c>
      <c r="B410" s="461">
        <f t="shared" ref="B410:B412" si="32">C291</f>
        <v>301.91686339228249</v>
      </c>
      <c r="C410" s="119">
        <f t="shared" si="26"/>
        <v>10756.115589658481</v>
      </c>
      <c r="D410" s="468">
        <f t="shared" si="27"/>
        <v>47032.631620310844</v>
      </c>
      <c r="E410" s="331">
        <f t="shared" si="28"/>
        <v>28069.321203889063</v>
      </c>
      <c r="F410" s="561">
        <f t="shared" si="29"/>
        <v>2.8069321203889063E-2</v>
      </c>
      <c r="G410" s="444">
        <f t="shared" si="30"/>
        <v>6419.3061921268509</v>
      </c>
      <c r="H410" s="462">
        <f t="shared" si="31"/>
        <v>6.4193061921268505E-3</v>
      </c>
    </row>
    <row r="411" spans="1:8">
      <c r="A411" s="112" t="s">
        <v>75</v>
      </c>
      <c r="B411" s="461">
        <f t="shared" si="32"/>
        <v>1.0380305269228264E-2</v>
      </c>
      <c r="C411" s="119">
        <f t="shared" si="26"/>
        <v>10756.115589658481</v>
      </c>
      <c r="D411" s="468">
        <f t="shared" si="27"/>
        <v>47032.631620310844</v>
      </c>
      <c r="E411" s="331">
        <f t="shared" si="28"/>
        <v>0.9650607770716465</v>
      </c>
      <c r="F411" s="561">
        <f t="shared" si="29"/>
        <v>9.6506077707164649E-7</v>
      </c>
      <c r="G411" s="444">
        <f t="shared" si="30"/>
        <v>0.2207043261586403</v>
      </c>
      <c r="H411" s="462">
        <f t="shared" si="31"/>
        <v>2.207043261586403E-7</v>
      </c>
    </row>
    <row r="412" spans="1:8">
      <c r="A412" s="112" t="s">
        <v>76</v>
      </c>
      <c r="B412" s="461">
        <f t="shared" si="32"/>
        <v>0.65861882563119145</v>
      </c>
      <c r="C412" s="119">
        <f t="shared" si="26"/>
        <v>10756.115589658481</v>
      </c>
      <c r="D412" s="468">
        <f t="shared" si="27"/>
        <v>47032.631620310844</v>
      </c>
      <c r="E412" s="331">
        <f t="shared" si="28"/>
        <v>61.232033083060557</v>
      </c>
      <c r="F412" s="561">
        <f t="shared" si="29"/>
        <v>6.1232033083060555E-5</v>
      </c>
      <c r="G412" s="444">
        <f t="shared" si="30"/>
        <v>14.003444054505547</v>
      </c>
      <c r="H412" s="462">
        <f t="shared" si="31"/>
        <v>1.4003444054505546E-5</v>
      </c>
    </row>
    <row r="413" spans="1:8">
      <c r="A413" s="113" t="s">
        <v>77</v>
      </c>
      <c r="B413" s="461">
        <f>C294</f>
        <v>1.8390803487070784E-2</v>
      </c>
      <c r="C413" s="119">
        <f t="shared" si="26"/>
        <v>10756.115589658481</v>
      </c>
      <c r="D413" s="468">
        <f t="shared" si="27"/>
        <v>47032.631620310844</v>
      </c>
      <c r="E413" s="331">
        <f t="shared" si="28"/>
        <v>1.7097997259115281</v>
      </c>
      <c r="F413" s="561">
        <f t="shared" si="29"/>
        <v>1.709799725911528E-6</v>
      </c>
      <c r="G413" s="444">
        <f t="shared" si="30"/>
        <v>0.39102220848575253</v>
      </c>
      <c r="H413" s="462">
        <f t="shared" si="31"/>
        <v>3.9102220848575252E-7</v>
      </c>
    </row>
    <row r="414" spans="1:8">
      <c r="A414" s="113" t="s">
        <v>78</v>
      </c>
      <c r="B414" s="461">
        <f>C295</f>
        <v>520.36897797378174</v>
      </c>
      <c r="C414" s="119">
        <f t="shared" si="26"/>
        <v>10756.115589658481</v>
      </c>
      <c r="D414" s="468">
        <f t="shared" si="27"/>
        <v>47032.631620310844</v>
      </c>
      <c r="E414" s="331">
        <f t="shared" si="28"/>
        <v>48378.894186865473</v>
      </c>
      <c r="F414" s="561">
        <f t="shared" si="29"/>
        <v>4.8378894186865473E-2</v>
      </c>
      <c r="G414" s="444">
        <f t="shared" si="30"/>
        <v>11063.99876100198</v>
      </c>
      <c r="H414" s="462">
        <f t="shared" si="31"/>
        <v>1.106399876100198E-2</v>
      </c>
    </row>
    <row r="415" spans="1:8">
      <c r="A415" s="113" t="s">
        <v>79</v>
      </c>
      <c r="B415" s="461">
        <f>C296</f>
        <v>73.263467845989027</v>
      </c>
      <c r="C415" s="119">
        <f t="shared" si="26"/>
        <v>10756.115589658481</v>
      </c>
      <c r="D415" s="468">
        <f t="shared" si="27"/>
        <v>47032.631620310844</v>
      </c>
      <c r="E415" s="331">
        <f t="shared" si="28"/>
        <v>6811.3313988953914</v>
      </c>
      <c r="F415" s="561">
        <f t="shared" si="29"/>
        <v>6.811331398895391E-3</v>
      </c>
      <c r="G415" s="444">
        <f t="shared" si="30"/>
        <v>1557.7156821127251</v>
      </c>
      <c r="H415" s="462">
        <f t="shared" si="31"/>
        <v>1.5577156821127251E-3</v>
      </c>
    </row>
    <row r="416" spans="1:8">
      <c r="A416" s="113" t="s">
        <v>80</v>
      </c>
      <c r="B416" s="461">
        <f>C297</f>
        <v>116.75952633918425</v>
      </c>
      <c r="C416" s="119">
        <f t="shared" si="26"/>
        <v>10756.115589658481</v>
      </c>
      <c r="D416" s="468">
        <f t="shared" si="27"/>
        <v>47032.631620310844</v>
      </c>
      <c r="E416" s="331">
        <f t="shared" si="28"/>
        <v>10855.175863993434</v>
      </c>
      <c r="F416" s="561">
        <f t="shared" si="29"/>
        <v>1.0855175863993434E-2</v>
      </c>
      <c r="G416" s="444">
        <f t="shared" si="30"/>
        <v>2482.5216518133793</v>
      </c>
      <c r="H416" s="462">
        <f t="shared" si="31"/>
        <v>2.4825216518133794E-3</v>
      </c>
    </row>
    <row r="417" spans="1:8">
      <c r="A417" s="113" t="s">
        <v>81</v>
      </c>
      <c r="B417" s="461">
        <f t="shared" ref="B417:B429" si="33">C298</f>
        <v>79.757761095277999</v>
      </c>
      <c r="C417" s="119">
        <f t="shared" si="26"/>
        <v>10756.115589658481</v>
      </c>
      <c r="D417" s="468">
        <f t="shared" si="27"/>
        <v>47032.631620310844</v>
      </c>
      <c r="E417" s="331">
        <f t="shared" si="28"/>
        <v>7415.1082173160621</v>
      </c>
      <c r="F417" s="561">
        <f t="shared" si="29"/>
        <v>7.415108217316062E-3</v>
      </c>
      <c r="G417" s="444">
        <f t="shared" si="30"/>
        <v>1695.796266284937</v>
      </c>
      <c r="H417" s="462">
        <f t="shared" si="31"/>
        <v>1.6957962662849371E-3</v>
      </c>
    </row>
    <row r="418" spans="1:8">
      <c r="A418" s="113" t="s">
        <v>82</v>
      </c>
      <c r="B418" s="461">
        <f t="shared" si="33"/>
        <v>0.63731164578968114</v>
      </c>
      <c r="C418" s="119">
        <f t="shared" si="26"/>
        <v>10756.115589658481</v>
      </c>
      <c r="D418" s="468">
        <f t="shared" si="27"/>
        <v>47032.631620310844</v>
      </c>
      <c r="E418" s="331">
        <f t="shared" si="28"/>
        <v>59.251096780925955</v>
      </c>
      <c r="F418" s="561">
        <f t="shared" si="29"/>
        <v>5.9251096780925958E-5</v>
      </c>
      <c r="G418" s="444">
        <f t="shared" si="30"/>
        <v>13.55041433646806</v>
      </c>
      <c r="H418" s="462">
        <f t="shared" si="31"/>
        <v>1.3550414336468061E-5</v>
      </c>
    </row>
    <row r="419" spans="1:8">
      <c r="A419" s="113" t="s">
        <v>213</v>
      </c>
      <c r="B419" s="461">
        <f t="shared" si="33"/>
        <v>836.35821747556804</v>
      </c>
      <c r="C419" s="119">
        <f t="shared" si="26"/>
        <v>10756.115589658481</v>
      </c>
      <c r="D419" s="468">
        <f t="shared" si="27"/>
        <v>47032.631620310844</v>
      </c>
      <c r="E419" s="331">
        <f t="shared" si="28"/>
        <v>77756.529344077397</v>
      </c>
      <c r="F419" s="561">
        <f t="shared" si="29"/>
        <v>7.7756529344077396E-2</v>
      </c>
      <c r="G419" s="444">
        <f t="shared" si="30"/>
        <v>17782.509476131254</v>
      </c>
      <c r="H419" s="462">
        <f t="shared" si="31"/>
        <v>1.7782509476131254E-2</v>
      </c>
    </row>
    <row r="420" spans="1:8">
      <c r="A420" s="113" t="s">
        <v>96</v>
      </c>
      <c r="B420" s="461">
        <f t="shared" si="33"/>
        <v>2035.5612244897964</v>
      </c>
      <c r="C420" s="119">
        <f t="shared" si="26"/>
        <v>10756.115589658481</v>
      </c>
      <c r="D420" s="468">
        <f t="shared" si="27"/>
        <v>47032.631620310844</v>
      </c>
      <c r="E420" s="331">
        <f t="shared" si="28"/>
        <v>189246.87146788349</v>
      </c>
      <c r="F420" s="561">
        <f t="shared" si="29"/>
        <v>0.18924687146788349</v>
      </c>
      <c r="G420" s="444">
        <f t="shared" si="30"/>
        <v>43279.764588183236</v>
      </c>
      <c r="H420" s="462">
        <f t="shared" si="31"/>
        <v>4.3279764588183237E-2</v>
      </c>
    </row>
    <row r="421" spans="1:8">
      <c r="A421" s="113" t="s">
        <v>97</v>
      </c>
      <c r="B421" s="461">
        <f t="shared" si="33"/>
        <v>2871.9194419653645</v>
      </c>
      <c r="C421" s="119">
        <f t="shared" si="26"/>
        <v>10756.115589658481</v>
      </c>
      <c r="D421" s="468">
        <f t="shared" si="27"/>
        <v>47032.631620310844</v>
      </c>
      <c r="E421" s="331">
        <f t="shared" si="28"/>
        <v>267003.40081196086</v>
      </c>
      <c r="F421" s="561">
        <f t="shared" si="29"/>
        <v>0.26700340081196089</v>
      </c>
      <c r="G421" s="444">
        <f t="shared" si="30"/>
        <v>61062.274064314493</v>
      </c>
      <c r="H421" s="462">
        <f t="shared" si="31"/>
        <v>6.1062274064314491E-2</v>
      </c>
    </row>
    <row r="422" spans="1:8">
      <c r="A422" s="113" t="s">
        <v>84</v>
      </c>
      <c r="B422" s="461">
        <f t="shared" si="33"/>
        <v>0.3344003453227431</v>
      </c>
      <c r="C422" s="119">
        <f t="shared" si="26"/>
        <v>10756.115589658481</v>
      </c>
      <c r="D422" s="468">
        <f t="shared" si="27"/>
        <v>47032.631620310844</v>
      </c>
      <c r="E422" s="331">
        <f t="shared" si="28"/>
        <v>31.089322398529625</v>
      </c>
      <c r="F422" s="561">
        <f t="shared" si="29"/>
        <v>3.1089322398529626E-5</v>
      </c>
      <c r="G422" s="444">
        <f t="shared" si="30"/>
        <v>7.1099645884652922</v>
      </c>
      <c r="H422" s="462">
        <f t="shared" si="31"/>
        <v>7.1099645884652925E-6</v>
      </c>
    </row>
    <row r="423" spans="1:8">
      <c r="A423" s="113" t="s">
        <v>249</v>
      </c>
      <c r="B423" s="461">
        <f t="shared" si="33"/>
        <v>0</v>
      </c>
      <c r="C423" s="119">
        <f t="shared" si="26"/>
        <v>10756.115589658481</v>
      </c>
      <c r="D423" s="468">
        <f t="shared" si="27"/>
        <v>47032.631620310844</v>
      </c>
      <c r="E423" s="331">
        <f t="shared" si="28"/>
        <v>0</v>
      </c>
      <c r="F423" s="561">
        <f t="shared" si="29"/>
        <v>0</v>
      </c>
      <c r="G423" s="444">
        <f t="shared" si="30"/>
        <v>0</v>
      </c>
      <c r="H423" s="462">
        <f t="shared" si="31"/>
        <v>0</v>
      </c>
    </row>
    <row r="424" spans="1:8">
      <c r="A424" s="113" t="s">
        <v>250</v>
      </c>
      <c r="B424" s="461">
        <f t="shared" si="33"/>
        <v>0</v>
      </c>
      <c r="C424" s="119">
        <f t="shared" si="26"/>
        <v>10756.115589658481</v>
      </c>
      <c r="D424" s="468">
        <f t="shared" si="27"/>
        <v>47032.631620310844</v>
      </c>
      <c r="E424" s="331">
        <f t="shared" si="28"/>
        <v>0</v>
      </c>
      <c r="F424" s="561">
        <f t="shared" si="29"/>
        <v>0</v>
      </c>
      <c r="G424" s="444">
        <f t="shared" si="30"/>
        <v>0</v>
      </c>
      <c r="H424" s="462">
        <f t="shared" si="31"/>
        <v>0</v>
      </c>
    </row>
    <row r="425" spans="1:8">
      <c r="A425" s="113" t="s">
        <v>251</v>
      </c>
      <c r="B425" s="461">
        <f t="shared" si="33"/>
        <v>0</v>
      </c>
      <c r="C425" s="119">
        <f t="shared" si="26"/>
        <v>10756.115589658481</v>
      </c>
      <c r="D425" s="468">
        <f t="shared" si="27"/>
        <v>47032.631620310844</v>
      </c>
      <c r="E425" s="331">
        <f t="shared" si="28"/>
        <v>0</v>
      </c>
      <c r="F425" s="561">
        <f t="shared" si="29"/>
        <v>0</v>
      </c>
      <c r="G425" s="444">
        <f t="shared" si="30"/>
        <v>0</v>
      </c>
      <c r="H425" s="462">
        <f t="shared" si="31"/>
        <v>0</v>
      </c>
    </row>
    <row r="426" spans="1:8">
      <c r="A426" s="394" t="s">
        <v>238</v>
      </c>
      <c r="B426" s="461">
        <f t="shared" si="33"/>
        <v>0</v>
      </c>
      <c r="C426" s="119">
        <f t="shared" si="26"/>
        <v>10756.115589658481</v>
      </c>
      <c r="D426" s="468">
        <f t="shared" si="27"/>
        <v>47032.631620310844</v>
      </c>
      <c r="E426" s="331">
        <f t="shared" si="28"/>
        <v>0</v>
      </c>
      <c r="F426" s="561">
        <f t="shared" si="29"/>
        <v>0</v>
      </c>
      <c r="G426" s="444">
        <f t="shared" si="30"/>
        <v>0</v>
      </c>
      <c r="H426" s="462">
        <f t="shared" si="31"/>
        <v>0</v>
      </c>
    </row>
    <row r="427" spans="1:8">
      <c r="A427" s="394" t="s">
        <v>239</v>
      </c>
      <c r="B427" s="461">
        <f t="shared" si="33"/>
        <v>0</v>
      </c>
      <c r="C427" s="119">
        <f t="shared" si="26"/>
        <v>10756.115589658481</v>
      </c>
      <c r="D427" s="468">
        <f t="shared" si="27"/>
        <v>47032.631620310844</v>
      </c>
      <c r="E427" s="331">
        <f t="shared" si="28"/>
        <v>0</v>
      </c>
      <c r="F427" s="561">
        <f t="shared" si="29"/>
        <v>0</v>
      </c>
      <c r="G427" s="444">
        <f t="shared" si="30"/>
        <v>0</v>
      </c>
      <c r="H427" s="462">
        <f t="shared" si="31"/>
        <v>0</v>
      </c>
    </row>
    <row r="428" spans="1:8">
      <c r="A428" s="394" t="s">
        <v>248</v>
      </c>
      <c r="B428" s="461">
        <f t="shared" si="33"/>
        <v>0</v>
      </c>
      <c r="C428" s="119">
        <f t="shared" si="26"/>
        <v>10756.115589658481</v>
      </c>
      <c r="D428" s="468">
        <f t="shared" si="27"/>
        <v>47032.631620310844</v>
      </c>
      <c r="E428" s="331">
        <f>B428/C428*1000000</f>
        <v>0</v>
      </c>
      <c r="F428" s="561">
        <f>E428/1000000</f>
        <v>0</v>
      </c>
      <c r="G428" s="444">
        <f>B428/D428*1000000</f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3"/>
        <v>0.61821948103576219</v>
      </c>
      <c r="C429" s="135">
        <f t="shared" si="26"/>
        <v>10756.115589658481</v>
      </c>
      <c r="D429" s="469">
        <f t="shared" si="27"/>
        <v>47032.631620310844</v>
      </c>
      <c r="E429" s="466">
        <f t="shared" si="28"/>
        <v>57.476091241540047</v>
      </c>
      <c r="F429" s="562">
        <f t="shared" si="29"/>
        <v>5.747609124154005E-5</v>
      </c>
      <c r="G429" s="445">
        <f t="shared" si="30"/>
        <v>13.144479901243432</v>
      </c>
      <c r="H429" s="464">
        <f t="shared" si="31"/>
        <v>1.3144479901243432E-5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36" t="s">
        <v>263</v>
      </c>
      <c r="F432" s="1037"/>
      <c r="G432" s="1037"/>
      <c r="H432" s="1038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711" t="s">
        <v>72</v>
      </c>
      <c r="B435" s="459">
        <f>D289</f>
        <v>170.78738588066062</v>
      </c>
      <c r="C435" s="160">
        <f>$C$378</f>
        <v>11488.015414492829</v>
      </c>
      <c r="D435" s="440">
        <f>$C$376</f>
        <v>28057.98846271537</v>
      </c>
      <c r="E435" s="443">
        <f>B435/C435*1000000</f>
        <v>14866.570048748539</v>
      </c>
      <c r="F435" s="560">
        <f>E435/1000000</f>
        <v>1.4866570048748539E-2</v>
      </c>
      <c r="G435" s="443">
        <f>B435/D435*1000000</f>
        <v>6086.9433354999792</v>
      </c>
      <c r="H435" s="460">
        <f>G435/1000000</f>
        <v>6.0869433354999794E-3</v>
      </c>
    </row>
    <row r="436" spans="1:8">
      <c r="A436" s="112" t="s">
        <v>73</v>
      </c>
      <c r="B436" s="461">
        <f>D290</f>
        <v>0.31569140593489242</v>
      </c>
      <c r="C436" s="119">
        <f t="shared" ref="C436:C456" si="34">$C$378</f>
        <v>11488.015414492829</v>
      </c>
      <c r="D436" s="441">
        <f t="shared" ref="D436:D456" si="35">$C$376</f>
        <v>28057.98846271537</v>
      </c>
      <c r="E436" s="444">
        <f t="shared" ref="E436:E456" si="36">B436/C436*1000000</f>
        <v>27.480064619048868</v>
      </c>
      <c r="F436" s="561">
        <f t="shared" ref="F436:F456" si="37">E436/1000000</f>
        <v>2.7480064619048869E-5</v>
      </c>
      <c r="G436" s="444">
        <f t="shared" ref="G436:G456" si="38">B436/D436*1000000</f>
        <v>11.251391251885229</v>
      </c>
      <c r="H436" s="462">
        <f t="shared" ref="H436:H456" si="39">G436/1000000</f>
        <v>1.1251391251885229E-5</v>
      </c>
    </row>
    <row r="437" spans="1:8">
      <c r="A437" s="112" t="s">
        <v>74</v>
      </c>
      <c r="B437" s="461">
        <f t="shared" ref="B437:B456" si="40">D291</f>
        <v>1606.0831366077175</v>
      </c>
      <c r="C437" s="119">
        <f t="shared" si="34"/>
        <v>11488.015414492829</v>
      </c>
      <c r="D437" s="441">
        <f t="shared" si="35"/>
        <v>28057.98846271537</v>
      </c>
      <c r="E437" s="444">
        <f t="shared" si="36"/>
        <v>139805.09937178061</v>
      </c>
      <c r="F437" s="561">
        <f t="shared" si="37"/>
        <v>0.13980509937178062</v>
      </c>
      <c r="G437" s="444">
        <f t="shared" si="38"/>
        <v>57241.563797132068</v>
      </c>
      <c r="H437" s="462">
        <f t="shared" si="39"/>
        <v>5.7241563797132071E-2</v>
      </c>
    </row>
    <row r="438" spans="1:8">
      <c r="A438" s="112" t="s">
        <v>75</v>
      </c>
      <c r="B438" s="461">
        <f t="shared" si="40"/>
        <v>3.1619694730771739E-2</v>
      </c>
      <c r="C438" s="119">
        <f t="shared" si="34"/>
        <v>11488.015414492829</v>
      </c>
      <c r="D438" s="441">
        <f t="shared" si="35"/>
        <v>28057.98846271537</v>
      </c>
      <c r="E438" s="444">
        <f t="shared" si="36"/>
        <v>2.7524070598722883</v>
      </c>
      <c r="F438" s="561">
        <f t="shared" si="37"/>
        <v>2.7524070598722885E-6</v>
      </c>
      <c r="G438" s="444">
        <f t="shared" si="38"/>
        <v>1.1269408985889817</v>
      </c>
      <c r="H438" s="462">
        <f t="shared" si="39"/>
        <v>1.1269408985889817E-6</v>
      </c>
    </row>
    <row r="439" spans="1:8">
      <c r="A439" s="112" t="s">
        <v>76</v>
      </c>
      <c r="B439" s="461">
        <f t="shared" si="40"/>
        <v>0.97338117436880844</v>
      </c>
      <c r="C439" s="119">
        <f t="shared" si="34"/>
        <v>11488.015414492829</v>
      </c>
      <c r="D439" s="441">
        <f t="shared" si="35"/>
        <v>28057.98846271537</v>
      </c>
      <c r="E439" s="444">
        <f t="shared" si="36"/>
        <v>84.730141738914185</v>
      </c>
      <c r="F439" s="561">
        <f t="shared" si="37"/>
        <v>8.4730141738914181E-5</v>
      </c>
      <c r="G439" s="444">
        <f t="shared" si="38"/>
        <v>34.691766149318873</v>
      </c>
      <c r="H439" s="462">
        <f t="shared" si="39"/>
        <v>3.469176614931887E-5</v>
      </c>
    </row>
    <row r="440" spans="1:8">
      <c r="A440" s="113" t="s">
        <v>77</v>
      </c>
      <c r="B440" s="461">
        <f t="shared" si="40"/>
        <v>7.8536091965129291</v>
      </c>
      <c r="C440" s="119">
        <f t="shared" si="34"/>
        <v>11488.015414492829</v>
      </c>
      <c r="D440" s="441">
        <f t="shared" si="35"/>
        <v>28057.98846271537</v>
      </c>
      <c r="E440" s="444">
        <f t="shared" si="36"/>
        <v>683.63498073001574</v>
      </c>
      <c r="F440" s="561">
        <f t="shared" si="37"/>
        <v>6.8363498073001577E-4</v>
      </c>
      <c r="G440" s="444">
        <f t="shared" si="38"/>
        <v>279.90635205189903</v>
      </c>
      <c r="H440" s="462">
        <f t="shared" si="39"/>
        <v>2.7990635205189904E-4</v>
      </c>
    </row>
    <row r="441" spans="1:8">
      <c r="A441" s="113" t="s">
        <v>78</v>
      </c>
      <c r="B441" s="461">
        <f t="shared" si="40"/>
        <v>530.55502202621824</v>
      </c>
      <c r="C441" s="119">
        <f t="shared" si="34"/>
        <v>11488.015414492829</v>
      </c>
      <c r="D441" s="441">
        <f t="shared" si="35"/>
        <v>28057.98846271537</v>
      </c>
      <c r="E441" s="444">
        <f t="shared" si="36"/>
        <v>46183.348723304363</v>
      </c>
      <c r="F441" s="561">
        <f t="shared" si="37"/>
        <v>4.618334872330436E-2</v>
      </c>
      <c r="G441" s="444">
        <f t="shared" si="38"/>
        <v>18909.232311191587</v>
      </c>
      <c r="H441" s="462">
        <f t="shared" si="39"/>
        <v>1.8909232311191588E-2</v>
      </c>
    </row>
    <row r="442" spans="1:8">
      <c r="A442" s="113" t="s">
        <v>79</v>
      </c>
      <c r="B442" s="461">
        <f t="shared" si="40"/>
        <v>25.496532154010971</v>
      </c>
      <c r="C442" s="119">
        <f t="shared" si="34"/>
        <v>11488.015414492829</v>
      </c>
      <c r="D442" s="441">
        <f t="shared" si="35"/>
        <v>28057.98846271537</v>
      </c>
      <c r="E442" s="444">
        <f t="shared" si="36"/>
        <v>2219.4026761006562</v>
      </c>
      <c r="F442" s="561">
        <f t="shared" si="37"/>
        <v>2.219402676100656E-3</v>
      </c>
      <c r="G442" s="444">
        <f t="shared" si="38"/>
        <v>908.70848378499522</v>
      </c>
      <c r="H442" s="462">
        <f t="shared" si="39"/>
        <v>9.0870848378499518E-4</v>
      </c>
    </row>
    <row r="443" spans="1:8">
      <c r="A443" s="113" t="s">
        <v>80</v>
      </c>
      <c r="B443" s="461">
        <f t="shared" si="40"/>
        <v>38.040473660815756</v>
      </c>
      <c r="C443" s="119">
        <f t="shared" si="34"/>
        <v>11488.015414492829</v>
      </c>
      <c r="D443" s="441">
        <f t="shared" si="35"/>
        <v>28057.98846271537</v>
      </c>
      <c r="E443" s="444">
        <f t="shared" si="36"/>
        <v>3311.3181248717151</v>
      </c>
      <c r="F443" s="561">
        <f t="shared" si="37"/>
        <v>3.3113181248717151E-3</v>
      </c>
      <c r="G443" s="444">
        <f t="shared" si="38"/>
        <v>1355.7805012061194</v>
      </c>
      <c r="H443" s="462">
        <f t="shared" si="39"/>
        <v>1.3557805012061194E-3</v>
      </c>
    </row>
    <row r="444" spans="1:8">
      <c r="A444" s="113" t="s">
        <v>81</v>
      </c>
      <c r="B444" s="461">
        <f t="shared" si="40"/>
        <v>17.442238904721997</v>
      </c>
      <c r="C444" s="119">
        <f t="shared" si="34"/>
        <v>11488.015414492829</v>
      </c>
      <c r="D444" s="441">
        <f t="shared" si="35"/>
        <v>28057.98846271537</v>
      </c>
      <c r="E444" s="444">
        <f t="shared" si="36"/>
        <v>1518.298703074297</v>
      </c>
      <c r="F444" s="561">
        <f t="shared" si="37"/>
        <v>1.5182987030742971E-3</v>
      </c>
      <c r="G444" s="444">
        <f t="shared" si="38"/>
        <v>621.64965702726602</v>
      </c>
      <c r="H444" s="462">
        <f t="shared" si="39"/>
        <v>6.2164965702726598E-4</v>
      </c>
    </row>
    <row r="445" spans="1:8">
      <c r="A445" s="113" t="s">
        <v>82</v>
      </c>
      <c r="B445" s="461">
        <f t="shared" si="40"/>
        <v>0.86268835421031886</v>
      </c>
      <c r="C445" s="119">
        <f t="shared" si="34"/>
        <v>11488.015414492829</v>
      </c>
      <c r="D445" s="441">
        <f t="shared" si="35"/>
        <v>28057.98846271537</v>
      </c>
      <c r="E445" s="444">
        <f t="shared" si="36"/>
        <v>75.094637592667667</v>
      </c>
      <c r="F445" s="561">
        <f t="shared" si="37"/>
        <v>7.5094637592667665E-5</v>
      </c>
      <c r="G445" s="444">
        <f t="shared" si="38"/>
        <v>30.746621603209199</v>
      </c>
      <c r="H445" s="462">
        <f t="shared" si="39"/>
        <v>3.07466216032092E-5</v>
      </c>
    </row>
    <row r="446" spans="1:8">
      <c r="A446" s="113" t="s">
        <v>213</v>
      </c>
      <c r="B446" s="461">
        <f t="shared" si="40"/>
        <v>143.05778252443201</v>
      </c>
      <c r="C446" s="119">
        <f t="shared" si="34"/>
        <v>11488.015414492829</v>
      </c>
      <c r="D446" s="441">
        <f t="shared" si="35"/>
        <v>28057.98846271537</v>
      </c>
      <c r="E446" s="444">
        <f t="shared" si="36"/>
        <v>12452.784694557071</v>
      </c>
      <c r="F446" s="561">
        <f t="shared" si="37"/>
        <v>1.2452784694557071E-2</v>
      </c>
      <c r="G446" s="444">
        <f t="shared" si="38"/>
        <v>5098.6471362525926</v>
      </c>
      <c r="H446" s="462">
        <f t="shared" si="39"/>
        <v>5.098647136252593E-3</v>
      </c>
    </row>
    <row r="447" spans="1:8">
      <c r="A447" s="113" t="s">
        <v>96</v>
      </c>
      <c r="B447" s="461">
        <f t="shared" si="40"/>
        <v>52.193877551020421</v>
      </c>
      <c r="C447" s="119">
        <f t="shared" si="34"/>
        <v>11488.015414492829</v>
      </c>
      <c r="D447" s="441">
        <f t="shared" si="35"/>
        <v>28057.98846271537</v>
      </c>
      <c r="E447" s="444">
        <f t="shared" si="36"/>
        <v>4543.332827110823</v>
      </c>
      <c r="F447" s="561">
        <f t="shared" si="37"/>
        <v>4.5433328271108232E-3</v>
      </c>
      <c r="G447" s="444">
        <f t="shared" si="38"/>
        <v>1860.2145203808118</v>
      </c>
      <c r="H447" s="462">
        <f t="shared" si="39"/>
        <v>1.8602145203808118E-3</v>
      </c>
    </row>
    <row r="448" spans="1:8">
      <c r="A448" s="113" t="s">
        <v>97</v>
      </c>
      <c r="B448" s="461">
        <f t="shared" si="40"/>
        <v>195.25166007545243</v>
      </c>
      <c r="C448" s="119">
        <f t="shared" si="34"/>
        <v>11488.015414492829</v>
      </c>
      <c r="D448" s="441">
        <f t="shared" si="35"/>
        <v>28057.98846271537</v>
      </c>
      <c r="E448" s="444">
        <f t="shared" si="36"/>
        <v>16996.117521667893</v>
      </c>
      <c r="F448" s="561">
        <f t="shared" si="37"/>
        <v>1.6996117521667894E-2</v>
      </c>
      <c r="G448" s="444">
        <f t="shared" si="38"/>
        <v>6958.8616566334049</v>
      </c>
      <c r="H448" s="462">
        <f t="shared" si="39"/>
        <v>6.958861656633405E-3</v>
      </c>
    </row>
    <row r="449" spans="1:8">
      <c r="A449" s="113" t="s">
        <v>84</v>
      </c>
      <c r="B449" s="461">
        <f t="shared" si="40"/>
        <v>1.1535996546772569</v>
      </c>
      <c r="C449" s="119">
        <f t="shared" si="34"/>
        <v>11488.015414492829</v>
      </c>
      <c r="D449" s="441">
        <f t="shared" si="35"/>
        <v>28057.98846271537</v>
      </c>
      <c r="E449" s="444">
        <f t="shared" si="36"/>
        <v>100.41766249912243</v>
      </c>
      <c r="F449" s="561">
        <f t="shared" si="37"/>
        <v>1.0041766249912243E-4</v>
      </c>
      <c r="G449" s="444">
        <f t="shared" si="38"/>
        <v>41.114838157774869</v>
      </c>
      <c r="H449" s="462">
        <f t="shared" si="39"/>
        <v>4.1114838157774867E-5</v>
      </c>
    </row>
    <row r="450" spans="1:8">
      <c r="A450" s="113" t="s">
        <v>249</v>
      </c>
      <c r="B450" s="461">
        <f t="shared" si="40"/>
        <v>226.8</v>
      </c>
      <c r="C450" s="119">
        <f t="shared" si="34"/>
        <v>11488.015414492829</v>
      </c>
      <c r="D450" s="441">
        <f t="shared" si="35"/>
        <v>28057.98846271537</v>
      </c>
      <c r="E450" s="444">
        <f t="shared" si="36"/>
        <v>19742.313342814461</v>
      </c>
      <c r="F450" s="561">
        <f t="shared" si="37"/>
        <v>1.9742313342814462E-2</v>
      </c>
      <c r="G450" s="444">
        <f t="shared" si="38"/>
        <v>8083.2594361274823</v>
      </c>
      <c r="H450" s="462">
        <f t="shared" si="39"/>
        <v>8.083259436127482E-3</v>
      </c>
    </row>
    <row r="451" spans="1:8">
      <c r="A451" s="113" t="s">
        <v>250</v>
      </c>
      <c r="B451" s="461">
        <f t="shared" si="40"/>
        <v>1175.5102040816328</v>
      </c>
      <c r="C451" s="119">
        <f t="shared" si="34"/>
        <v>11488.015414492829</v>
      </c>
      <c r="D451" s="441">
        <f t="shared" si="35"/>
        <v>28057.98846271537</v>
      </c>
      <c r="E451" s="444">
        <f t="shared" si="36"/>
        <v>102324.9152850766</v>
      </c>
      <c r="F451" s="561">
        <f t="shared" si="37"/>
        <v>0.1023249152850766</v>
      </c>
      <c r="G451" s="444">
        <f t="shared" si="38"/>
        <v>41895.740517667538</v>
      </c>
      <c r="H451" s="462">
        <f t="shared" si="39"/>
        <v>4.1895740517667542E-2</v>
      </c>
    </row>
    <row r="452" spans="1:8">
      <c r="A452" s="113" t="s">
        <v>251</v>
      </c>
      <c r="B452" s="461">
        <f t="shared" si="40"/>
        <v>1402.3102040816327</v>
      </c>
      <c r="C452" s="119">
        <f t="shared" si="34"/>
        <v>11488.015414492829</v>
      </c>
      <c r="D452" s="441">
        <f t="shared" si="35"/>
        <v>28057.98846271537</v>
      </c>
      <c r="E452" s="444">
        <f t="shared" si="36"/>
        <v>122067.22862789105</v>
      </c>
      <c r="F452" s="561">
        <f t="shared" si="37"/>
        <v>0.12206722862789104</v>
      </c>
      <c r="G452" s="444">
        <f t="shared" si="38"/>
        <v>49978.999953795028</v>
      </c>
      <c r="H452" s="462">
        <f t="shared" si="39"/>
        <v>4.9978999953795025E-2</v>
      </c>
    </row>
    <row r="453" spans="1:8">
      <c r="A453" s="394" t="s">
        <v>238</v>
      </c>
      <c r="B453" s="461">
        <f t="shared" si="40"/>
        <v>4206.9306122448979</v>
      </c>
      <c r="C453" s="119">
        <f t="shared" si="34"/>
        <v>11488.015414492829</v>
      </c>
      <c r="D453" s="441">
        <f t="shared" si="35"/>
        <v>28057.98846271537</v>
      </c>
      <c r="E453" s="444">
        <f t="shared" si="36"/>
        <v>366201.68588367314</v>
      </c>
      <c r="F453" s="561">
        <f t="shared" si="37"/>
        <v>0.36620168588367313</v>
      </c>
      <c r="G453" s="444">
        <f t="shared" si="38"/>
        <v>149936.99986138506</v>
      </c>
      <c r="H453" s="462">
        <f t="shared" si="39"/>
        <v>0.14993699986138506</v>
      </c>
    </row>
    <row r="454" spans="1:8">
      <c r="A454" s="394" t="s">
        <v>239</v>
      </c>
      <c r="B454" s="461">
        <f t="shared" si="40"/>
        <v>5959.8183673469393</v>
      </c>
      <c r="C454" s="119">
        <f t="shared" si="34"/>
        <v>11488.015414492829</v>
      </c>
      <c r="D454" s="441">
        <f t="shared" si="35"/>
        <v>28057.98846271537</v>
      </c>
      <c r="E454" s="444">
        <f t="shared" si="36"/>
        <v>518785.72166853701</v>
      </c>
      <c r="F454" s="561">
        <f t="shared" si="37"/>
        <v>0.51878572166853698</v>
      </c>
      <c r="G454" s="444">
        <f t="shared" si="38"/>
        <v>212410.74980362883</v>
      </c>
      <c r="H454" s="462">
        <f t="shared" si="39"/>
        <v>0.21241074980362884</v>
      </c>
    </row>
    <row r="455" spans="1:8">
      <c r="A455" s="394" t="s">
        <v>248</v>
      </c>
      <c r="B455" s="461">
        <f t="shared" si="40"/>
        <v>18.105027344127205</v>
      </c>
      <c r="C455" s="119">
        <f t="shared" si="34"/>
        <v>11488.015414492829</v>
      </c>
      <c r="D455" s="441">
        <f t="shared" si="35"/>
        <v>28057.98846271537</v>
      </c>
      <c r="E455" s="444">
        <f>B455/C455*1000000</f>
        <v>1575.9926054143882</v>
      </c>
      <c r="F455" s="561">
        <f>E455/1000000</f>
        <v>1.5759926054143881E-3</v>
      </c>
      <c r="G455" s="444">
        <f>B455/D455*1000000</f>
        <v>645.27175097337874</v>
      </c>
      <c r="H455" s="462">
        <f>G455/1000000</f>
        <v>6.4527175097337875E-4</v>
      </c>
    </row>
    <row r="456" spans="1:8" ht="14.65" thickBot="1">
      <c r="A456" s="114" t="s">
        <v>86</v>
      </c>
      <c r="B456" s="463">
        <f t="shared" si="40"/>
        <v>27.617780518964238</v>
      </c>
      <c r="C456" s="135">
        <f t="shared" si="34"/>
        <v>11488.015414492829</v>
      </c>
      <c r="D456" s="442">
        <f t="shared" si="35"/>
        <v>28057.98846271537</v>
      </c>
      <c r="E456" s="445">
        <f t="shared" si="36"/>
        <v>2404.0514851784346</v>
      </c>
      <c r="F456" s="562">
        <f t="shared" si="37"/>
        <v>2.4040514851784347E-3</v>
      </c>
      <c r="G456" s="445">
        <f t="shared" si="38"/>
        <v>984.31078035632902</v>
      </c>
      <c r="H456" s="464">
        <f t="shared" si="39"/>
        <v>9.8431078035632899E-4</v>
      </c>
    </row>
    <row r="457" spans="1:8">
      <c r="D457" s="96"/>
    </row>
    <row r="458" spans="1:8">
      <c r="A458" s="1" t="s">
        <v>138</v>
      </c>
      <c r="B458" s="1"/>
      <c r="C458" s="1"/>
      <c r="D458" s="1"/>
    </row>
    <row r="459" spans="1:8" ht="14.65" thickBot="1">
      <c r="A459" s="79" t="s">
        <v>358</v>
      </c>
      <c r="B459" s="79"/>
      <c r="C459" s="79"/>
    </row>
    <row r="460" spans="1:8">
      <c r="A460" s="2"/>
      <c r="B460" s="323" t="s">
        <v>43</v>
      </c>
      <c r="C460" s="324" t="s">
        <v>44</v>
      </c>
      <c r="D460" s="369" t="s">
        <v>139</v>
      </c>
    </row>
    <row r="461" spans="1:8" ht="14.65" thickBot="1">
      <c r="A461" s="5"/>
      <c r="B461" s="215" t="s">
        <v>35</v>
      </c>
      <c r="C461" s="483" t="s">
        <v>35</v>
      </c>
      <c r="D461" s="319" t="s">
        <v>35</v>
      </c>
    </row>
    <row r="462" spans="1:8" ht="14.65" thickBot="1">
      <c r="A462" s="9" t="s">
        <v>347</v>
      </c>
      <c r="B462" s="250">
        <f>B9</f>
        <v>17500</v>
      </c>
      <c r="C462" s="729">
        <f>C9</f>
        <v>7000</v>
      </c>
      <c r="D462" s="627">
        <f>B462+C462</f>
        <v>24500</v>
      </c>
    </row>
    <row r="464" spans="1:8" ht="14.65" thickBot="1">
      <c r="A464" s="120" t="s">
        <v>304</v>
      </c>
      <c r="B464" s="79"/>
      <c r="C464" s="79"/>
    </row>
    <row r="465" spans="1:6" ht="14.65" thickBot="1">
      <c r="A465" s="519"/>
      <c r="B465" s="1055" t="s">
        <v>263</v>
      </c>
      <c r="C465" s="1056"/>
      <c r="D465" s="1021" t="s">
        <v>262</v>
      </c>
      <c r="E465" s="1021"/>
      <c r="F465" s="1020"/>
    </row>
    <row r="466" spans="1:6">
      <c r="A466" s="115"/>
      <c r="B466" s="488" t="s">
        <v>43</v>
      </c>
      <c r="C466" s="489" t="s">
        <v>44</v>
      </c>
      <c r="D466" s="377" t="s">
        <v>43</v>
      </c>
      <c r="E466" s="490" t="s">
        <v>68</v>
      </c>
      <c r="F466" s="338" t="s">
        <v>139</v>
      </c>
    </row>
    <row r="467" spans="1:6" ht="14.65" thickBot="1">
      <c r="A467" s="133" t="s">
        <v>18</v>
      </c>
      <c r="B467" s="6" t="s">
        <v>70</v>
      </c>
      <c r="C467" s="24" t="s">
        <v>71</v>
      </c>
      <c r="D467" s="6" t="s">
        <v>35</v>
      </c>
      <c r="E467" s="422" t="s">
        <v>35</v>
      </c>
      <c r="F467" s="73" t="s">
        <v>35</v>
      </c>
    </row>
    <row r="468" spans="1:6">
      <c r="A468" s="231" t="s">
        <v>72</v>
      </c>
      <c r="B468" s="262">
        <v>47700</v>
      </c>
      <c r="C468" s="407">
        <v>101832</v>
      </c>
      <c r="D468" s="227">
        <f>$B$462*B468/1000000</f>
        <v>834.75</v>
      </c>
      <c r="E468" s="726">
        <f>$C$462*C468/1000000</f>
        <v>712.82399999999996</v>
      </c>
      <c r="F468" s="472">
        <f>D468+E468</f>
        <v>1547.5740000000001</v>
      </c>
    </row>
    <row r="469" spans="1:6">
      <c r="A469" s="232" t="s">
        <v>73</v>
      </c>
      <c r="B469" s="356">
        <v>31</v>
      </c>
      <c r="C469" s="408">
        <v>10</v>
      </c>
      <c r="D469" s="228">
        <f t="shared" ref="D469:D482" si="41">$B$462*B469/1000000</f>
        <v>0.54249999999999998</v>
      </c>
      <c r="E469" s="136">
        <f t="shared" ref="E469:E482" si="42">$C$462*C469/1000000</f>
        <v>7.0000000000000007E-2</v>
      </c>
      <c r="F469" s="473">
        <f t="shared" ref="F469:F482" si="43">D469+E469</f>
        <v>0.61250000000000004</v>
      </c>
    </row>
    <row r="470" spans="1:6">
      <c r="A470" s="232" t="s">
        <v>74</v>
      </c>
      <c r="B470" s="356">
        <v>85425</v>
      </c>
      <c r="C470" s="408">
        <v>111453.2</v>
      </c>
      <c r="D470" s="228">
        <f t="shared" si="41"/>
        <v>1494.9375</v>
      </c>
      <c r="E470" s="136">
        <f t="shared" si="42"/>
        <v>780.17240000000004</v>
      </c>
      <c r="F470" s="473">
        <f t="shared" si="43"/>
        <v>2275.1098999999999</v>
      </c>
    </row>
    <row r="471" spans="1:6">
      <c r="A471" s="232" t="s">
        <v>75</v>
      </c>
      <c r="B471" s="356">
        <v>2.2000000000000002</v>
      </c>
      <c r="C471" s="408">
        <v>2</v>
      </c>
      <c r="D471" s="228">
        <f t="shared" si="41"/>
        <v>3.85E-2</v>
      </c>
      <c r="E471" s="136">
        <f t="shared" si="42"/>
        <v>1.4E-2</v>
      </c>
      <c r="F471" s="473">
        <f t="shared" si="43"/>
        <v>5.2499999999999998E-2</v>
      </c>
    </row>
    <row r="472" spans="1:6">
      <c r="A472" s="232" t="s">
        <v>76</v>
      </c>
      <c r="B472" s="356">
        <v>91</v>
      </c>
      <c r="C472" s="408">
        <v>53.9</v>
      </c>
      <c r="D472" s="228">
        <f t="shared" si="41"/>
        <v>1.5925</v>
      </c>
      <c r="E472" s="136">
        <f t="shared" si="42"/>
        <v>0.37730000000000002</v>
      </c>
      <c r="F472" s="473">
        <f t="shared" si="43"/>
        <v>1.9698</v>
      </c>
    </row>
    <row r="473" spans="1:6">
      <c r="A473" s="232" t="s">
        <v>77</v>
      </c>
      <c r="B473" s="356">
        <v>663</v>
      </c>
      <c r="C473" s="408">
        <v>1400</v>
      </c>
      <c r="D473" s="228">
        <f t="shared" si="41"/>
        <v>11.602499999999999</v>
      </c>
      <c r="E473" s="136">
        <f t="shared" si="42"/>
        <v>9.8000000000000007</v>
      </c>
      <c r="F473" s="473">
        <f t="shared" si="43"/>
        <v>21.4025</v>
      </c>
    </row>
    <row r="474" spans="1:6">
      <c r="A474" s="232" t="s">
        <v>78</v>
      </c>
      <c r="B474" s="356">
        <v>109000</v>
      </c>
      <c r="C474" s="408">
        <v>24315</v>
      </c>
      <c r="D474" s="228">
        <f t="shared" si="41"/>
        <v>1907.5</v>
      </c>
      <c r="E474" s="136">
        <f t="shared" si="42"/>
        <v>170.20500000000001</v>
      </c>
      <c r="F474" s="473">
        <f t="shared" si="43"/>
        <v>2077.7049999999999</v>
      </c>
    </row>
    <row r="475" spans="1:6">
      <c r="A475" s="232" t="s">
        <v>79</v>
      </c>
      <c r="B475" s="356">
        <v>9375</v>
      </c>
      <c r="C475" s="408">
        <v>9848.1</v>
      </c>
      <c r="D475" s="228">
        <f t="shared" si="41"/>
        <v>164.0625</v>
      </c>
      <c r="E475" s="136">
        <f t="shared" si="42"/>
        <v>68.936700000000002</v>
      </c>
      <c r="F475" s="473">
        <f t="shared" si="43"/>
        <v>232.9992</v>
      </c>
    </row>
    <row r="476" spans="1:6">
      <c r="A476" s="232" t="s">
        <v>80</v>
      </c>
      <c r="B476" s="356">
        <v>12191.833333333334</v>
      </c>
      <c r="C476" s="408">
        <v>12706.1</v>
      </c>
      <c r="D476" s="228">
        <f t="shared" si="41"/>
        <v>213.35708333333335</v>
      </c>
      <c r="E476" s="136">
        <f t="shared" si="42"/>
        <v>88.942700000000002</v>
      </c>
      <c r="F476" s="473">
        <f t="shared" si="43"/>
        <v>302.29978333333338</v>
      </c>
    </row>
    <row r="477" spans="1:6">
      <c r="A477" s="232" t="s">
        <v>81</v>
      </c>
      <c r="B477" s="356">
        <v>2530</v>
      </c>
      <c r="C477" s="408">
        <v>3346.1</v>
      </c>
      <c r="D477" s="228">
        <f t="shared" si="41"/>
        <v>44.274999999999999</v>
      </c>
      <c r="E477" s="136">
        <f t="shared" si="42"/>
        <v>23.422699999999999</v>
      </c>
      <c r="F477" s="473">
        <f t="shared" si="43"/>
        <v>67.697699999999998</v>
      </c>
    </row>
    <row r="478" spans="1:6">
      <c r="A478" s="232" t="s">
        <v>82</v>
      </c>
      <c r="B478" s="356">
        <v>64.5</v>
      </c>
      <c r="C478" s="408">
        <v>47.6</v>
      </c>
      <c r="D478" s="228">
        <f t="shared" si="41"/>
        <v>1.1287499999999999</v>
      </c>
      <c r="E478" s="136">
        <f t="shared" si="42"/>
        <v>0.3332</v>
      </c>
      <c r="F478" s="473">
        <f t="shared" si="43"/>
        <v>1.4619499999999999</v>
      </c>
    </row>
    <row r="479" spans="1:6">
      <c r="A479" s="232" t="s">
        <v>83</v>
      </c>
      <c r="B479" s="356">
        <v>70700</v>
      </c>
      <c r="C479" s="408">
        <v>84567</v>
      </c>
      <c r="D479" s="228">
        <f t="shared" si="41"/>
        <v>1237.25</v>
      </c>
      <c r="E479" s="136">
        <f t="shared" si="42"/>
        <v>591.96900000000005</v>
      </c>
      <c r="F479" s="473">
        <f t="shared" si="43"/>
        <v>1829.2190000000001</v>
      </c>
    </row>
    <row r="480" spans="1:6">
      <c r="A480" s="232" t="s">
        <v>84</v>
      </c>
      <c r="B480" s="356">
        <v>117</v>
      </c>
      <c r="C480" s="408">
        <v>80.2</v>
      </c>
      <c r="D480" s="228">
        <f t="shared" si="41"/>
        <v>2.0474999999999999</v>
      </c>
      <c r="E480" s="136">
        <f t="shared" si="42"/>
        <v>0.56140000000000001</v>
      </c>
      <c r="F480" s="473">
        <f t="shared" si="43"/>
        <v>2.6088999999999998</v>
      </c>
    </row>
    <row r="481" spans="1:7">
      <c r="A481" s="232" t="s">
        <v>85</v>
      </c>
      <c r="B481" s="356">
        <v>5857.8888888888887</v>
      </c>
      <c r="C481" s="408">
        <v>3113.7</v>
      </c>
      <c r="D481" s="228">
        <f t="shared" si="41"/>
        <v>102.51305555555555</v>
      </c>
      <c r="E481" s="136">
        <f t="shared" si="42"/>
        <v>21.7959</v>
      </c>
      <c r="F481" s="473">
        <f t="shared" si="43"/>
        <v>124.30895555555556</v>
      </c>
    </row>
    <row r="482" spans="1:7" ht="14.65" thickBot="1">
      <c r="A482" s="233" t="s">
        <v>86</v>
      </c>
      <c r="B482" s="358">
        <v>2260</v>
      </c>
      <c r="C482" s="409">
        <v>3000</v>
      </c>
      <c r="D482" s="727">
        <f t="shared" si="41"/>
        <v>39.549999999999997</v>
      </c>
      <c r="E482" s="728">
        <f t="shared" si="42"/>
        <v>21</v>
      </c>
      <c r="F482" s="474">
        <f t="shared" si="43"/>
        <v>60.55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1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540">
        <f>B408</f>
        <v>297.23661411933938</v>
      </c>
      <c r="C488" s="428">
        <f>F468</f>
        <v>1547.5740000000001</v>
      </c>
      <c r="D488" s="428">
        <f>B488+C488</f>
        <v>1844.8106141193393</v>
      </c>
      <c r="E488" s="382">
        <f>$C$391+$D$462</f>
        <v>35256.115589658482</v>
      </c>
      <c r="F488" s="557">
        <f>D488/E488*1000000</f>
        <v>52325.974749767076</v>
      </c>
      <c r="G488" s="460">
        <f>F488/1000000</f>
        <v>5.2325974749767079E-2</v>
      </c>
    </row>
    <row r="489" spans="1:7">
      <c r="A489" s="149" t="s">
        <v>73</v>
      </c>
      <c r="B489" s="541">
        <f>B409</f>
        <v>2.7508594065107583E-2</v>
      </c>
      <c r="C489" s="235">
        <f>F469</f>
        <v>0.61250000000000004</v>
      </c>
      <c r="D489" s="235">
        <f t="shared" ref="D489:D504" si="44">B489+C489</f>
        <v>0.64000859406510768</v>
      </c>
      <c r="E489" s="82">
        <f>$C$391+$D$462</f>
        <v>35256.115589658482</v>
      </c>
      <c r="F489" s="558">
        <f t="shared" ref="F489:F504" si="45">D489/E489*1000000</f>
        <v>18.153122752208088</v>
      </c>
      <c r="G489" s="462">
        <f t="shared" ref="G489:G504" si="46">F489/1000000</f>
        <v>1.8153122752208087E-5</v>
      </c>
    </row>
    <row r="490" spans="1:7">
      <c r="A490" s="232" t="s">
        <v>74</v>
      </c>
      <c r="B490" s="541">
        <f t="shared" ref="B490:B503" si="47">B410</f>
        <v>301.91686339228249</v>
      </c>
      <c r="C490" s="235">
        <f t="shared" ref="C490:C498" si="48">F470</f>
        <v>2275.1098999999999</v>
      </c>
      <c r="D490" s="235">
        <f t="shared" si="44"/>
        <v>2577.0267633922822</v>
      </c>
      <c r="E490" s="82">
        <f t="shared" ref="E490:E503" si="49">$C$391+$D$462</f>
        <v>35256.115589658482</v>
      </c>
      <c r="F490" s="558">
        <f t="shared" si="45"/>
        <v>73094.46092660843</v>
      </c>
      <c r="G490" s="462">
        <f t="shared" si="46"/>
        <v>7.3094460926608429E-2</v>
      </c>
    </row>
    <row r="491" spans="1:7">
      <c r="A491" s="232" t="s">
        <v>75</v>
      </c>
      <c r="B491" s="541">
        <f t="shared" si="47"/>
        <v>1.0380305269228264E-2</v>
      </c>
      <c r="C491" s="235">
        <f t="shared" si="48"/>
        <v>5.2499999999999998E-2</v>
      </c>
      <c r="D491" s="235">
        <f t="shared" si="44"/>
        <v>6.2880305269228262E-2</v>
      </c>
      <c r="E491" s="82">
        <f t="shared" si="49"/>
        <v>35256.115589658482</v>
      </c>
      <c r="F491" s="558">
        <f t="shared" si="45"/>
        <v>1.7835290195064104</v>
      </c>
      <c r="G491" s="462">
        <f t="shared" si="46"/>
        <v>1.7835290195064104E-6</v>
      </c>
    </row>
    <row r="492" spans="1:7">
      <c r="A492" s="232" t="s">
        <v>76</v>
      </c>
      <c r="B492" s="541">
        <f t="shared" si="47"/>
        <v>0.65861882563119145</v>
      </c>
      <c r="C492" s="235">
        <f t="shared" si="48"/>
        <v>1.9698</v>
      </c>
      <c r="D492" s="235">
        <f t="shared" si="44"/>
        <v>2.6284188256311913</v>
      </c>
      <c r="E492" s="82">
        <f t="shared" si="49"/>
        <v>35256.115589658482</v>
      </c>
      <c r="F492" s="558">
        <f t="shared" si="45"/>
        <v>74.552138874940994</v>
      </c>
      <c r="G492" s="462">
        <f t="shared" si="46"/>
        <v>7.4552138874940993E-5</v>
      </c>
    </row>
    <row r="493" spans="1:7">
      <c r="A493" s="150" t="s">
        <v>77</v>
      </c>
      <c r="B493" s="541">
        <f t="shared" si="47"/>
        <v>1.8390803487070784E-2</v>
      </c>
      <c r="C493" s="235">
        <f t="shared" si="48"/>
        <v>21.4025</v>
      </c>
      <c r="D493" s="235">
        <f t="shared" si="44"/>
        <v>21.420890803487069</v>
      </c>
      <c r="E493" s="82">
        <f t="shared" si="49"/>
        <v>35256.115589658482</v>
      </c>
      <c r="F493" s="558">
        <f t="shared" si="45"/>
        <v>607.57943537518815</v>
      </c>
      <c r="G493" s="462">
        <f t="shared" si="46"/>
        <v>6.0757943537518818E-4</v>
      </c>
    </row>
    <row r="494" spans="1:7">
      <c r="A494" s="150" t="s">
        <v>78</v>
      </c>
      <c r="B494" s="541">
        <f t="shared" si="47"/>
        <v>520.36897797378174</v>
      </c>
      <c r="C494" s="235">
        <f t="shared" si="48"/>
        <v>2077.7049999999999</v>
      </c>
      <c r="D494" s="235">
        <f t="shared" si="44"/>
        <v>2598.0739779737814</v>
      </c>
      <c r="E494" s="82">
        <f t="shared" si="49"/>
        <v>35256.115589658482</v>
      </c>
      <c r="F494" s="558">
        <f t="shared" si="45"/>
        <v>73691.441456921661</v>
      </c>
      <c r="G494" s="462">
        <f t="shared" si="46"/>
        <v>7.3691441456921664E-2</v>
      </c>
    </row>
    <row r="495" spans="1:7">
      <c r="A495" s="150" t="s">
        <v>79</v>
      </c>
      <c r="B495" s="541">
        <f t="shared" si="47"/>
        <v>73.263467845989027</v>
      </c>
      <c r="C495" s="235">
        <f t="shared" si="48"/>
        <v>232.9992</v>
      </c>
      <c r="D495" s="235">
        <f t="shared" si="44"/>
        <v>306.26266784598903</v>
      </c>
      <c r="E495" s="82">
        <f t="shared" si="49"/>
        <v>35256.115589658482</v>
      </c>
      <c r="F495" s="558">
        <f t="shared" si="45"/>
        <v>8686.7955452194983</v>
      </c>
      <c r="G495" s="462">
        <f t="shared" si="46"/>
        <v>8.6867955452194986E-3</v>
      </c>
    </row>
    <row r="496" spans="1:7">
      <c r="A496" s="150" t="s">
        <v>80</v>
      </c>
      <c r="B496" s="541">
        <f t="shared" si="47"/>
        <v>116.75952633918425</v>
      </c>
      <c r="C496" s="235">
        <f t="shared" si="48"/>
        <v>302.29978333333338</v>
      </c>
      <c r="D496" s="235">
        <f t="shared" si="44"/>
        <v>419.05930967251766</v>
      </c>
      <c r="E496" s="82">
        <f t="shared" si="49"/>
        <v>35256.115589658482</v>
      </c>
      <c r="F496" s="558">
        <f t="shared" si="45"/>
        <v>11886.145216617069</v>
      </c>
      <c r="G496" s="462">
        <f t="shared" si="46"/>
        <v>1.1886145216617069E-2</v>
      </c>
    </row>
    <row r="497" spans="1:7">
      <c r="A497" s="150" t="s">
        <v>81</v>
      </c>
      <c r="B497" s="541">
        <f t="shared" si="47"/>
        <v>79.757761095277999</v>
      </c>
      <c r="C497" s="235">
        <f t="shared" si="48"/>
        <v>67.697699999999998</v>
      </c>
      <c r="D497" s="235">
        <f t="shared" si="44"/>
        <v>147.455461095278</v>
      </c>
      <c r="E497" s="82">
        <f t="shared" si="49"/>
        <v>35256.115589658482</v>
      </c>
      <c r="F497" s="558">
        <f t="shared" si="45"/>
        <v>4182.4080341548015</v>
      </c>
      <c r="G497" s="462">
        <f t="shared" si="46"/>
        <v>4.1824080341548017E-3</v>
      </c>
    </row>
    <row r="498" spans="1:7">
      <c r="A498" s="150" t="s">
        <v>82</v>
      </c>
      <c r="B498" s="541">
        <f t="shared" si="47"/>
        <v>0.63731164578968114</v>
      </c>
      <c r="C498" s="235">
        <f t="shared" si="48"/>
        <v>1.4619499999999999</v>
      </c>
      <c r="D498" s="235">
        <f t="shared" si="44"/>
        <v>2.0992616457896811</v>
      </c>
      <c r="E498" s="82">
        <f t="shared" si="49"/>
        <v>35256.115589658482</v>
      </c>
      <c r="F498" s="558">
        <f t="shared" si="45"/>
        <v>59.543191604620453</v>
      </c>
      <c r="G498" s="462">
        <f t="shared" si="46"/>
        <v>5.9543191604620451E-5</v>
      </c>
    </row>
    <row r="499" spans="1:7">
      <c r="A499" s="150" t="s">
        <v>213</v>
      </c>
      <c r="B499" s="541">
        <f t="shared" si="47"/>
        <v>836.35821747556804</v>
      </c>
      <c r="C499" s="235">
        <f>$F$479</f>
        <v>1829.2190000000001</v>
      </c>
      <c r="D499" s="235">
        <f t="shared" si="44"/>
        <v>2665.577217475568</v>
      </c>
      <c r="E499" s="82">
        <f t="shared" si="49"/>
        <v>35256.115589658482</v>
      </c>
      <c r="F499" s="558">
        <f t="shared" si="45"/>
        <v>75606.094797846919</v>
      </c>
      <c r="G499" s="462">
        <f t="shared" si="46"/>
        <v>7.5606094797846926E-2</v>
      </c>
    </row>
    <row r="500" spans="1:7">
      <c r="A500" s="150" t="s">
        <v>96</v>
      </c>
      <c r="B500" s="541">
        <f t="shared" si="47"/>
        <v>2035.5612244897964</v>
      </c>
      <c r="C500" s="235">
        <v>0</v>
      </c>
      <c r="D500" s="235">
        <f t="shared" si="44"/>
        <v>2035.5612244897964</v>
      </c>
      <c r="E500" s="82">
        <f t="shared" si="49"/>
        <v>35256.115589658482</v>
      </c>
      <c r="F500" s="558">
        <f t="shared" si="45"/>
        <v>57736.400917827668</v>
      </c>
      <c r="G500" s="462">
        <f t="shared" si="46"/>
        <v>5.7736400917827668E-2</v>
      </c>
    </row>
    <row r="501" spans="1:7">
      <c r="A501" s="582" t="s">
        <v>97</v>
      </c>
      <c r="B501" s="541">
        <f t="shared" si="47"/>
        <v>2871.9194419653645</v>
      </c>
      <c r="C501" s="235">
        <f>C499+C500</f>
        <v>1829.2190000000001</v>
      </c>
      <c r="D501" s="235">
        <f t="shared" si="44"/>
        <v>4701.1384419653641</v>
      </c>
      <c r="E501" s="82">
        <f t="shared" si="49"/>
        <v>35256.115589658482</v>
      </c>
      <c r="F501" s="597">
        <f t="shared" si="45"/>
        <v>133342.49571567459</v>
      </c>
      <c r="G501" s="583">
        <f t="shared" si="46"/>
        <v>0.13334249571567461</v>
      </c>
    </row>
    <row r="502" spans="1:7">
      <c r="A502" s="186" t="s">
        <v>84</v>
      </c>
      <c r="B502" s="541">
        <f t="shared" si="47"/>
        <v>0.3344003453227431</v>
      </c>
      <c r="C502" s="235">
        <f>F480</f>
        <v>2.6088999999999998</v>
      </c>
      <c r="D502" s="235">
        <f t="shared" si="44"/>
        <v>2.9433003453227427</v>
      </c>
      <c r="E502" s="82">
        <f t="shared" si="49"/>
        <v>35256.115589658482</v>
      </c>
      <c r="F502" s="558">
        <f t="shared" si="45"/>
        <v>83.483398442966532</v>
      </c>
      <c r="G502" s="462">
        <f t="shared" si="46"/>
        <v>8.3483398442966528E-5</v>
      </c>
    </row>
    <row r="503" spans="1:7">
      <c r="A503" s="150" t="s">
        <v>85</v>
      </c>
      <c r="B503" s="541">
        <f t="shared" si="47"/>
        <v>0</v>
      </c>
      <c r="C503" s="235">
        <f>F481</f>
        <v>124.30895555555556</v>
      </c>
      <c r="D503" s="235">
        <f t="shared" si="44"/>
        <v>124.30895555555556</v>
      </c>
      <c r="E503" s="82">
        <f t="shared" si="49"/>
        <v>35256.115589658482</v>
      </c>
      <c r="F503" s="558">
        <f t="shared" si="45"/>
        <v>3525.8834808227866</v>
      </c>
      <c r="G503" s="462">
        <f t="shared" si="46"/>
        <v>3.5258834808227866E-3</v>
      </c>
    </row>
    <row r="504" spans="1:7" ht="14.65" thickBot="1">
      <c r="A504" s="152" t="s">
        <v>86</v>
      </c>
      <c r="B504" s="542">
        <f>B429</f>
        <v>0.61821948103576219</v>
      </c>
      <c r="C504" s="236">
        <f>F482</f>
        <v>60.55</v>
      </c>
      <c r="D504" s="236">
        <f t="shared" si="44"/>
        <v>61.168219481035763</v>
      </c>
      <c r="E504" s="237">
        <f>$C$391+$D$462</f>
        <v>35256.115589658482</v>
      </c>
      <c r="F504" s="559">
        <f t="shared" si="45"/>
        <v>1734.9676349194283</v>
      </c>
      <c r="G504" s="464">
        <f t="shared" si="46"/>
        <v>1.7349676349194283E-3</v>
      </c>
    </row>
    <row r="506" spans="1:7">
      <c r="A506" s="329" t="s">
        <v>328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9" spans="1:7" ht="14.65" thickBot="1">
      <c r="A509" s="329" t="s">
        <v>432</v>
      </c>
    </row>
    <row r="510" spans="1:7">
      <c r="A510" s="388" t="s">
        <v>268</v>
      </c>
      <c r="B510" s="323" t="s">
        <v>146</v>
      </c>
      <c r="C510" s="324" t="s">
        <v>147</v>
      </c>
      <c r="D510" s="1024" t="s">
        <v>95</v>
      </c>
      <c r="E510" s="1025"/>
    </row>
    <row r="511" spans="1:7" ht="14.65" thickBot="1">
      <c r="A511" s="220"/>
      <c r="B511" s="403" t="s">
        <v>35</v>
      </c>
      <c r="C511" s="423" t="s">
        <v>35</v>
      </c>
      <c r="D511" s="403" t="s">
        <v>257</v>
      </c>
      <c r="E511" s="155" t="s">
        <v>237</v>
      </c>
    </row>
    <row r="512" spans="1:7">
      <c r="A512" s="477" t="s">
        <v>148</v>
      </c>
      <c r="B512" s="159">
        <f>B501</f>
        <v>2871.9194419653645</v>
      </c>
      <c r="C512" s="501">
        <f>$C$391</f>
        <v>10756.115589658481</v>
      </c>
      <c r="D512" s="227">
        <f>B512/C512*1000000</f>
        <v>267003.40081196086</v>
      </c>
      <c r="E512" s="475">
        <f>D512/1000000</f>
        <v>0.26700340081196089</v>
      </c>
    </row>
    <row r="513" spans="1:5">
      <c r="A513" s="150" t="s">
        <v>149</v>
      </c>
      <c r="B513" s="161">
        <f>C501</f>
        <v>1829.2190000000001</v>
      </c>
      <c r="C513" s="502">
        <f>$D$462</f>
        <v>24500</v>
      </c>
      <c r="D513" s="229">
        <f>B513/C513*1000000</f>
        <v>74662</v>
      </c>
      <c r="E513" s="476">
        <f t="shared" ref="E513:E515" si="50">D513/1000000</f>
        <v>7.4662000000000006E-2</v>
      </c>
    </row>
    <row r="514" spans="1:5">
      <c r="A514" s="478" t="s">
        <v>150</v>
      </c>
      <c r="B514" s="480">
        <f>C514*31/98</f>
        <v>2422.7992888713356</v>
      </c>
      <c r="C514" s="587">
        <v>7659.1719454642216</v>
      </c>
      <c r="D514" s="229">
        <f>B514/C514*1000000</f>
        <v>316326.53061224491</v>
      </c>
      <c r="E514" s="476">
        <f t="shared" si="50"/>
        <v>0.31632653061224492</v>
      </c>
    </row>
    <row r="515" spans="1:5" ht="14.65" thickBot="1">
      <c r="A515" s="479" t="s">
        <v>306</v>
      </c>
      <c r="B515" s="162">
        <f>SUM($B$512:$B$514)</f>
        <v>7123.9377308367002</v>
      </c>
      <c r="C515" s="503">
        <f>SUM($C$512:$C$514)</f>
        <v>42915.287535122705</v>
      </c>
      <c r="D515" s="588">
        <f>B515/C515*1000000</f>
        <v>166000.00000014753</v>
      </c>
      <c r="E515" s="584">
        <f t="shared" si="50"/>
        <v>0.16600000000014753</v>
      </c>
    </row>
    <row r="517" spans="1:5" ht="14.65" thickBot="1">
      <c r="A517" s="79" t="s">
        <v>434</v>
      </c>
    </row>
    <row r="518" spans="1:5" ht="14.65" thickBot="1">
      <c r="A518" s="691"/>
      <c r="B518" s="192" t="s">
        <v>18</v>
      </c>
      <c r="C518" s="193" t="s">
        <v>106</v>
      </c>
    </row>
    <row r="519" spans="1:5">
      <c r="A519" s="203" t="s">
        <v>435</v>
      </c>
      <c r="B519" s="692" t="s">
        <v>35</v>
      </c>
      <c r="C519" s="730">
        <f>$C$514</f>
        <v>7659.1719454642216</v>
      </c>
    </row>
    <row r="520" spans="1:5">
      <c r="A520" s="257" t="s">
        <v>436</v>
      </c>
      <c r="B520" s="178" t="s">
        <v>35</v>
      </c>
      <c r="C520" s="84">
        <f>C519/75%*25%</f>
        <v>2553.0573151547405</v>
      </c>
      <c r="D520" s="99"/>
    </row>
    <row r="521" spans="1:5" ht="14.65" thickBot="1">
      <c r="A521" s="693" t="s">
        <v>437</v>
      </c>
      <c r="B521" s="694" t="s">
        <v>35</v>
      </c>
      <c r="C521" s="335">
        <f>C519+C520</f>
        <v>10212.229260618962</v>
      </c>
      <c r="D521" s="99"/>
    </row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307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3">
      <c r="A529" s="329"/>
    </row>
    <row r="530" spans="1:3" ht="14.65" thickBot="1">
      <c r="A530" s="329" t="s">
        <v>363</v>
      </c>
    </row>
    <row r="531" spans="1:3" ht="14.65" thickBot="1">
      <c r="A531" s="103"/>
      <c r="B531" s="102" t="s">
        <v>18</v>
      </c>
      <c r="C531" s="17" t="s">
        <v>106</v>
      </c>
    </row>
    <row r="532" spans="1:3">
      <c r="A532" s="272" t="s">
        <v>341</v>
      </c>
      <c r="B532" s="298" t="s">
        <v>35</v>
      </c>
      <c r="C532" s="669">
        <f>$C$391</f>
        <v>10756.115589658481</v>
      </c>
    </row>
    <row r="533" spans="1:3">
      <c r="A533" s="257" t="s">
        <v>343</v>
      </c>
      <c r="B533" s="346" t="s">
        <v>35</v>
      </c>
      <c r="C533" s="347">
        <f>$B$462</f>
        <v>17500</v>
      </c>
    </row>
    <row r="534" spans="1:3">
      <c r="A534" s="257" t="s">
        <v>344</v>
      </c>
      <c r="B534" s="346" t="s">
        <v>35</v>
      </c>
      <c r="C534" s="347">
        <f>$C$462</f>
        <v>7000</v>
      </c>
    </row>
    <row r="535" spans="1:3">
      <c r="A535" s="348" t="s">
        <v>435</v>
      </c>
      <c r="B535" s="278" t="s">
        <v>35</v>
      </c>
      <c r="C535" s="347">
        <f>$C$519</f>
        <v>7659.1719454642216</v>
      </c>
    </row>
    <row r="536" spans="1:3" ht="14.65" thickBot="1">
      <c r="A536" s="360" t="s">
        <v>309</v>
      </c>
      <c r="B536" s="320" t="s">
        <v>35</v>
      </c>
      <c r="C536" s="668">
        <f>C532+C533+C534+C535</f>
        <v>42915.287535122705</v>
      </c>
    </row>
    <row r="537" spans="1:3">
      <c r="A537" s="276" t="s">
        <v>345</v>
      </c>
      <c r="B537" s="296" t="s">
        <v>35</v>
      </c>
      <c r="C537" s="342">
        <f>C536/C527*C528</f>
        <v>52452.018098483313</v>
      </c>
    </row>
    <row r="538" spans="1:3">
      <c r="A538" s="257" t="s">
        <v>342</v>
      </c>
      <c r="B538" s="278" t="s">
        <v>35</v>
      </c>
      <c r="C538" s="347">
        <f>$C$400</f>
        <v>36276.516030652347</v>
      </c>
    </row>
    <row r="539" spans="1:3">
      <c r="A539" s="257" t="s">
        <v>436</v>
      </c>
      <c r="B539" s="278" t="s">
        <v>35</v>
      </c>
      <c r="C539" s="347">
        <f>$C$520</f>
        <v>2553.0573151547405</v>
      </c>
    </row>
    <row r="540" spans="1:3" ht="14.65" thickBot="1">
      <c r="A540" s="670" t="s">
        <v>363</v>
      </c>
      <c r="B540" s="713" t="s">
        <v>35</v>
      </c>
      <c r="C540" s="671">
        <f>C537-C538-C539</f>
        <v>13622.444752676227</v>
      </c>
    </row>
    <row r="541" spans="1:3" ht="14.65" hidden="1" thickBot="1">
      <c r="A541" s="695" t="s">
        <v>311</v>
      </c>
      <c r="B541" s="696" t="s">
        <v>35</v>
      </c>
      <c r="C541" s="697">
        <f>C539+C540</f>
        <v>16175.502067830967</v>
      </c>
    </row>
    <row r="543" spans="1:3" ht="14.65" thickBot="1">
      <c r="A543" s="79" t="s">
        <v>289</v>
      </c>
    </row>
    <row r="544" spans="1:3" ht="14.65" thickBot="1">
      <c r="A544" s="103" t="s">
        <v>53</v>
      </c>
      <c r="B544" s="102" t="s">
        <v>18</v>
      </c>
      <c r="C544" s="17" t="s">
        <v>106</v>
      </c>
    </row>
    <row r="545" spans="1:3">
      <c r="A545" s="336" t="s">
        <v>9</v>
      </c>
      <c r="B545" s="269" t="s">
        <v>35</v>
      </c>
      <c r="C545" s="328">
        <f>$C$374</f>
        <v>47032.631620310844</v>
      </c>
    </row>
    <row r="546" spans="1:3">
      <c r="A546" s="336" t="s">
        <v>343</v>
      </c>
      <c r="B546" s="269" t="s">
        <v>35</v>
      </c>
      <c r="C546" s="337">
        <f>$B$462</f>
        <v>17500</v>
      </c>
    </row>
    <row r="547" spans="1:3">
      <c r="A547" s="336" t="s">
        <v>344</v>
      </c>
      <c r="B547" s="269" t="s">
        <v>35</v>
      </c>
      <c r="C547" s="337">
        <f>$C$462</f>
        <v>7000</v>
      </c>
    </row>
    <row r="548" spans="1:3">
      <c r="A548" s="338" t="s">
        <v>437</v>
      </c>
      <c r="B548" s="269" t="s">
        <v>35</v>
      </c>
      <c r="C548" s="328">
        <f>$C$521</f>
        <v>10212.229260618962</v>
      </c>
    </row>
    <row r="549" spans="1:3" ht="14.65" thickBot="1">
      <c r="A549" s="339" t="s">
        <v>363</v>
      </c>
      <c r="B549" s="271" t="s">
        <v>35</v>
      </c>
      <c r="C549" s="340">
        <f>$C$540</f>
        <v>13622.444752676227</v>
      </c>
    </row>
    <row r="551" spans="1:3" ht="14.65" thickBot="1">
      <c r="A551" s="79" t="s">
        <v>290</v>
      </c>
    </row>
    <row r="552" spans="1:3" ht="14.65" thickBot="1">
      <c r="A552" s="191" t="s">
        <v>90</v>
      </c>
      <c r="B552" s="192" t="s">
        <v>18</v>
      </c>
      <c r="C552" s="193" t="s">
        <v>91</v>
      </c>
    </row>
    <row r="553" spans="1:3">
      <c r="A553" s="678" t="s">
        <v>9</v>
      </c>
      <c r="B553" s="293" t="s">
        <v>35</v>
      </c>
      <c r="C553" s="313">
        <f>$C$374</f>
        <v>47032.631620310844</v>
      </c>
    </row>
    <row r="554" spans="1:3">
      <c r="A554" s="679" t="s">
        <v>343</v>
      </c>
      <c r="B554" s="282" t="s">
        <v>35</v>
      </c>
      <c r="C554" s="347">
        <f>$B$462</f>
        <v>17500</v>
      </c>
    </row>
    <row r="555" spans="1:3">
      <c r="A555" s="679" t="s">
        <v>344</v>
      </c>
      <c r="B555" s="282" t="s">
        <v>35</v>
      </c>
      <c r="C555" s="347">
        <f>$C$462</f>
        <v>7000</v>
      </c>
    </row>
    <row r="556" spans="1:3">
      <c r="A556" s="375" t="s">
        <v>437</v>
      </c>
      <c r="B556" s="287" t="s">
        <v>35</v>
      </c>
      <c r="C556" s="279">
        <f>$C$521</f>
        <v>10212.229260618962</v>
      </c>
    </row>
    <row r="557" spans="1:3">
      <c r="A557" s="375" t="s">
        <v>363</v>
      </c>
      <c r="B557" s="287" t="s">
        <v>35</v>
      </c>
      <c r="C557" s="279">
        <f>$C$540</f>
        <v>13622.444752676227</v>
      </c>
    </row>
    <row r="558" spans="1:3" ht="14.65" thickBot="1">
      <c r="A558" s="689" t="s">
        <v>305</v>
      </c>
      <c r="B558" s="677" t="s">
        <v>35</v>
      </c>
      <c r="C558" s="256">
        <f>SUM(C553:C557)</f>
        <v>95367.305633606025</v>
      </c>
    </row>
    <row r="560" spans="1:3" ht="14.65" thickBot="1">
      <c r="A560" s="79" t="s">
        <v>307</v>
      </c>
      <c r="B560" s="79"/>
      <c r="C560" s="79"/>
    </row>
    <row r="561" spans="1:3" ht="14.65" thickBot="1">
      <c r="A561" s="191" t="s">
        <v>90</v>
      </c>
      <c r="B561" s="192" t="s">
        <v>18</v>
      </c>
      <c r="C561" s="193" t="s">
        <v>106</v>
      </c>
    </row>
    <row r="562" spans="1:3">
      <c r="A562" s="272" t="s">
        <v>341</v>
      </c>
      <c r="B562" s="293" t="s">
        <v>35</v>
      </c>
      <c r="C562" s="294">
        <f>$C$391</f>
        <v>10756.115589658481</v>
      </c>
    </row>
    <row r="563" spans="1:3">
      <c r="A563" s="257" t="s">
        <v>343</v>
      </c>
      <c r="B563" s="282" t="s">
        <v>35</v>
      </c>
      <c r="C563" s="347">
        <f>$B$462</f>
        <v>17500</v>
      </c>
    </row>
    <row r="564" spans="1:3">
      <c r="A564" s="257" t="s">
        <v>344</v>
      </c>
      <c r="B564" s="282" t="s">
        <v>35</v>
      </c>
      <c r="C564" s="347">
        <f>$C$462</f>
        <v>7000</v>
      </c>
    </row>
    <row r="565" spans="1:3">
      <c r="A565" s="348" t="s">
        <v>435</v>
      </c>
      <c r="B565" s="287" t="s">
        <v>35</v>
      </c>
      <c r="C565" s="279">
        <f>$C$519</f>
        <v>7659.1719454642216</v>
      </c>
    </row>
    <row r="566" spans="1:3">
      <c r="A566" s="257" t="s">
        <v>309</v>
      </c>
      <c r="B566" s="287" t="s">
        <v>35</v>
      </c>
      <c r="C566" s="279">
        <f>C562+C563+C564+C565</f>
        <v>42915.287535122705</v>
      </c>
    </row>
    <row r="567" spans="1:3">
      <c r="A567" s="257" t="s">
        <v>305</v>
      </c>
      <c r="B567" s="287" t="s">
        <v>35</v>
      </c>
      <c r="C567" s="279">
        <f>$C$558</f>
        <v>95367.305633606025</v>
      </c>
    </row>
    <row r="568" spans="1:3">
      <c r="A568" s="299" t="s">
        <v>64</v>
      </c>
      <c r="B568" s="258" t="s">
        <v>24</v>
      </c>
      <c r="C568" s="300">
        <f>C566/C567</f>
        <v>0.44999999999999996</v>
      </c>
    </row>
    <row r="569" spans="1:3">
      <c r="A569" s="68" t="s">
        <v>436</v>
      </c>
      <c r="B569" s="287" t="s">
        <v>35</v>
      </c>
      <c r="C569" s="279">
        <f>C539</f>
        <v>2553.0573151547405</v>
      </c>
    </row>
    <row r="570" spans="1:3">
      <c r="A570" s="375" t="s">
        <v>363</v>
      </c>
      <c r="B570" s="287" t="s">
        <v>35</v>
      </c>
      <c r="C570" s="279">
        <f>$C$540</f>
        <v>13622.444752676227</v>
      </c>
    </row>
    <row r="571" spans="1:3">
      <c r="A571" s="257" t="s">
        <v>342</v>
      </c>
      <c r="B571" s="287" t="s">
        <v>35</v>
      </c>
      <c r="C571" s="279">
        <f>$C$400</f>
        <v>36276.516030652347</v>
      </c>
    </row>
    <row r="572" spans="1:3">
      <c r="A572" s="257" t="s">
        <v>345</v>
      </c>
      <c r="B572" s="287" t="s">
        <v>35</v>
      </c>
      <c r="C572" s="279">
        <f>C569+C570+C571</f>
        <v>52452.018098483313</v>
      </c>
    </row>
    <row r="573" spans="1:3">
      <c r="A573" s="257" t="s">
        <v>305</v>
      </c>
      <c r="B573" s="287" t="s">
        <v>35</v>
      </c>
      <c r="C573" s="279">
        <f>$C$558</f>
        <v>95367.305633606025</v>
      </c>
    </row>
    <row r="574" spans="1:3" ht="14.65" thickBot="1">
      <c r="A574" s="301" t="s">
        <v>66</v>
      </c>
      <c r="B574" s="259" t="s">
        <v>24</v>
      </c>
      <c r="C574" s="303">
        <f>C572/C573</f>
        <v>0.55000000000000004</v>
      </c>
    </row>
    <row r="576" spans="1:3" ht="14.65" thickBot="1">
      <c r="A576" s="79" t="s">
        <v>308</v>
      </c>
    </row>
    <row r="577" spans="1:8" ht="14.65" thickBot="1">
      <c r="A577" s="482"/>
      <c r="B577" s="1028" t="s">
        <v>262</v>
      </c>
      <c r="C577" s="1029"/>
      <c r="D577" s="1029"/>
      <c r="E577" s="1029"/>
      <c r="F577" s="1030"/>
      <c r="G577" s="1028" t="s">
        <v>263</v>
      </c>
      <c r="H577" s="1031"/>
    </row>
    <row r="578" spans="1:8">
      <c r="A578" s="219" t="s">
        <v>93</v>
      </c>
      <c r="B578" s="377" t="s">
        <v>136</v>
      </c>
      <c r="C578" s="421" t="s">
        <v>141</v>
      </c>
      <c r="D578" s="421" t="s">
        <v>153</v>
      </c>
      <c r="E578" s="421" t="s">
        <v>142</v>
      </c>
      <c r="F578" s="418" t="s">
        <v>309</v>
      </c>
      <c r="G578" s="1026" t="s">
        <v>95</v>
      </c>
      <c r="H578" s="1027"/>
    </row>
    <row r="579" spans="1:8" ht="14.65" thickBot="1">
      <c r="A579" s="220"/>
      <c r="B579" s="215" t="s">
        <v>35</v>
      </c>
      <c r="C579" s="325" t="s">
        <v>35</v>
      </c>
      <c r="D579" s="325" t="s">
        <v>35</v>
      </c>
      <c r="E579" s="325" t="s">
        <v>35</v>
      </c>
      <c r="F579" s="483" t="s">
        <v>35</v>
      </c>
      <c r="G579" s="6" t="s">
        <v>257</v>
      </c>
      <c r="H579" s="24" t="s">
        <v>237</v>
      </c>
    </row>
    <row r="580" spans="1:8">
      <c r="A580" s="148" t="s">
        <v>72</v>
      </c>
      <c r="B580" s="656">
        <f>B488</f>
        <v>297.23661411933938</v>
      </c>
      <c r="C580" s="378">
        <f>F468</f>
        <v>1547.5740000000001</v>
      </c>
      <c r="D580" s="378">
        <v>0</v>
      </c>
      <c r="E580" s="378">
        <f>B580+C580+D580</f>
        <v>1844.8106141193393</v>
      </c>
      <c r="F580" s="657">
        <f t="shared" ref="F580:F594" si="51">$C$566</f>
        <v>42915.287535122705</v>
      </c>
      <c r="G580" s="634">
        <f>E580/F580*1000000</f>
        <v>42987.259787307972</v>
      </c>
      <c r="H580" s="481">
        <f>G580/1000000</f>
        <v>4.2987259787307969E-2</v>
      </c>
    </row>
    <row r="581" spans="1:8">
      <c r="A581" s="149" t="s">
        <v>73</v>
      </c>
      <c r="B581" s="592">
        <f>B489</f>
        <v>2.7508594065107583E-2</v>
      </c>
      <c r="C581" s="364">
        <f>F469</f>
        <v>0.61250000000000004</v>
      </c>
      <c r="D581" s="364">
        <v>0</v>
      </c>
      <c r="E581" s="364">
        <f t="shared" ref="E581:E594" si="52">B581+C581+D581</f>
        <v>0.64000859406510768</v>
      </c>
      <c r="F581" s="658">
        <f t="shared" si="51"/>
        <v>42915.287535122705</v>
      </c>
      <c r="G581" s="558">
        <f t="shared" ref="G581:G593" si="53">E581/F581*1000000</f>
        <v>14.913300849756912</v>
      </c>
      <c r="H581" s="462">
        <f t="shared" ref="H581:H594" si="54">G581/1000000</f>
        <v>1.4913300849756912E-5</v>
      </c>
    </row>
    <row r="582" spans="1:8">
      <c r="A582" s="149" t="s">
        <v>74</v>
      </c>
      <c r="B582" s="592">
        <f t="shared" ref="B582:B584" si="55">B490</f>
        <v>301.91686339228249</v>
      </c>
      <c r="C582" s="364">
        <f t="shared" ref="C582:C593" si="56">F470</f>
        <v>2275.1098999999999</v>
      </c>
      <c r="D582" s="364">
        <v>0</v>
      </c>
      <c r="E582" s="364">
        <f t="shared" si="52"/>
        <v>2577.0267633922822</v>
      </c>
      <c r="F582" s="658">
        <f t="shared" si="51"/>
        <v>42915.287535122705</v>
      </c>
      <c r="G582" s="558">
        <f t="shared" si="53"/>
        <v>60049.155240616608</v>
      </c>
      <c r="H582" s="462">
        <f t="shared" si="54"/>
        <v>6.004915524061661E-2</v>
      </c>
    </row>
    <row r="583" spans="1:8">
      <c r="A583" s="149" t="s">
        <v>75</v>
      </c>
      <c r="B583" s="592">
        <f t="shared" si="55"/>
        <v>1.0380305269228264E-2</v>
      </c>
      <c r="C583" s="364">
        <f t="shared" si="56"/>
        <v>5.2499999999999998E-2</v>
      </c>
      <c r="D583" s="364">
        <v>0</v>
      </c>
      <c r="E583" s="364">
        <f t="shared" si="52"/>
        <v>6.2880305269228262E-2</v>
      </c>
      <c r="F583" s="658">
        <f t="shared" si="51"/>
        <v>42915.287535122705</v>
      </c>
      <c r="G583" s="558">
        <f t="shared" si="53"/>
        <v>1.4652192465858653</v>
      </c>
      <c r="H583" s="462">
        <f t="shared" si="54"/>
        <v>1.4652192465858653E-6</v>
      </c>
    </row>
    <row r="584" spans="1:8">
      <c r="A584" s="149" t="s">
        <v>76</v>
      </c>
      <c r="B584" s="592">
        <f t="shared" si="55"/>
        <v>0.65861882563119145</v>
      </c>
      <c r="C584" s="364">
        <f t="shared" si="56"/>
        <v>1.9698</v>
      </c>
      <c r="D584" s="364">
        <v>0</v>
      </c>
      <c r="E584" s="364">
        <f t="shared" si="52"/>
        <v>2.6284188256311913</v>
      </c>
      <c r="F584" s="658">
        <f t="shared" si="51"/>
        <v>42915.287535122705</v>
      </c>
      <c r="G584" s="558">
        <f t="shared" si="53"/>
        <v>61.246678668529064</v>
      </c>
      <c r="H584" s="462">
        <f t="shared" si="54"/>
        <v>6.1246678668529065E-5</v>
      </c>
    </row>
    <row r="585" spans="1:8">
      <c r="A585" s="150" t="s">
        <v>77</v>
      </c>
      <c r="B585" s="592">
        <f>B493</f>
        <v>1.8390803487070784E-2</v>
      </c>
      <c r="C585" s="364">
        <f t="shared" si="56"/>
        <v>21.4025</v>
      </c>
      <c r="D585" s="364">
        <v>0</v>
      </c>
      <c r="E585" s="364">
        <f t="shared" si="52"/>
        <v>21.420890803487069</v>
      </c>
      <c r="F585" s="658">
        <f t="shared" si="51"/>
        <v>42915.287535122705</v>
      </c>
      <c r="G585" s="558">
        <f t="shared" si="53"/>
        <v>499.14359273384332</v>
      </c>
      <c r="H585" s="462">
        <f t="shared" si="54"/>
        <v>4.9914359273384331E-4</v>
      </c>
    </row>
    <row r="586" spans="1:8">
      <c r="A586" s="150" t="s">
        <v>78</v>
      </c>
      <c r="B586" s="592">
        <f>B494</f>
        <v>520.36897797378174</v>
      </c>
      <c r="C586" s="364">
        <f t="shared" si="56"/>
        <v>2077.7049999999999</v>
      </c>
      <c r="D586" s="364">
        <v>0</v>
      </c>
      <c r="E586" s="364">
        <f t="shared" si="52"/>
        <v>2598.0739779737814</v>
      </c>
      <c r="F586" s="658">
        <f t="shared" si="51"/>
        <v>42915.287535122705</v>
      </c>
      <c r="G586" s="558">
        <f t="shared" si="53"/>
        <v>60539.59153477574</v>
      </c>
      <c r="H586" s="462">
        <f t="shared" si="54"/>
        <v>6.0539591534775741E-2</v>
      </c>
    </row>
    <row r="587" spans="1:8">
      <c r="A587" s="150" t="s">
        <v>79</v>
      </c>
      <c r="B587" s="592">
        <f>B495</f>
        <v>73.263467845989027</v>
      </c>
      <c r="C587" s="364">
        <f t="shared" si="56"/>
        <v>232.9992</v>
      </c>
      <c r="D587" s="364">
        <v>0</v>
      </c>
      <c r="E587" s="364">
        <f t="shared" si="52"/>
        <v>306.26266784598903</v>
      </c>
      <c r="F587" s="658">
        <f t="shared" si="51"/>
        <v>42915.287535122705</v>
      </c>
      <c r="G587" s="558">
        <f t="shared" si="53"/>
        <v>7136.4468336682521</v>
      </c>
      <c r="H587" s="462">
        <f t="shared" si="54"/>
        <v>7.1364468336682519E-3</v>
      </c>
    </row>
    <row r="588" spans="1:8">
      <c r="A588" s="150" t="s">
        <v>80</v>
      </c>
      <c r="B588" s="592">
        <f>B496</f>
        <v>116.75952633918425</v>
      </c>
      <c r="C588" s="364">
        <f t="shared" si="56"/>
        <v>302.29978333333338</v>
      </c>
      <c r="D588" s="364">
        <v>0</v>
      </c>
      <c r="E588" s="364">
        <f t="shared" si="52"/>
        <v>419.05930967251766</v>
      </c>
      <c r="F588" s="658">
        <f t="shared" si="51"/>
        <v>42915.287535122705</v>
      </c>
      <c r="G588" s="558">
        <f t="shared" si="53"/>
        <v>9764.8025620136268</v>
      </c>
      <c r="H588" s="462">
        <f t="shared" si="54"/>
        <v>9.7648025620136261E-3</v>
      </c>
    </row>
    <row r="589" spans="1:8">
      <c r="A589" s="150" t="s">
        <v>81</v>
      </c>
      <c r="B589" s="592">
        <f>B497</f>
        <v>79.757761095277999</v>
      </c>
      <c r="C589" s="364">
        <f t="shared" si="56"/>
        <v>67.697699999999998</v>
      </c>
      <c r="D589" s="364">
        <v>0</v>
      </c>
      <c r="E589" s="364">
        <f t="shared" si="52"/>
        <v>147.455461095278</v>
      </c>
      <c r="F589" s="658">
        <f t="shared" si="51"/>
        <v>42915.287535122705</v>
      </c>
      <c r="G589" s="558">
        <f t="shared" si="53"/>
        <v>3435.9658192805441</v>
      </c>
      <c r="H589" s="462">
        <f t="shared" si="54"/>
        <v>3.435965819280544E-3</v>
      </c>
    </row>
    <row r="590" spans="1:8">
      <c r="A590" s="150" t="s">
        <v>82</v>
      </c>
      <c r="B590" s="592">
        <f t="shared" ref="B590" si="57">B498</f>
        <v>0.63731164578968114</v>
      </c>
      <c r="C590" s="364">
        <f t="shared" si="56"/>
        <v>1.4619499999999999</v>
      </c>
      <c r="D590" s="364">
        <v>0</v>
      </c>
      <c r="E590" s="364">
        <f t="shared" si="52"/>
        <v>2.0992616457896811</v>
      </c>
      <c r="F590" s="658">
        <f t="shared" si="51"/>
        <v>42915.287535122705</v>
      </c>
      <c r="G590" s="558">
        <f t="shared" si="53"/>
        <v>48.916406398806124</v>
      </c>
      <c r="H590" s="462">
        <f t="shared" si="54"/>
        <v>4.8916406398806125E-5</v>
      </c>
    </row>
    <row r="591" spans="1:8">
      <c r="A591" s="350" t="s">
        <v>154</v>
      </c>
      <c r="B591" s="592">
        <f>B501</f>
        <v>2871.9194419653645</v>
      </c>
      <c r="C591" s="364">
        <f t="shared" si="56"/>
        <v>1829.2190000000001</v>
      </c>
      <c r="D591" s="364">
        <f>$B$514</f>
        <v>2422.7992888713356</v>
      </c>
      <c r="E591" s="364">
        <f t="shared" si="52"/>
        <v>7123.9377308367002</v>
      </c>
      <c r="F591" s="658">
        <f t="shared" si="51"/>
        <v>42915.287535122705</v>
      </c>
      <c r="G591" s="597">
        <f t="shared" si="53"/>
        <v>166000.00000014753</v>
      </c>
      <c r="H591" s="583">
        <f t="shared" si="54"/>
        <v>0.16600000000014753</v>
      </c>
    </row>
    <row r="592" spans="1:8">
      <c r="A592" s="398" t="s">
        <v>84</v>
      </c>
      <c r="B592" s="592">
        <f>B502</f>
        <v>0.3344003453227431</v>
      </c>
      <c r="C592" s="364">
        <f t="shared" si="56"/>
        <v>2.6088999999999998</v>
      </c>
      <c r="D592" s="364">
        <v>0</v>
      </c>
      <c r="E592" s="364">
        <f t="shared" si="52"/>
        <v>2.9433003453227427</v>
      </c>
      <c r="F592" s="658">
        <f t="shared" si="51"/>
        <v>42915.287535122705</v>
      </c>
      <c r="G592" s="558">
        <f t="shared" si="53"/>
        <v>68.583959571839955</v>
      </c>
      <c r="H592" s="462">
        <f t="shared" si="54"/>
        <v>6.858395957183996E-5</v>
      </c>
    </row>
    <row r="593" spans="1:8">
      <c r="A593" s="398" t="s">
        <v>85</v>
      </c>
      <c r="B593" s="592">
        <f t="shared" ref="B593:B594" si="58">B503</f>
        <v>0</v>
      </c>
      <c r="C593" s="364">
        <f t="shared" si="56"/>
        <v>124.30895555555556</v>
      </c>
      <c r="D593" s="364">
        <v>0</v>
      </c>
      <c r="E593" s="364">
        <f t="shared" si="52"/>
        <v>124.30895555555556</v>
      </c>
      <c r="F593" s="658">
        <f t="shared" si="51"/>
        <v>42915.287535122705</v>
      </c>
      <c r="G593" s="558">
        <f t="shared" si="53"/>
        <v>2896.6124356924952</v>
      </c>
      <c r="H593" s="462">
        <f t="shared" si="54"/>
        <v>2.8966124356924953E-3</v>
      </c>
    </row>
    <row r="594" spans="1:8" ht="14.65" thickBot="1">
      <c r="A594" s="152" t="s">
        <v>86</v>
      </c>
      <c r="B594" s="659">
        <f t="shared" si="58"/>
        <v>0.61821948103576219</v>
      </c>
      <c r="C594" s="379">
        <f>F482</f>
        <v>60.55</v>
      </c>
      <c r="D594" s="379">
        <v>0</v>
      </c>
      <c r="E594" s="379">
        <f t="shared" si="52"/>
        <v>61.168219481035763</v>
      </c>
      <c r="F594" s="660">
        <f t="shared" si="51"/>
        <v>42915.287535122705</v>
      </c>
      <c r="G594" s="559">
        <f>E594/F594*1000000</f>
        <v>1425.3247034864792</v>
      </c>
      <c r="H594" s="464">
        <f t="shared" si="54"/>
        <v>1.4253247034864791E-3</v>
      </c>
    </row>
    <row r="596" spans="1:8">
      <c r="A596" s="1" t="s">
        <v>155</v>
      </c>
      <c r="B596" s="1"/>
      <c r="C596" s="1"/>
    </row>
    <row r="597" spans="1:8" ht="14.65" thickBot="1">
      <c r="A597" s="79" t="s">
        <v>291</v>
      </c>
    </row>
    <row r="598" spans="1:8" ht="14.65" thickBot="1">
      <c r="A598" s="16" t="s">
        <v>53</v>
      </c>
      <c r="B598" s="17" t="s">
        <v>18</v>
      </c>
      <c r="C598" s="249" t="s">
        <v>106</v>
      </c>
    </row>
    <row r="599" spans="1:8" ht="14.65" thickBot="1">
      <c r="A599" s="611" t="s">
        <v>305</v>
      </c>
      <c r="B599" s="612" t="s">
        <v>35</v>
      </c>
      <c r="C599" s="613">
        <f>$C$558</f>
        <v>95367.305633606025</v>
      </c>
    </row>
    <row r="600" spans="1:8">
      <c r="A600" s="78"/>
      <c r="B600" s="685"/>
      <c r="C600" s="686"/>
    </row>
    <row r="601" spans="1:8">
      <c r="A601" s="329" t="s">
        <v>319</v>
      </c>
      <c r="B601" s="685"/>
      <c r="C601" s="686"/>
    </row>
    <row r="603" spans="1:8" ht="14.65" thickBot="1">
      <c r="A603" s="79" t="s">
        <v>292</v>
      </c>
    </row>
    <row r="604" spans="1:8" ht="14.65" thickBot="1">
      <c r="A604" s="191" t="s">
        <v>90</v>
      </c>
      <c r="B604" s="192" t="s">
        <v>18</v>
      </c>
      <c r="C604" s="193" t="s">
        <v>91</v>
      </c>
    </row>
    <row r="605" spans="1:8">
      <c r="A605" s="703" t="s">
        <v>314</v>
      </c>
      <c r="B605" s="692" t="s">
        <v>35</v>
      </c>
      <c r="C605" s="730">
        <f>C566</f>
        <v>42915.287535122705</v>
      </c>
    </row>
    <row r="606" spans="1:8">
      <c r="A606" s="232" t="s">
        <v>320</v>
      </c>
      <c r="B606" s="178" t="s">
        <v>237</v>
      </c>
      <c r="C606" s="722">
        <v>0.95</v>
      </c>
    </row>
    <row r="607" spans="1:8">
      <c r="A607" s="688" t="s">
        <v>17</v>
      </c>
      <c r="B607" s="90" t="s">
        <v>35</v>
      </c>
      <c r="C607" s="254">
        <f>C605/C606</f>
        <v>45173.986879076532</v>
      </c>
    </row>
    <row r="608" spans="1:8">
      <c r="A608" s="232" t="s">
        <v>321</v>
      </c>
      <c r="B608" s="178" t="s">
        <v>237</v>
      </c>
      <c r="C608" s="722">
        <f>100%-C606</f>
        <v>5.0000000000000044E-2</v>
      </c>
    </row>
    <row r="609" spans="1:5">
      <c r="A609" s="232" t="s">
        <v>348</v>
      </c>
      <c r="B609" s="178" t="s">
        <v>35</v>
      </c>
      <c r="C609" s="84">
        <f>C607*C608</f>
        <v>2258.6993439538287</v>
      </c>
    </row>
    <row r="610" spans="1:5" ht="14.65" thickBot="1">
      <c r="A610" s="689" t="s">
        <v>16</v>
      </c>
      <c r="B610" s="163" t="s">
        <v>35</v>
      </c>
      <c r="C610" s="690">
        <f>$C$572-C609</f>
        <v>50193.318754529486</v>
      </c>
    </row>
    <row r="612" spans="1:5" ht="14.65" thickBot="1">
      <c r="A612" s="1" t="s">
        <v>235</v>
      </c>
      <c r="B612" s="1"/>
      <c r="C612" s="1"/>
      <c r="D612" s="79"/>
      <c r="E612" s="79"/>
    </row>
    <row r="613" spans="1:5" ht="14.65" hidden="1" thickBot="1">
      <c r="A613" s="212"/>
      <c r="B613" s="1008" t="s">
        <v>140</v>
      </c>
      <c r="C613" s="1061"/>
      <c r="D613" s="1061"/>
      <c r="E613" s="1009"/>
    </row>
    <row r="614" spans="1:5" ht="14.65" hidden="1" thickBot="1">
      <c r="A614" s="487" t="s">
        <v>67</v>
      </c>
      <c r="B614" s="385" t="s">
        <v>228</v>
      </c>
      <c r="C614" s="19" t="s">
        <v>229</v>
      </c>
      <c r="D614" s="504" t="s">
        <v>230</v>
      </c>
      <c r="E614" s="18" t="s">
        <v>298</v>
      </c>
    </row>
    <row r="615" spans="1:5" ht="14.65" hidden="1" thickBot="1">
      <c r="A615" s="133" t="s">
        <v>18</v>
      </c>
      <c r="B615" s="23" t="s">
        <v>35</v>
      </c>
      <c r="C615" s="7" t="s">
        <v>35</v>
      </c>
      <c r="D615" s="422" t="s">
        <v>35</v>
      </c>
      <c r="E615" s="73" t="s">
        <v>35</v>
      </c>
    </row>
    <row r="616" spans="1:5" ht="14.65" hidden="1" thickBot="1">
      <c r="A616" s="134" t="s">
        <v>223</v>
      </c>
      <c r="B616" s="241">
        <f>D471</f>
        <v>3.85E-2</v>
      </c>
      <c r="C616" s="241">
        <f>E471</f>
        <v>1.4E-2</v>
      </c>
      <c r="D616" s="505">
        <f>E69</f>
        <v>1.064646694279822E-2</v>
      </c>
      <c r="E616" s="507">
        <f>SUM(B616:D616)</f>
        <v>6.3146466942798213E-2</v>
      </c>
    </row>
    <row r="617" spans="1:5" ht="14.65" hidden="1" thickBot="1">
      <c r="A617" s="73" t="s">
        <v>226</v>
      </c>
      <c r="B617" s="240">
        <f>D480</f>
        <v>2.0474999999999999</v>
      </c>
      <c r="C617" s="240">
        <f>E480</f>
        <v>0.56140000000000001</v>
      </c>
      <c r="D617" s="506">
        <f>E78</f>
        <v>0.34297471315153155</v>
      </c>
      <c r="E617" s="508">
        <f>SUM(B617:D617)</f>
        <v>2.9518747131515313</v>
      </c>
    </row>
    <row r="618" spans="1:5" ht="14.65" hidden="1" thickBot="1"/>
    <row r="619" spans="1:5" ht="14.65" thickBot="1">
      <c r="A619" s="512"/>
      <c r="B619" s="249" t="s">
        <v>18</v>
      </c>
      <c r="C619" s="249" t="s">
        <v>234</v>
      </c>
    </row>
    <row r="620" spans="1:5">
      <c r="A620" s="134" t="s">
        <v>232</v>
      </c>
      <c r="B620" s="509" t="s">
        <v>24</v>
      </c>
      <c r="C620" s="248">
        <v>0.38</v>
      </c>
    </row>
    <row r="621" spans="1:5">
      <c r="A621" s="68" t="s">
        <v>324</v>
      </c>
      <c r="B621" s="510" t="s">
        <v>35</v>
      </c>
      <c r="C621" s="244">
        <f>C605</f>
        <v>42915.287535122705</v>
      </c>
    </row>
    <row r="622" spans="1:5">
      <c r="A622" s="68" t="s">
        <v>349</v>
      </c>
      <c r="B622" s="510" t="s">
        <v>35</v>
      </c>
      <c r="C622" s="245">
        <f>C621*C620</f>
        <v>16307.809263346628</v>
      </c>
    </row>
    <row r="623" spans="1:5">
      <c r="A623" s="68" t="s">
        <v>350</v>
      </c>
      <c r="B623" s="510" t="s">
        <v>35</v>
      </c>
      <c r="C623" s="246">
        <f>E583</f>
        <v>6.2880305269228262E-2</v>
      </c>
    </row>
    <row r="624" spans="1:5" ht="14.65" thickBot="1">
      <c r="A624" s="73" t="s">
        <v>351</v>
      </c>
      <c r="B624" s="511" t="s">
        <v>236</v>
      </c>
      <c r="C624" s="247">
        <f>C623/C622*1000000</f>
        <v>3.8558401225943824</v>
      </c>
    </row>
    <row r="625" spans="1:4" ht="14.65" thickBot="1"/>
    <row r="626" spans="1:4" ht="14.65" thickBot="1">
      <c r="A626" s="212"/>
      <c r="B626" s="1010" t="s">
        <v>216</v>
      </c>
      <c r="C626" s="1005" t="s">
        <v>165</v>
      </c>
      <c r="D626" s="1012"/>
    </row>
    <row r="627" spans="1:4">
      <c r="A627" s="487" t="s">
        <v>67</v>
      </c>
      <c r="B627" s="1011"/>
      <c r="C627" s="3" t="s">
        <v>166</v>
      </c>
      <c r="D627" s="15" t="s">
        <v>167</v>
      </c>
    </row>
    <row r="628" spans="1:4" ht="14.65" thickBot="1">
      <c r="A628" s="133" t="s">
        <v>18</v>
      </c>
      <c r="B628" s="610" t="s">
        <v>352</v>
      </c>
      <c r="C628" s="6" t="s">
        <v>70</v>
      </c>
      <c r="D628" s="24" t="s">
        <v>70</v>
      </c>
    </row>
    <row r="629" spans="1:4">
      <c r="A629" s="134" t="s">
        <v>222</v>
      </c>
      <c r="B629" s="684">
        <f>G581</f>
        <v>14.913300849756912</v>
      </c>
      <c r="C629" s="484">
        <f>Rohdaten!$F$12</f>
        <v>40</v>
      </c>
      <c r="D629" s="110">
        <f>Rohdaten!$H$12</f>
        <v>40</v>
      </c>
    </row>
    <row r="630" spans="1:4">
      <c r="A630" s="68" t="s">
        <v>223</v>
      </c>
      <c r="B630" s="607">
        <f>C624</f>
        <v>3.8558401225943824</v>
      </c>
      <c r="C630" s="105" t="str">
        <f>Rohdaten!$F$14</f>
        <v>50mg/kgP2O5</v>
      </c>
      <c r="D630" s="80" t="str">
        <f>Rohdaten!$H$14</f>
        <v>60mg/kgP2O5</v>
      </c>
    </row>
    <row r="631" spans="1:4">
      <c r="A631" s="68" t="s">
        <v>224</v>
      </c>
      <c r="B631" s="606">
        <f>G585</f>
        <v>499.14359273384332</v>
      </c>
      <c r="C631" s="485">
        <f>Rohdaten!$F$16</f>
        <v>900</v>
      </c>
      <c r="D631" s="82">
        <f>Rohdaten!$H$16</f>
        <v>600</v>
      </c>
    </row>
    <row r="632" spans="1:4">
      <c r="A632" s="68" t="s">
        <v>225</v>
      </c>
      <c r="B632" s="606">
        <f>G590</f>
        <v>48.916406398806124</v>
      </c>
      <c r="C632" s="485">
        <f>Rohdaten!$F$21</f>
        <v>80</v>
      </c>
      <c r="D632" s="82">
        <f>Rohdaten!$H$21</f>
        <v>100</v>
      </c>
    </row>
    <row r="633" spans="1:4">
      <c r="A633" s="68" t="s">
        <v>226</v>
      </c>
      <c r="B633" s="607">
        <f>E592/C610*1000000</f>
        <v>58.639285433923156</v>
      </c>
      <c r="C633" s="485">
        <f>Rohdaten!$F$23</f>
        <v>150</v>
      </c>
      <c r="D633" s="82">
        <f>Rohdaten!$H$23</f>
        <v>120</v>
      </c>
    </row>
    <row r="634" spans="1:4" ht="14.65" thickBot="1">
      <c r="A634" s="73" t="s">
        <v>227</v>
      </c>
      <c r="B634" s="608">
        <f>G594</f>
        <v>1425.3247034864792</v>
      </c>
      <c r="C634" s="486">
        <f>Rohdaten!$F$25</f>
        <v>5000</v>
      </c>
      <c r="D634" s="237">
        <f>Rohdaten!$H$25</f>
        <v>1500</v>
      </c>
    </row>
  </sheetData>
  <mergeCells count="45">
    <mergeCell ref="D63:F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  <mergeCell ref="B199:C199"/>
    <mergeCell ref="B200:C200"/>
    <mergeCell ref="B285:F285"/>
    <mergeCell ref="G285:L285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I286:L286"/>
    <mergeCell ref="I287:J287"/>
    <mergeCell ref="K287:L287"/>
    <mergeCell ref="B405:D405"/>
    <mergeCell ref="E405:H405"/>
    <mergeCell ref="B432:D432"/>
    <mergeCell ref="E432:H432"/>
    <mergeCell ref="E433:F433"/>
    <mergeCell ref="G433:H433"/>
    <mergeCell ref="B465:C465"/>
    <mergeCell ref="D465:F465"/>
    <mergeCell ref="G578:H578"/>
    <mergeCell ref="B613:E613"/>
    <mergeCell ref="B626:B627"/>
    <mergeCell ref="C626:D626"/>
    <mergeCell ref="B485:E485"/>
    <mergeCell ref="F485:G485"/>
    <mergeCell ref="F486:G486"/>
    <mergeCell ref="D510:E510"/>
    <mergeCell ref="B577:F577"/>
    <mergeCell ref="G577:H577"/>
  </mergeCell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2FB-F859-41CD-8560-AA703B894D38}">
  <sheetPr codeName="Tabelle19"/>
  <dimension ref="A1:L621"/>
  <sheetViews>
    <sheetView topLeftCell="A463" zoomScale="65" zoomScaleNormal="50" workbookViewId="0">
      <selection activeCell="A463" sqref="A463"/>
    </sheetView>
  </sheetViews>
  <sheetFormatPr baseColWidth="10" defaultColWidth="8.86328125" defaultRowHeight="14.25"/>
  <cols>
    <col min="1" max="1" width="36.46484375" customWidth="1"/>
    <col min="2" max="2" width="34.33203125" customWidth="1"/>
    <col min="3" max="3" width="45.46484375" customWidth="1"/>
    <col min="4" max="4" width="42.19921875" customWidth="1"/>
    <col min="5" max="5" width="31.796875" customWidth="1"/>
    <col min="6" max="6" width="40.9296875" customWidth="1"/>
    <col min="7" max="7" width="26.59765625" customWidth="1"/>
    <col min="8" max="8" width="22.06640625" customWidth="1"/>
    <col min="9" max="9" width="22.33203125" customWidth="1"/>
    <col min="10" max="10" width="18.19921875" customWidth="1"/>
    <col min="11" max="11" width="17.53125" customWidth="1"/>
    <col min="12" max="12" width="16.86328125" customWidth="1"/>
  </cols>
  <sheetData>
    <row r="1" spans="1:4">
      <c r="A1" s="165"/>
      <c r="B1" t="s">
        <v>245</v>
      </c>
    </row>
    <row r="2" spans="1:4">
      <c r="A2" s="390"/>
      <c r="B2" t="s">
        <v>246</v>
      </c>
    </row>
    <row r="3" spans="1:4">
      <c r="A3" s="91"/>
      <c r="B3" t="s">
        <v>247</v>
      </c>
    </row>
    <row r="5" spans="1:4">
      <c r="A5" s="1" t="s">
        <v>41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18"/>
      <c r="B7" s="166" t="s">
        <v>43</v>
      </c>
      <c r="C7" s="189" t="s">
        <v>299</v>
      </c>
      <c r="D7" s="190" t="s">
        <v>45</v>
      </c>
    </row>
    <row r="8" spans="1:4" ht="14.65" thickBot="1">
      <c r="A8" s="252"/>
      <c r="B8" s="6" t="s">
        <v>35</v>
      </c>
      <c r="C8" s="7" t="s">
        <v>35</v>
      </c>
      <c r="D8" s="24" t="s">
        <v>35</v>
      </c>
    </row>
    <row r="9" spans="1:4" ht="14.65" thickBot="1">
      <c r="A9" s="251" t="s">
        <v>347</v>
      </c>
      <c r="B9" s="264">
        <v>17500</v>
      </c>
      <c r="C9" s="264">
        <v>7000</v>
      </c>
      <c r="D9" s="265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500"/>
      <c r="B12" s="16" t="s">
        <v>18</v>
      </c>
      <c r="C12" s="17" t="s">
        <v>48</v>
      </c>
    </row>
    <row r="13" spans="1:4">
      <c r="A13" s="498" t="s">
        <v>329</v>
      </c>
      <c r="B13" s="25" t="s">
        <v>21</v>
      </c>
      <c r="C13" s="629">
        <v>0.3</v>
      </c>
    </row>
    <row r="14" spans="1:4">
      <c r="A14" s="415" t="s">
        <v>330</v>
      </c>
      <c r="B14" s="37" t="s">
        <v>22</v>
      </c>
      <c r="C14" s="630">
        <v>0.55000000000000004</v>
      </c>
    </row>
    <row r="15" spans="1:4">
      <c r="A15" s="415" t="s">
        <v>366</v>
      </c>
      <c r="B15" s="37" t="s">
        <v>19</v>
      </c>
      <c r="C15" s="391">
        <v>2.8340000000000001</v>
      </c>
    </row>
    <row r="16" spans="1:4" ht="14.65" thickBot="1">
      <c r="A16" s="417" t="s">
        <v>23</v>
      </c>
      <c r="B16" s="6" t="s">
        <v>237</v>
      </c>
      <c r="C16" s="416">
        <v>1.7</v>
      </c>
    </row>
    <row r="18" spans="1:3">
      <c r="A18" s="79" t="s">
        <v>325</v>
      </c>
    </row>
    <row r="19" spans="1:3">
      <c r="A19" s="5"/>
    </row>
    <row r="20" spans="1:3" ht="14.65" thickBot="1">
      <c r="A20" s="79" t="s">
        <v>264</v>
      </c>
    </row>
    <row r="21" spans="1:3" ht="14.65" thickBot="1">
      <c r="A21" s="191" t="s">
        <v>53</v>
      </c>
      <c r="B21" s="192" t="s">
        <v>18</v>
      </c>
      <c r="C21" s="193" t="s">
        <v>54</v>
      </c>
    </row>
    <row r="22" spans="1:3">
      <c r="A22" s="388" t="s">
        <v>301</v>
      </c>
      <c r="B22" s="323" t="s">
        <v>35</v>
      </c>
      <c r="C22" s="687">
        <f>SEF+D9</f>
        <v>19000</v>
      </c>
    </row>
    <row r="23" spans="1:3" hidden="1">
      <c r="A23" s="679" t="s">
        <v>49</v>
      </c>
      <c r="B23" s="721" t="s">
        <v>21</v>
      </c>
      <c r="C23" s="292">
        <f>$C$13</f>
        <v>0.3</v>
      </c>
    </row>
    <row r="24" spans="1:3">
      <c r="A24" s="679" t="s">
        <v>366</v>
      </c>
      <c r="B24" s="287" t="s">
        <v>35</v>
      </c>
      <c r="C24" s="84">
        <f>C22*WK</f>
        <v>53846</v>
      </c>
    </row>
    <row r="25" spans="1:3">
      <c r="A25" s="232" t="s">
        <v>329</v>
      </c>
      <c r="B25" s="287" t="s">
        <v>35</v>
      </c>
      <c r="C25" s="84">
        <f>C22*SSK</f>
        <v>5700</v>
      </c>
    </row>
    <row r="26" spans="1:3" ht="14.25" hidden="1" customHeight="1">
      <c r="A26" s="232" t="s">
        <v>327</v>
      </c>
      <c r="B26" s="721" t="s">
        <v>22</v>
      </c>
      <c r="C26" s="85">
        <f>$C$14</f>
        <v>0.55000000000000004</v>
      </c>
    </row>
    <row r="27" spans="1:3">
      <c r="A27" s="232" t="s">
        <v>327</v>
      </c>
      <c r="B27" s="721" t="s">
        <v>237</v>
      </c>
      <c r="C27" s="732">
        <f>C25/(C25+C28)</f>
        <v>0.12992637505413598</v>
      </c>
    </row>
    <row r="28" spans="1:3">
      <c r="A28" s="232" t="s">
        <v>367</v>
      </c>
      <c r="B28" s="287" t="s">
        <v>35</v>
      </c>
      <c r="C28" s="753">
        <f>C24-C33</f>
        <v>38171</v>
      </c>
    </row>
    <row r="29" spans="1:3">
      <c r="A29" s="720" t="s">
        <v>331</v>
      </c>
      <c r="B29" s="746" t="s">
        <v>35</v>
      </c>
      <c r="C29" s="754">
        <f>C25+C28</f>
        <v>43871</v>
      </c>
    </row>
    <row r="30" spans="1:3">
      <c r="A30" s="232" t="s">
        <v>428</v>
      </c>
      <c r="B30" s="287" t="s">
        <v>35</v>
      </c>
      <c r="C30" s="84">
        <f>C22*PSK</f>
        <v>10450</v>
      </c>
    </row>
    <row r="31" spans="1:3">
      <c r="A31" s="232" t="s">
        <v>326</v>
      </c>
      <c r="B31" s="287" t="s">
        <v>237</v>
      </c>
      <c r="C31" s="752">
        <v>0.4</v>
      </c>
    </row>
    <row r="32" spans="1:3" ht="14.25" hidden="1" customHeight="1">
      <c r="A32" s="232" t="s">
        <v>426</v>
      </c>
      <c r="B32" s="721" t="s">
        <v>19</v>
      </c>
      <c r="C32" s="292">
        <f>$C$15</f>
        <v>2.8340000000000001</v>
      </c>
    </row>
    <row r="33" spans="1:3">
      <c r="A33" s="232" t="s">
        <v>426</v>
      </c>
      <c r="B33" s="287" t="s">
        <v>35</v>
      </c>
      <c r="C33" s="753">
        <f>C30/C31*(1-C31)</f>
        <v>15675</v>
      </c>
    </row>
    <row r="34" spans="1:3" ht="14.65" thickBot="1">
      <c r="A34" s="680" t="s">
        <v>427</v>
      </c>
      <c r="B34" s="698" t="s">
        <v>35</v>
      </c>
      <c r="C34" s="335">
        <f>C30+C33</f>
        <v>26125</v>
      </c>
    </row>
    <row r="35" spans="1:3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3" t="s">
        <v>35</v>
      </c>
      <c r="C38" s="294">
        <f>$C$22</f>
        <v>19000</v>
      </c>
    </row>
    <row r="39" spans="1:3" hidden="1">
      <c r="A39" s="257" t="s">
        <v>32</v>
      </c>
      <c r="B39" s="287" t="s">
        <v>35</v>
      </c>
      <c r="C39" s="295">
        <f>$C$25</f>
        <v>5700</v>
      </c>
    </row>
    <row r="40" spans="1:3" hidden="1">
      <c r="A40" s="257" t="s">
        <v>33</v>
      </c>
      <c r="B40" s="287" t="s">
        <v>35</v>
      </c>
      <c r="C40" s="295">
        <f>$C$30</f>
        <v>10450</v>
      </c>
    </row>
    <row r="41" spans="1:3" hidden="1">
      <c r="A41" s="257" t="s">
        <v>57</v>
      </c>
      <c r="B41" s="287" t="s">
        <v>35</v>
      </c>
      <c r="C41" s="279">
        <f>C38+C39+C40</f>
        <v>35150</v>
      </c>
    </row>
    <row r="42" spans="1:3" hidden="1">
      <c r="A42" s="257" t="s">
        <v>58</v>
      </c>
      <c r="B42" s="287" t="s">
        <v>35</v>
      </c>
      <c r="C42" s="279">
        <f>$C$22+$C$25+$C$30+$C$24</f>
        <v>88996</v>
      </c>
    </row>
    <row r="43" spans="1:3" hidden="1">
      <c r="A43" s="299" t="s">
        <v>59</v>
      </c>
      <c r="B43" s="258" t="s">
        <v>24</v>
      </c>
      <c r="C43" s="300">
        <f>C41/C42</f>
        <v>0.39496157130657555</v>
      </c>
    </row>
    <row r="44" spans="1:3" hidden="1">
      <c r="A44" s="257" t="s">
        <v>34</v>
      </c>
      <c r="B44" s="287" t="s">
        <v>35</v>
      </c>
      <c r="C44" s="279">
        <f>$C$24</f>
        <v>53846</v>
      </c>
    </row>
    <row r="45" spans="1:3" hidden="1">
      <c r="A45" s="257" t="s">
        <v>60</v>
      </c>
      <c r="B45" s="287" t="s">
        <v>35</v>
      </c>
      <c r="C45" s="279">
        <f>C44</f>
        <v>53846</v>
      </c>
    </row>
    <row r="46" spans="1:3" hidden="1">
      <c r="A46" s="257" t="s">
        <v>58</v>
      </c>
      <c r="B46" s="287" t="s">
        <v>35</v>
      </c>
      <c r="C46" s="279">
        <f>$C$22+$C$25+$C$30+$C$24</f>
        <v>88996</v>
      </c>
    </row>
    <row r="47" spans="1:3" ht="14.65" hidden="1" thickBot="1">
      <c r="A47" s="301" t="s">
        <v>61</v>
      </c>
      <c r="B47" s="259" t="s">
        <v>24</v>
      </c>
      <c r="C47" s="302">
        <f>C44/C46</f>
        <v>0.60503842869342439</v>
      </c>
    </row>
    <row r="48" spans="1:3" hidden="1"/>
    <row r="49" spans="1:9" hidden="1">
      <c r="A49" s="79" t="s">
        <v>47</v>
      </c>
      <c r="B49" s="79"/>
      <c r="C49" s="79"/>
    </row>
    <row r="50" spans="1:9" hidden="1">
      <c r="A50" s="18" t="s">
        <v>53</v>
      </c>
      <c r="B50" s="104" t="s">
        <v>18</v>
      </c>
      <c r="C50" s="15" t="s">
        <v>62</v>
      </c>
    </row>
    <row r="51" spans="1:9" hidden="1">
      <c r="A51" s="272" t="s">
        <v>55</v>
      </c>
      <c r="B51" s="293" t="s">
        <v>35</v>
      </c>
      <c r="C51" s="294">
        <f>$C$22</f>
        <v>19000</v>
      </c>
    </row>
    <row r="52" spans="1:9" hidden="1">
      <c r="A52" s="257" t="s">
        <v>32</v>
      </c>
      <c r="B52" s="287" t="s">
        <v>35</v>
      </c>
      <c r="C52" s="295">
        <f>$C$25</f>
        <v>5700</v>
      </c>
    </row>
    <row r="53" spans="1:9" hidden="1">
      <c r="A53" s="257" t="s">
        <v>33</v>
      </c>
      <c r="B53" s="287" t="s">
        <v>35</v>
      </c>
      <c r="C53" s="295">
        <f>$C$30</f>
        <v>10450</v>
      </c>
    </row>
    <row r="54" spans="1:9" hidden="1">
      <c r="A54" s="257" t="s">
        <v>430</v>
      </c>
      <c r="B54" s="287" t="s">
        <v>35</v>
      </c>
      <c r="C54" s="279">
        <f>C51+C52+C53</f>
        <v>35150</v>
      </c>
    </row>
    <row r="55" spans="1:9" hidden="1">
      <c r="A55" s="257" t="s">
        <v>58</v>
      </c>
      <c r="B55" s="287" t="s">
        <v>35</v>
      </c>
      <c r="C55" s="279">
        <f>$C$22+$C$25+$C$30+$C$24</f>
        <v>88996</v>
      </c>
    </row>
    <row r="56" spans="1:9" hidden="1">
      <c r="A56" s="299" t="s">
        <v>64</v>
      </c>
      <c r="B56" s="258" t="s">
        <v>24</v>
      </c>
      <c r="C56" s="300">
        <f>C54/C88</f>
        <v>0.39496157130657555</v>
      </c>
    </row>
    <row r="57" spans="1:9" hidden="1">
      <c r="A57" s="257" t="s">
        <v>34</v>
      </c>
      <c r="B57" s="287" t="s">
        <v>35</v>
      </c>
      <c r="C57" s="279">
        <f>$C$24</f>
        <v>53846</v>
      </c>
    </row>
    <row r="58" spans="1:9" hidden="1">
      <c r="A58" s="257" t="s">
        <v>65</v>
      </c>
      <c r="B58" s="287" t="s">
        <v>35</v>
      </c>
      <c r="C58" s="279">
        <f>C44</f>
        <v>53846</v>
      </c>
    </row>
    <row r="59" spans="1:9" hidden="1">
      <c r="A59" s="257" t="s">
        <v>58</v>
      </c>
      <c r="B59" s="287" t="s">
        <v>35</v>
      </c>
      <c r="C59" s="279">
        <f>$C$22+$C$25+$C$30+$C$24</f>
        <v>88996</v>
      </c>
    </row>
    <row r="60" spans="1:9" ht="14.65" hidden="1" thickBot="1">
      <c r="A60" s="301" t="s">
        <v>66</v>
      </c>
      <c r="B60" s="259" t="s">
        <v>24</v>
      </c>
      <c r="C60" s="303">
        <f>C58/C88</f>
        <v>0.60503842869342439</v>
      </c>
    </row>
    <row r="61" spans="1:9" hidden="1">
      <c r="A61" s="180"/>
      <c r="B61" s="181"/>
      <c r="C61" s="182"/>
    </row>
    <row r="62" spans="1:9" ht="14.65" thickBot="1">
      <c r="A62" s="183" t="s">
        <v>303</v>
      </c>
      <c r="B62" s="181"/>
      <c r="C62" s="182"/>
    </row>
    <row r="63" spans="1:9" ht="14.65" thickBot="1">
      <c r="A63" s="410"/>
      <c r="B63" s="169"/>
      <c r="C63" s="1013" t="s">
        <v>263</v>
      </c>
      <c r="D63" s="1015"/>
      <c r="E63" s="1016" t="s">
        <v>262</v>
      </c>
      <c r="F63" s="1017"/>
      <c r="G63" s="1017"/>
      <c r="H63" s="1075"/>
      <c r="I63" s="1076"/>
    </row>
    <row r="64" spans="1:9">
      <c r="A64" s="92" t="s">
        <v>268</v>
      </c>
      <c r="B64" s="621" t="s">
        <v>88</v>
      </c>
      <c r="C64" s="166" t="s">
        <v>45</v>
      </c>
      <c r="D64" s="190" t="s">
        <v>299</v>
      </c>
      <c r="E64" s="623" t="s">
        <v>69</v>
      </c>
      <c r="F64" s="267" t="s">
        <v>300</v>
      </c>
      <c r="G64" s="268" t="s">
        <v>301</v>
      </c>
      <c r="H64" s="269" t="s">
        <v>253</v>
      </c>
      <c r="I64" s="492" t="s">
        <v>254</v>
      </c>
    </row>
    <row r="65" spans="1:9" ht="14.65" thickBot="1">
      <c r="A65" s="93" t="s">
        <v>18</v>
      </c>
      <c r="B65" s="622" t="s">
        <v>24</v>
      </c>
      <c r="C65" s="6" t="s">
        <v>71</v>
      </c>
      <c r="D65" s="24" t="s">
        <v>71</v>
      </c>
      <c r="E65" s="23" t="s">
        <v>35</v>
      </c>
      <c r="F65" s="7" t="s">
        <v>35</v>
      </c>
      <c r="G65" s="24" t="s">
        <v>35</v>
      </c>
      <c r="H65" s="153" t="s">
        <v>35</v>
      </c>
      <c r="I65" s="155" t="s">
        <v>35</v>
      </c>
    </row>
    <row r="66" spans="1:9">
      <c r="A66" s="106" t="s">
        <v>72</v>
      </c>
      <c r="B66" s="447">
        <v>0.65137271969690658</v>
      </c>
      <c r="C66" s="413">
        <v>39002</v>
      </c>
      <c r="D66" s="616">
        <v>101832</v>
      </c>
      <c r="E66" s="228">
        <f t="shared" ref="E66:E80" si="0">$D$9*C66/1000000</f>
        <v>468.024</v>
      </c>
      <c r="F66" s="223">
        <f>$C$9*D66/1000000</f>
        <v>712.82399999999996</v>
      </c>
      <c r="G66" s="136">
        <f>E66+F66</f>
        <v>1180.848</v>
      </c>
      <c r="H66" s="618">
        <f>B66*G66</f>
        <v>769.17217330865276</v>
      </c>
      <c r="I66" s="467">
        <f>G66*(1-B66)</f>
        <v>411.67582669134725</v>
      </c>
    </row>
    <row r="67" spans="1:9">
      <c r="A67" s="107" t="s">
        <v>73</v>
      </c>
      <c r="B67" s="448">
        <v>0.80153246110453391</v>
      </c>
      <c r="C67" s="413">
        <v>28.6</v>
      </c>
      <c r="D67" s="357">
        <v>10</v>
      </c>
      <c r="E67" s="229">
        <f t="shared" si="0"/>
        <v>0.34320000000000001</v>
      </c>
      <c r="F67" s="224">
        <f t="shared" ref="F67:F80" si="1">$C$9*D67/1000000</f>
        <v>7.0000000000000007E-2</v>
      </c>
      <c r="G67" s="86">
        <f t="shared" ref="G67:G80" si="2">E67+F67</f>
        <v>0.41320000000000001</v>
      </c>
      <c r="H67" s="619">
        <f t="shared" ref="H67:H80" si="3">B67*G67</f>
        <v>0.33119321292839343</v>
      </c>
      <c r="I67" s="468">
        <f t="shared" ref="I67:I80" si="4">G67*(1-B67)</f>
        <v>8.2006787071606593E-2</v>
      </c>
    </row>
    <row r="68" spans="1:9">
      <c r="A68" s="108" t="s">
        <v>74</v>
      </c>
      <c r="B68" s="448">
        <v>0.15823734978631154</v>
      </c>
      <c r="C68" s="413">
        <v>159000</v>
      </c>
      <c r="D68" s="357">
        <v>111453.2</v>
      </c>
      <c r="E68" s="229">
        <f t="shared" si="0"/>
        <v>1908</v>
      </c>
      <c r="F68" s="224">
        <f t="shared" si="1"/>
        <v>780.17240000000004</v>
      </c>
      <c r="G68" s="86">
        <f t="shared" si="2"/>
        <v>2688.1723999999999</v>
      </c>
      <c r="H68" s="619">
        <f t="shared" si="3"/>
        <v>425.36927634470857</v>
      </c>
      <c r="I68" s="468">
        <f t="shared" si="4"/>
        <v>2262.8031236552915</v>
      </c>
    </row>
    <row r="69" spans="1:9">
      <c r="A69" s="108" t="s">
        <v>75</v>
      </c>
      <c r="B69" s="448">
        <v>0.25348730816186238</v>
      </c>
      <c r="C69" s="413">
        <v>3.5</v>
      </c>
      <c r="D69" s="357">
        <v>2</v>
      </c>
      <c r="E69" s="229">
        <f t="shared" si="0"/>
        <v>4.2000000000000003E-2</v>
      </c>
      <c r="F69" s="224">
        <f t="shared" si="1"/>
        <v>1.4E-2</v>
      </c>
      <c r="G69" s="86">
        <f t="shared" si="2"/>
        <v>5.6000000000000001E-2</v>
      </c>
      <c r="H69" s="619">
        <f t="shared" si="3"/>
        <v>1.4195289257064293E-2</v>
      </c>
      <c r="I69" s="468">
        <f t="shared" si="4"/>
        <v>4.1804710742935708E-2</v>
      </c>
    </row>
    <row r="70" spans="1:9">
      <c r="A70" s="108" t="s">
        <v>76</v>
      </c>
      <c r="B70" s="448">
        <v>0.40356545688185752</v>
      </c>
      <c r="C70" s="413">
        <v>136</v>
      </c>
      <c r="D70" s="357">
        <v>53.9</v>
      </c>
      <c r="E70" s="229">
        <f t="shared" si="0"/>
        <v>1.6319999999999999</v>
      </c>
      <c r="F70" s="224">
        <f t="shared" si="1"/>
        <v>0.37730000000000002</v>
      </c>
      <c r="G70" s="86">
        <f t="shared" si="2"/>
        <v>2.0093000000000001</v>
      </c>
      <c r="H70" s="619">
        <f t="shared" si="3"/>
        <v>0.81088407251271633</v>
      </c>
      <c r="I70" s="468">
        <f t="shared" si="4"/>
        <v>1.1984159274872836</v>
      </c>
    </row>
    <row r="71" spans="1:9">
      <c r="A71" s="108" t="s">
        <v>77</v>
      </c>
      <c r="B71" s="448">
        <v>0.23362301177680689</v>
      </c>
      <c r="C71" s="413">
        <v>656</v>
      </c>
      <c r="D71" s="357">
        <v>1400</v>
      </c>
      <c r="E71" s="229">
        <f t="shared" si="0"/>
        <v>7.8719999999999999</v>
      </c>
      <c r="F71" s="224">
        <f t="shared" si="1"/>
        <v>9.8000000000000007</v>
      </c>
      <c r="G71" s="86">
        <f t="shared" si="2"/>
        <v>17.672000000000001</v>
      </c>
      <c r="H71" s="619">
        <f t="shared" si="3"/>
        <v>4.1285858641197315</v>
      </c>
      <c r="I71" s="468">
        <f t="shared" si="4"/>
        <v>13.543414135880269</v>
      </c>
    </row>
    <row r="72" spans="1:9">
      <c r="A72" s="108" t="s">
        <v>78</v>
      </c>
      <c r="B72" s="448">
        <v>0.50785001796590601</v>
      </c>
      <c r="C72" s="413">
        <v>87577</v>
      </c>
      <c r="D72" s="357">
        <v>24315</v>
      </c>
      <c r="E72" s="229">
        <f t="shared" si="0"/>
        <v>1050.924</v>
      </c>
      <c r="F72" s="224">
        <f t="shared" si="1"/>
        <v>170.20500000000001</v>
      </c>
      <c r="G72" s="86">
        <f t="shared" si="2"/>
        <v>1221.1289999999999</v>
      </c>
      <c r="H72" s="619">
        <f t="shared" si="3"/>
        <v>620.15038458868878</v>
      </c>
      <c r="I72" s="468">
        <f t="shared" si="4"/>
        <v>600.97861541131113</v>
      </c>
    </row>
    <row r="73" spans="1:9">
      <c r="A73" s="108" t="s">
        <v>79</v>
      </c>
      <c r="B73" s="448">
        <v>0.76085478233676074</v>
      </c>
      <c r="C73" s="413">
        <v>8230</v>
      </c>
      <c r="D73" s="357">
        <v>9848.1</v>
      </c>
      <c r="E73" s="229">
        <f t="shared" si="0"/>
        <v>98.76</v>
      </c>
      <c r="F73" s="224">
        <f t="shared" si="1"/>
        <v>68.936700000000002</v>
      </c>
      <c r="G73" s="86">
        <f t="shared" si="2"/>
        <v>167.69670000000002</v>
      </c>
      <c r="H73" s="619">
        <f t="shared" si="3"/>
        <v>127.59283617709308</v>
      </c>
      <c r="I73" s="468">
        <f t="shared" si="4"/>
        <v>40.103863822906938</v>
      </c>
    </row>
    <row r="74" spans="1:9">
      <c r="A74" s="108" t="s">
        <v>80</v>
      </c>
      <c r="B74" s="448">
        <v>0.77360051904316074</v>
      </c>
      <c r="C74" s="413">
        <v>12900</v>
      </c>
      <c r="D74" s="357">
        <v>12706.1</v>
      </c>
      <c r="E74" s="229">
        <f t="shared" si="0"/>
        <v>154.80000000000001</v>
      </c>
      <c r="F74" s="224">
        <f t="shared" si="1"/>
        <v>88.942700000000002</v>
      </c>
      <c r="G74" s="86">
        <f t="shared" si="2"/>
        <v>243.74270000000001</v>
      </c>
      <c r="H74" s="619">
        <f t="shared" si="3"/>
        <v>188.55947923298143</v>
      </c>
      <c r="I74" s="468">
        <f t="shared" si="4"/>
        <v>55.183220767018589</v>
      </c>
    </row>
    <row r="75" spans="1:9">
      <c r="A75" s="108" t="s">
        <v>81</v>
      </c>
      <c r="B75" s="448">
        <v>0.8205530976880453</v>
      </c>
      <c r="C75" s="413">
        <v>8100</v>
      </c>
      <c r="D75" s="357">
        <v>3346.1</v>
      </c>
      <c r="E75" s="229">
        <f t="shared" si="0"/>
        <v>97.2</v>
      </c>
      <c r="F75" s="224">
        <f t="shared" si="1"/>
        <v>23.422699999999999</v>
      </c>
      <c r="G75" s="86">
        <f t="shared" si="2"/>
        <v>120.62270000000001</v>
      </c>
      <c r="H75" s="619">
        <f t="shared" si="3"/>
        <v>98.977330136495794</v>
      </c>
      <c r="I75" s="468">
        <f t="shared" si="4"/>
        <v>21.645369863504222</v>
      </c>
    </row>
    <row r="76" spans="1:9">
      <c r="A76" s="108" t="s">
        <v>82</v>
      </c>
      <c r="B76" s="448">
        <v>0.435768646693799</v>
      </c>
      <c r="C76" s="413">
        <v>125</v>
      </c>
      <c r="D76" s="357">
        <v>47.6</v>
      </c>
      <c r="E76" s="229">
        <f t="shared" si="0"/>
        <v>1.5</v>
      </c>
      <c r="F76" s="224">
        <f t="shared" si="1"/>
        <v>0.3332</v>
      </c>
      <c r="G76" s="86">
        <f t="shared" si="2"/>
        <v>1.8331999999999999</v>
      </c>
      <c r="H76" s="619">
        <f t="shared" si="3"/>
        <v>0.79885108311907227</v>
      </c>
      <c r="I76" s="468">
        <f t="shared" si="4"/>
        <v>1.0343489168809277</v>
      </c>
    </row>
    <row r="77" spans="1:9">
      <c r="A77" s="108" t="s">
        <v>83</v>
      </c>
      <c r="B77" s="448">
        <v>0.87583141379652929</v>
      </c>
      <c r="C77" s="413">
        <v>81618</v>
      </c>
      <c r="D77" s="357">
        <v>84567</v>
      </c>
      <c r="E77" s="229">
        <f t="shared" si="0"/>
        <v>979.41600000000005</v>
      </c>
      <c r="F77" s="224">
        <f t="shared" si="1"/>
        <v>591.96900000000005</v>
      </c>
      <c r="G77" s="86">
        <f t="shared" si="2"/>
        <v>1571.3850000000002</v>
      </c>
      <c r="H77" s="619">
        <f t="shared" si="3"/>
        <v>1376.2683461686593</v>
      </c>
      <c r="I77" s="468">
        <f t="shared" si="4"/>
        <v>195.11665383134084</v>
      </c>
    </row>
    <row r="78" spans="1:9">
      <c r="A78" s="108" t="s">
        <v>84</v>
      </c>
      <c r="B78" s="448">
        <v>0.23049375883839485</v>
      </c>
      <c r="C78" s="413">
        <v>124</v>
      </c>
      <c r="D78" s="357">
        <v>80.2</v>
      </c>
      <c r="E78" s="229">
        <f t="shared" si="0"/>
        <v>1.488</v>
      </c>
      <c r="F78" s="224">
        <f t="shared" si="1"/>
        <v>0.56140000000000001</v>
      </c>
      <c r="G78" s="86">
        <f t="shared" si="2"/>
        <v>2.0493999999999999</v>
      </c>
      <c r="H78" s="619">
        <f t="shared" si="3"/>
        <v>0.4723739093634064</v>
      </c>
      <c r="I78" s="468">
        <f t="shared" si="4"/>
        <v>1.5770260906365936</v>
      </c>
    </row>
    <row r="79" spans="1:9">
      <c r="A79" s="108" t="s">
        <v>85</v>
      </c>
      <c r="B79" s="448" t="s">
        <v>89</v>
      </c>
      <c r="C79" s="413">
        <v>18900</v>
      </c>
      <c r="D79" s="357">
        <v>3113.7</v>
      </c>
      <c r="E79" s="229">
        <f t="shared" si="0"/>
        <v>226.8</v>
      </c>
      <c r="F79" s="224">
        <f t="shared" si="1"/>
        <v>21.7959</v>
      </c>
      <c r="G79" s="86">
        <f t="shared" si="2"/>
        <v>248.5959</v>
      </c>
      <c r="H79" s="69" t="s">
        <v>89</v>
      </c>
      <c r="I79" s="72" t="s">
        <v>89</v>
      </c>
    </row>
    <row r="80" spans="1:9" ht="14.65" thickBot="1">
      <c r="A80" s="109" t="s">
        <v>86</v>
      </c>
      <c r="B80" s="449">
        <v>0.43789451837070636</v>
      </c>
      <c r="C80" s="414">
        <v>2353</v>
      </c>
      <c r="D80" s="359">
        <v>3000</v>
      </c>
      <c r="E80" s="230">
        <f t="shared" si="0"/>
        <v>28.236000000000001</v>
      </c>
      <c r="F80" s="225">
        <f t="shared" si="1"/>
        <v>21</v>
      </c>
      <c r="G80" s="118">
        <f t="shared" si="2"/>
        <v>49.236000000000004</v>
      </c>
      <c r="H80" s="620">
        <f t="shared" si="3"/>
        <v>21.5601745065001</v>
      </c>
      <c r="I80" s="469">
        <f t="shared" si="4"/>
        <v>27.675825493499904</v>
      </c>
    </row>
    <row r="81" spans="1:3">
      <c r="A81" s="5"/>
    </row>
    <row r="82" spans="1:3" ht="14.65" thickBot="1">
      <c r="A82" s="79" t="s">
        <v>265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KSAnk</f>
        <v>19000</v>
      </c>
    </row>
    <row r="85" spans="1:3">
      <c r="A85" s="815" t="s">
        <v>366</v>
      </c>
      <c r="B85" s="278" t="s">
        <v>35</v>
      </c>
      <c r="C85" s="297">
        <f>C24</f>
        <v>53846</v>
      </c>
    </row>
    <row r="86" spans="1:3">
      <c r="A86" s="257" t="s">
        <v>329</v>
      </c>
      <c r="B86" s="278" t="s">
        <v>35</v>
      </c>
      <c r="C86" s="289">
        <f>C25</f>
        <v>5700</v>
      </c>
    </row>
    <row r="87" spans="1:3">
      <c r="A87" s="257" t="s">
        <v>428</v>
      </c>
      <c r="B87" s="278" t="s">
        <v>35</v>
      </c>
      <c r="C87" s="289">
        <f>C30</f>
        <v>10450</v>
      </c>
    </row>
    <row r="88" spans="1:3" ht="14.65" thickBot="1">
      <c r="A88" s="255" t="s">
        <v>4</v>
      </c>
      <c r="B88" s="271" t="s">
        <v>35</v>
      </c>
      <c r="C88" s="256">
        <f>C84+C85+C86+C87</f>
        <v>88996</v>
      </c>
    </row>
    <row r="89" spans="1:3" hidden="1"/>
    <row r="90" spans="1:3" hidden="1">
      <c r="A90" s="79" t="s">
        <v>56</v>
      </c>
      <c r="B90" s="79"/>
      <c r="C90" s="79"/>
    </row>
    <row r="91" spans="1:3" ht="14.65" hidden="1" thickBot="1">
      <c r="A91" s="103" t="s">
        <v>90</v>
      </c>
      <c r="B91" s="102" t="s">
        <v>18</v>
      </c>
      <c r="C91" s="17" t="s">
        <v>91</v>
      </c>
    </row>
    <row r="92" spans="1:3" hidden="1">
      <c r="A92" s="272" t="s">
        <v>55</v>
      </c>
      <c r="B92" s="298" t="s">
        <v>35</v>
      </c>
      <c r="C92" s="294">
        <f>$C$22</f>
        <v>19000</v>
      </c>
    </row>
    <row r="93" spans="1:3" hidden="1">
      <c r="A93" s="257" t="s">
        <v>87</v>
      </c>
      <c r="B93" s="278" t="s">
        <v>35</v>
      </c>
      <c r="C93" s="295">
        <f>SUM($H$66:$H$80)</f>
        <v>3634.2060838950802</v>
      </c>
    </row>
    <row r="94" spans="1:3" hidden="1">
      <c r="A94" s="257" t="s">
        <v>57</v>
      </c>
      <c r="B94" s="278" t="s">
        <v>35</v>
      </c>
      <c r="C94" s="279">
        <f>C92-C93</f>
        <v>15365.79391610492</v>
      </c>
    </row>
    <row r="95" spans="1:3" hidden="1">
      <c r="A95" s="257" t="s">
        <v>4</v>
      </c>
      <c r="B95" s="278" t="s">
        <v>35</v>
      </c>
      <c r="C95" s="279">
        <f>$C$88</f>
        <v>88996</v>
      </c>
    </row>
    <row r="96" spans="1:3" hidden="1">
      <c r="A96" s="299" t="s">
        <v>59</v>
      </c>
      <c r="B96" s="260" t="s">
        <v>24</v>
      </c>
      <c r="C96" s="300">
        <f>C94/C95</f>
        <v>0.17265712971487393</v>
      </c>
    </row>
    <row r="97" spans="1:3" hidden="1">
      <c r="A97" s="257" t="s">
        <v>34</v>
      </c>
      <c r="B97" s="278" t="s">
        <v>35</v>
      </c>
      <c r="C97" s="279">
        <f>$C$24</f>
        <v>53846</v>
      </c>
    </row>
    <row r="98" spans="1:3" hidden="1">
      <c r="A98" s="257" t="s">
        <v>32</v>
      </c>
      <c r="B98" s="278" t="s">
        <v>35</v>
      </c>
      <c r="C98" s="295">
        <f>$C$25</f>
        <v>5700</v>
      </c>
    </row>
    <row r="99" spans="1:3" hidden="1">
      <c r="A99" s="257" t="s">
        <v>33</v>
      </c>
      <c r="B99" s="278" t="s">
        <v>35</v>
      </c>
      <c r="C99" s="295">
        <f>$C$30</f>
        <v>10450</v>
      </c>
    </row>
    <row r="100" spans="1:3" hidden="1">
      <c r="A100" s="257" t="s">
        <v>87</v>
      </c>
      <c r="B100" s="278" t="s">
        <v>35</v>
      </c>
      <c r="C100" s="295">
        <f>SUM($H$66:$H$80)</f>
        <v>3634.2060838950802</v>
      </c>
    </row>
    <row r="101" spans="1:3" hidden="1">
      <c r="A101" s="257" t="s">
        <v>60</v>
      </c>
      <c r="B101" s="278" t="s">
        <v>35</v>
      </c>
      <c r="C101" s="279">
        <f>SUM(C97:C100)</f>
        <v>73630.206083895086</v>
      </c>
    </row>
    <row r="102" spans="1:3" hidden="1">
      <c r="A102" s="257" t="s">
        <v>4</v>
      </c>
      <c r="B102" s="278" t="s">
        <v>35</v>
      </c>
      <c r="C102" s="279">
        <f>$C$88</f>
        <v>88996</v>
      </c>
    </row>
    <row r="103" spans="1:3" ht="14.65" hidden="1" thickBot="1">
      <c r="A103" s="301" t="s">
        <v>61</v>
      </c>
      <c r="B103" s="277" t="s">
        <v>24</v>
      </c>
      <c r="C103" s="303">
        <f>C101/C102</f>
        <v>0.8273428702851261</v>
      </c>
    </row>
    <row r="104" spans="1:3">
      <c r="A104" s="83"/>
      <c r="B104" s="77"/>
      <c r="C104" s="96"/>
    </row>
    <row r="105" spans="1:3" ht="14.65" thickBot="1">
      <c r="A105" s="79" t="s">
        <v>278</v>
      </c>
      <c r="B105" s="79"/>
      <c r="C105" s="79"/>
    </row>
    <row r="106" spans="1:3" ht="14.65" thickBot="1">
      <c r="A106" s="103" t="s">
        <v>90</v>
      </c>
      <c r="B106" s="102" t="s">
        <v>18</v>
      </c>
      <c r="C106" s="17" t="s">
        <v>91</v>
      </c>
    </row>
    <row r="107" spans="1:3">
      <c r="A107" s="272" t="s">
        <v>301</v>
      </c>
      <c r="B107" s="298" t="s">
        <v>35</v>
      </c>
      <c r="C107" s="294">
        <f>$C$22</f>
        <v>19000</v>
      </c>
    </row>
    <row r="108" spans="1:3">
      <c r="A108" s="257" t="s">
        <v>329</v>
      </c>
      <c r="B108" s="278" t="s">
        <v>35</v>
      </c>
      <c r="C108" s="295">
        <f>C25</f>
        <v>5700</v>
      </c>
    </row>
    <row r="109" spans="1:3">
      <c r="A109" s="257" t="s">
        <v>428</v>
      </c>
      <c r="B109" s="278" t="s">
        <v>35</v>
      </c>
      <c r="C109" s="295">
        <f>C30</f>
        <v>10450</v>
      </c>
    </row>
    <row r="110" spans="1:3">
      <c r="A110" s="257" t="s">
        <v>336</v>
      </c>
      <c r="B110" s="278" t="s">
        <v>35</v>
      </c>
      <c r="C110" s="279">
        <f>C107+C108+C109</f>
        <v>35150</v>
      </c>
    </row>
    <row r="111" spans="1:3">
      <c r="A111" s="257" t="s">
        <v>4</v>
      </c>
      <c r="B111" s="278" t="s">
        <v>35</v>
      </c>
      <c r="C111" s="279">
        <f>$C$88</f>
        <v>88996</v>
      </c>
    </row>
    <row r="112" spans="1:3">
      <c r="A112" s="299" t="s">
        <v>64</v>
      </c>
      <c r="B112" s="260" t="s">
        <v>24</v>
      </c>
      <c r="C112" s="300">
        <f>C110/C111</f>
        <v>0.39496157130657555</v>
      </c>
    </row>
    <row r="113" spans="1:12">
      <c r="A113" s="257" t="s">
        <v>366</v>
      </c>
      <c r="B113" s="278" t="s">
        <v>35</v>
      </c>
      <c r="C113" s="279">
        <f>C24</f>
        <v>53846</v>
      </c>
    </row>
    <row r="114" spans="1:12">
      <c r="A114" s="257" t="s">
        <v>333</v>
      </c>
      <c r="B114" s="278" t="s">
        <v>35</v>
      </c>
      <c r="C114" s="279">
        <f>C113</f>
        <v>53846</v>
      </c>
    </row>
    <row r="115" spans="1:12">
      <c r="A115" s="257" t="s">
        <v>266</v>
      </c>
      <c r="B115" s="278" t="s">
        <v>35</v>
      </c>
      <c r="C115" s="279">
        <f>$C$88</f>
        <v>88996</v>
      </c>
    </row>
    <row r="116" spans="1:12" ht="14.65" thickBot="1">
      <c r="A116" s="301" t="s">
        <v>66</v>
      </c>
      <c r="B116" s="277" t="s">
        <v>24</v>
      </c>
      <c r="C116" s="303">
        <f>C114/C115</f>
        <v>0.60503842869342439</v>
      </c>
    </row>
    <row r="117" spans="1:12">
      <c r="A117" s="83"/>
      <c r="B117" s="77"/>
      <c r="C117" s="96"/>
    </row>
    <row r="118" spans="1:12" ht="14.65" thickBot="1">
      <c r="A118" s="79" t="s">
        <v>92</v>
      </c>
    </row>
    <row r="119" spans="1:12" ht="14.65" thickBot="1">
      <c r="A119" s="419"/>
      <c r="B119" s="1028" t="s">
        <v>262</v>
      </c>
      <c r="C119" s="1029"/>
      <c r="D119" s="1029"/>
      <c r="E119" s="1029"/>
      <c r="F119" s="1030"/>
      <c r="G119" s="1028" t="s">
        <v>263</v>
      </c>
      <c r="H119" s="1029"/>
      <c r="I119" s="1029"/>
      <c r="J119" s="1029"/>
      <c r="K119" s="1029"/>
      <c r="L119" s="1031"/>
    </row>
    <row r="120" spans="1:12">
      <c r="A120" s="420"/>
      <c r="B120" s="1047" t="s">
        <v>270</v>
      </c>
      <c r="C120" s="1051" t="s">
        <v>243</v>
      </c>
      <c r="D120" s="1051" t="s">
        <v>256</v>
      </c>
      <c r="E120" s="1049" t="s">
        <v>336</v>
      </c>
      <c r="F120" s="1052" t="s">
        <v>266</v>
      </c>
      <c r="G120" s="1026" t="s">
        <v>269</v>
      </c>
      <c r="H120" s="1040"/>
      <c r="I120" s="1022" t="s">
        <v>267</v>
      </c>
      <c r="J120" s="1032"/>
      <c r="K120" s="1032"/>
      <c r="L120" s="1023"/>
    </row>
    <row r="121" spans="1:12">
      <c r="A121" s="92" t="s">
        <v>93</v>
      </c>
      <c r="B121" s="1048"/>
      <c r="C121" s="1050"/>
      <c r="D121" s="1050"/>
      <c r="E121" s="1050"/>
      <c r="F121" s="1053"/>
      <c r="G121" s="1033"/>
      <c r="H121" s="1046"/>
      <c r="I121" s="1033" t="s">
        <v>243</v>
      </c>
      <c r="J121" s="1034"/>
      <c r="K121" s="1034" t="s">
        <v>256</v>
      </c>
      <c r="L121" s="1035"/>
    </row>
    <row r="122" spans="1:12" ht="14.65" thickBot="1">
      <c r="A122" s="93" t="s">
        <v>18</v>
      </c>
      <c r="B122" s="153" t="s">
        <v>35</v>
      </c>
      <c r="C122" s="154" t="s">
        <v>35</v>
      </c>
      <c r="D122" s="154" t="s">
        <v>35</v>
      </c>
      <c r="E122" s="154" t="s">
        <v>35</v>
      </c>
      <c r="F122" s="423" t="s">
        <v>35</v>
      </c>
      <c r="G122" s="403" t="s">
        <v>257</v>
      </c>
      <c r="H122" s="423" t="s">
        <v>237</v>
      </c>
      <c r="I122" s="403" t="s">
        <v>70</v>
      </c>
      <c r="J122" s="154" t="s">
        <v>237</v>
      </c>
      <c r="K122" s="154" t="s">
        <v>70</v>
      </c>
      <c r="L122" s="155" t="s">
        <v>237</v>
      </c>
    </row>
    <row r="123" spans="1:12">
      <c r="A123" s="148" t="s">
        <v>72</v>
      </c>
      <c r="B123" s="159">
        <f t="shared" ref="B123:B134" si="5">G66</f>
        <v>1180.848</v>
      </c>
      <c r="C123" s="428">
        <f t="shared" ref="C123:C134" si="6">H66</f>
        <v>769.17217330865276</v>
      </c>
      <c r="D123" s="428">
        <f t="shared" ref="D123:D134" si="7">I66</f>
        <v>411.67582669134725</v>
      </c>
      <c r="E123" s="160">
        <f>$C$110</f>
        <v>35150</v>
      </c>
      <c r="F123" s="467">
        <f>$C$88</f>
        <v>88996</v>
      </c>
      <c r="G123" s="465">
        <f t="shared" ref="G123:G143" si="8">B123/E123*1000000</f>
        <v>33594.537695590327</v>
      </c>
      <c r="H123" s="554">
        <f>G123/1000000</f>
        <v>3.3594537695590329E-2</v>
      </c>
      <c r="I123" s="557">
        <f>C123/F123*1000000</f>
        <v>8642.7724089695348</v>
      </c>
      <c r="J123" s="432">
        <f>I123/1000000</f>
        <v>8.6427724089695353E-3</v>
      </c>
      <c r="K123" s="431">
        <f t="shared" ref="K123:K143" si="9">D123/F123*1000000</f>
        <v>4625.7789865988052</v>
      </c>
      <c r="L123" s="433">
        <f>K123/1000000</f>
        <v>4.6257789865988049E-3</v>
      </c>
    </row>
    <row r="124" spans="1:12">
      <c r="A124" s="149" t="s">
        <v>73</v>
      </c>
      <c r="B124" s="161">
        <f t="shared" si="5"/>
        <v>0.41320000000000001</v>
      </c>
      <c r="C124" s="235">
        <f t="shared" si="6"/>
        <v>0.33119321292839343</v>
      </c>
      <c r="D124" s="235">
        <f t="shared" si="7"/>
        <v>8.2006787071606593E-2</v>
      </c>
      <c r="E124" s="119">
        <f t="shared" ref="E124:E143" si="10">$C$110</f>
        <v>35150</v>
      </c>
      <c r="F124" s="468">
        <f>$C$88</f>
        <v>88996</v>
      </c>
      <c r="G124" s="331">
        <f>B124/E124*1000000</f>
        <v>11.755334281650072</v>
      </c>
      <c r="H124" s="555">
        <f t="shared" ref="H124:H143" si="11">G124/1000000</f>
        <v>1.1755334281650072E-5</v>
      </c>
      <c r="I124" s="558">
        <f>C124/F124*1000000</f>
        <v>3.7214393110745814</v>
      </c>
      <c r="J124" s="427">
        <f t="shared" ref="J124:J143" si="12">I124/1000000</f>
        <v>3.7214393110745813E-6</v>
      </c>
      <c r="K124" s="426">
        <f t="shared" si="9"/>
        <v>0.92146598803998592</v>
      </c>
      <c r="L124" s="434">
        <f t="shared" ref="L124:L143" si="13">K124/1000000</f>
        <v>9.2146598803998595E-7</v>
      </c>
    </row>
    <row r="125" spans="1:12">
      <c r="A125" s="149" t="s">
        <v>74</v>
      </c>
      <c r="B125" s="161">
        <f t="shared" si="5"/>
        <v>2688.1723999999999</v>
      </c>
      <c r="C125" s="235">
        <f t="shared" si="6"/>
        <v>425.36927634470857</v>
      </c>
      <c r="D125" s="235">
        <f t="shared" si="7"/>
        <v>2262.8031236552915</v>
      </c>
      <c r="E125" s="119">
        <f t="shared" si="10"/>
        <v>35150</v>
      </c>
      <c r="F125" s="468">
        <f t="shared" ref="F125:F143" si="14">$C$88</f>
        <v>88996</v>
      </c>
      <c r="G125" s="331">
        <f t="shared" ref="G125:G127" si="15">B125/E125*1000000</f>
        <v>76477.16642958748</v>
      </c>
      <c r="H125" s="555">
        <f t="shared" si="11"/>
        <v>7.6477166429587476E-2</v>
      </c>
      <c r="I125" s="558">
        <f t="shared" ref="I125:I143" si="16">C125/F125*1000000</f>
        <v>4779.6448867893896</v>
      </c>
      <c r="J125" s="427">
        <f t="shared" si="12"/>
        <v>4.7796448867893897E-3</v>
      </c>
      <c r="K125" s="426">
        <f t="shared" si="9"/>
        <v>25425.896935314973</v>
      </c>
      <c r="L125" s="434">
        <f t="shared" si="13"/>
        <v>2.5425896935314975E-2</v>
      </c>
    </row>
    <row r="126" spans="1:12">
      <c r="A126" s="149" t="s">
        <v>75</v>
      </c>
      <c r="B126" s="161">
        <f t="shared" si="5"/>
        <v>5.6000000000000001E-2</v>
      </c>
      <c r="C126" s="235">
        <f t="shared" si="6"/>
        <v>1.4195289257064293E-2</v>
      </c>
      <c r="D126" s="235">
        <f t="shared" si="7"/>
        <v>4.1804710742935708E-2</v>
      </c>
      <c r="E126" s="119">
        <f t="shared" si="10"/>
        <v>35150</v>
      </c>
      <c r="F126" s="468">
        <f t="shared" si="14"/>
        <v>88996</v>
      </c>
      <c r="G126" s="331">
        <f t="shared" si="15"/>
        <v>1.5931721194879089</v>
      </c>
      <c r="H126" s="555">
        <f t="shared" si="11"/>
        <v>1.593172119487909E-6</v>
      </c>
      <c r="I126" s="558">
        <f t="shared" si="16"/>
        <v>0.15950480085694069</v>
      </c>
      <c r="J126" s="427">
        <f t="shared" si="12"/>
        <v>1.5950480085694068E-7</v>
      </c>
      <c r="K126" s="426">
        <f t="shared" si="9"/>
        <v>0.46973696281783123</v>
      </c>
      <c r="L126" s="434">
        <f t="shared" si="13"/>
        <v>4.6973696281783124E-7</v>
      </c>
    </row>
    <row r="127" spans="1:12">
      <c r="A127" s="149" t="s">
        <v>76</v>
      </c>
      <c r="B127" s="161">
        <f t="shared" si="5"/>
        <v>2.0093000000000001</v>
      </c>
      <c r="C127" s="235">
        <f t="shared" si="6"/>
        <v>0.81088407251271633</v>
      </c>
      <c r="D127" s="235">
        <f t="shared" si="7"/>
        <v>1.1984159274872836</v>
      </c>
      <c r="E127" s="119">
        <f t="shared" si="10"/>
        <v>35150</v>
      </c>
      <c r="F127" s="468">
        <f t="shared" si="14"/>
        <v>88996</v>
      </c>
      <c r="G127" s="331">
        <f t="shared" si="15"/>
        <v>57.163584637268848</v>
      </c>
      <c r="H127" s="555">
        <f t="shared" si="11"/>
        <v>5.7163584637268849E-5</v>
      </c>
      <c r="I127" s="558">
        <f t="shared" si="16"/>
        <v>9.1114664986372009</v>
      </c>
      <c r="J127" s="427">
        <f t="shared" si="12"/>
        <v>9.111466498637201E-6</v>
      </c>
      <c r="K127" s="426">
        <f t="shared" si="9"/>
        <v>13.465952711214927</v>
      </c>
      <c r="L127" s="434">
        <f t="shared" si="13"/>
        <v>1.3465952711214927E-5</v>
      </c>
    </row>
    <row r="128" spans="1:12">
      <c r="A128" s="150" t="s">
        <v>77</v>
      </c>
      <c r="B128" s="161">
        <f t="shared" si="5"/>
        <v>17.672000000000001</v>
      </c>
      <c r="C128" s="235">
        <f t="shared" si="6"/>
        <v>4.1285858641197315</v>
      </c>
      <c r="D128" s="235">
        <f t="shared" si="7"/>
        <v>13.543414135880269</v>
      </c>
      <c r="E128" s="119">
        <f t="shared" si="10"/>
        <v>35150</v>
      </c>
      <c r="F128" s="468">
        <f t="shared" si="14"/>
        <v>88996</v>
      </c>
      <c r="G128" s="331">
        <f t="shared" si="8"/>
        <v>502.75960170697016</v>
      </c>
      <c r="H128" s="555">
        <f t="shared" si="11"/>
        <v>5.0275960170697014E-4</v>
      </c>
      <c r="I128" s="558">
        <f t="shared" si="16"/>
        <v>46.390690189668426</v>
      </c>
      <c r="J128" s="427">
        <f t="shared" si="12"/>
        <v>4.6390690189668426E-5</v>
      </c>
      <c r="K128" s="426">
        <f t="shared" si="9"/>
        <v>152.18003208998459</v>
      </c>
      <c r="L128" s="434">
        <f t="shared" si="13"/>
        <v>1.5218003208998458E-4</v>
      </c>
    </row>
    <row r="129" spans="1:12">
      <c r="A129" s="150" t="s">
        <v>78</v>
      </c>
      <c r="B129" s="161">
        <f t="shared" si="5"/>
        <v>1221.1289999999999</v>
      </c>
      <c r="C129" s="235">
        <f t="shared" si="6"/>
        <v>620.15038458868878</v>
      </c>
      <c r="D129" s="235">
        <f t="shared" si="7"/>
        <v>600.97861541131113</v>
      </c>
      <c r="E129" s="119">
        <f t="shared" si="10"/>
        <v>35150</v>
      </c>
      <c r="F129" s="468">
        <f t="shared" si="14"/>
        <v>88996</v>
      </c>
      <c r="G129" s="331">
        <f t="shared" si="8"/>
        <v>34740.512091038407</v>
      </c>
      <c r="H129" s="555">
        <f t="shared" si="11"/>
        <v>3.4740512091038407E-2</v>
      </c>
      <c r="I129" s="558">
        <f t="shared" si="16"/>
        <v>6968.2950311102613</v>
      </c>
      <c r="J129" s="427">
        <f t="shared" si="12"/>
        <v>6.9682950311102613E-3</v>
      </c>
      <c r="K129" s="426">
        <f t="shared" si="9"/>
        <v>6752.8722123613552</v>
      </c>
      <c r="L129" s="434">
        <f t="shared" si="13"/>
        <v>6.7528722123613551E-3</v>
      </c>
    </row>
    <row r="130" spans="1:12">
      <c r="A130" s="150" t="s">
        <v>79</v>
      </c>
      <c r="B130" s="161">
        <f t="shared" si="5"/>
        <v>167.69670000000002</v>
      </c>
      <c r="C130" s="235">
        <f t="shared" si="6"/>
        <v>127.59283617709308</v>
      </c>
      <c r="D130" s="235">
        <f t="shared" si="7"/>
        <v>40.103863822906938</v>
      </c>
      <c r="E130" s="119">
        <f t="shared" si="10"/>
        <v>35150</v>
      </c>
      <c r="F130" s="468">
        <f t="shared" si="14"/>
        <v>88996</v>
      </c>
      <c r="G130" s="331">
        <f t="shared" si="8"/>
        <v>4770.8876244665726</v>
      </c>
      <c r="H130" s="555">
        <f t="shared" si="11"/>
        <v>4.7708876244665728E-3</v>
      </c>
      <c r="I130" s="558">
        <f t="shared" si="16"/>
        <v>1433.6918083632195</v>
      </c>
      <c r="J130" s="427">
        <f t="shared" si="12"/>
        <v>1.4336918083632194E-3</v>
      </c>
      <c r="K130" s="426">
        <f t="shared" si="9"/>
        <v>450.62546432319363</v>
      </c>
      <c r="L130" s="434">
        <f t="shared" si="13"/>
        <v>4.5062546432319363E-4</v>
      </c>
    </row>
    <row r="131" spans="1:12">
      <c r="A131" s="150" t="s">
        <v>80</v>
      </c>
      <c r="B131" s="161">
        <f t="shared" si="5"/>
        <v>243.74270000000001</v>
      </c>
      <c r="C131" s="235">
        <f t="shared" si="6"/>
        <v>188.55947923298143</v>
      </c>
      <c r="D131" s="235">
        <f t="shared" si="7"/>
        <v>55.183220767018589</v>
      </c>
      <c r="E131" s="119">
        <f t="shared" si="10"/>
        <v>35150</v>
      </c>
      <c r="F131" s="468">
        <f t="shared" si="14"/>
        <v>88996</v>
      </c>
      <c r="G131" s="331">
        <f t="shared" si="8"/>
        <v>6934.358463726885</v>
      </c>
      <c r="H131" s="555">
        <f t="shared" si="11"/>
        <v>6.9343584637268849E-3</v>
      </c>
      <c r="I131" s="558">
        <f t="shared" si="16"/>
        <v>2118.7410583956744</v>
      </c>
      <c r="J131" s="427">
        <f t="shared" si="12"/>
        <v>2.1187410583956745E-3</v>
      </c>
      <c r="K131" s="426">
        <f t="shared" si="9"/>
        <v>620.06405644094775</v>
      </c>
      <c r="L131" s="434">
        <f t="shared" si="13"/>
        <v>6.2006405644094776E-4</v>
      </c>
    </row>
    <row r="132" spans="1:12">
      <c r="A132" s="150" t="s">
        <v>81</v>
      </c>
      <c r="B132" s="161">
        <f t="shared" si="5"/>
        <v>120.62270000000001</v>
      </c>
      <c r="C132" s="235">
        <f t="shared" si="6"/>
        <v>98.977330136495794</v>
      </c>
      <c r="D132" s="235">
        <f t="shared" si="7"/>
        <v>21.645369863504222</v>
      </c>
      <c r="E132" s="119">
        <f t="shared" si="10"/>
        <v>35150</v>
      </c>
      <c r="F132" s="468">
        <f t="shared" si="14"/>
        <v>88996</v>
      </c>
      <c r="G132" s="331">
        <f t="shared" si="8"/>
        <v>3431.6557610241825</v>
      </c>
      <c r="H132" s="555">
        <f t="shared" si="11"/>
        <v>3.4316557610241825E-3</v>
      </c>
      <c r="I132" s="558">
        <f t="shared" si="16"/>
        <v>1112.1548174805137</v>
      </c>
      <c r="J132" s="427">
        <f t="shared" si="12"/>
        <v>1.1121548174805136E-3</v>
      </c>
      <c r="K132" s="426">
        <f t="shared" si="9"/>
        <v>243.21733407685988</v>
      </c>
      <c r="L132" s="434">
        <f t="shared" si="13"/>
        <v>2.432173340768599E-4</v>
      </c>
    </row>
    <row r="133" spans="1:12">
      <c r="A133" s="150" t="s">
        <v>82</v>
      </c>
      <c r="B133" s="161">
        <f t="shared" si="5"/>
        <v>1.8331999999999999</v>
      </c>
      <c r="C133" s="235">
        <f t="shared" si="6"/>
        <v>0.79885108311907227</v>
      </c>
      <c r="D133" s="235">
        <f t="shared" si="7"/>
        <v>1.0343489168809277</v>
      </c>
      <c r="E133" s="119">
        <f t="shared" si="10"/>
        <v>35150</v>
      </c>
      <c r="F133" s="468">
        <f t="shared" si="14"/>
        <v>88996</v>
      </c>
      <c r="G133" s="331">
        <f t="shared" si="8"/>
        <v>52.153627311522044</v>
      </c>
      <c r="H133" s="555">
        <f t="shared" si="11"/>
        <v>5.2153627311522044E-5</v>
      </c>
      <c r="I133" s="558">
        <f t="shared" si="16"/>
        <v>8.9762582938454791</v>
      </c>
      <c r="J133" s="427">
        <f t="shared" si="12"/>
        <v>8.9762582938454796E-6</v>
      </c>
      <c r="K133" s="426">
        <f t="shared" si="9"/>
        <v>11.622420298450802</v>
      </c>
      <c r="L133" s="434">
        <f t="shared" si="13"/>
        <v>1.1622420298450802E-5</v>
      </c>
    </row>
    <row r="134" spans="1:12">
      <c r="A134" s="150" t="s">
        <v>214</v>
      </c>
      <c r="B134" s="161">
        <f t="shared" si="5"/>
        <v>1571.3850000000002</v>
      </c>
      <c r="C134" s="235">
        <f t="shared" si="6"/>
        <v>1376.2683461686593</v>
      </c>
      <c r="D134" s="235">
        <f t="shared" si="7"/>
        <v>195.11665383134084</v>
      </c>
      <c r="E134" s="119">
        <f t="shared" si="10"/>
        <v>35150</v>
      </c>
      <c r="F134" s="468">
        <f t="shared" si="14"/>
        <v>88996</v>
      </c>
      <c r="G134" s="331">
        <f t="shared" si="8"/>
        <v>44705.120910384074</v>
      </c>
      <c r="H134" s="555">
        <f t="shared" si="11"/>
        <v>4.4705120910384075E-2</v>
      </c>
      <c r="I134" s="558">
        <f t="shared" si="16"/>
        <v>15464.384311302298</v>
      </c>
      <c r="J134" s="427">
        <f t="shared" si="12"/>
        <v>1.5464384311302298E-2</v>
      </c>
      <c r="K134" s="426">
        <f t="shared" si="9"/>
        <v>2192.4204889134435</v>
      </c>
      <c r="L134" s="434">
        <f t="shared" si="13"/>
        <v>2.1924204889134436E-3</v>
      </c>
    </row>
    <row r="135" spans="1:12">
      <c r="A135" s="150" t="s">
        <v>96</v>
      </c>
      <c r="B135" s="161">
        <f>$C$30*31/98</f>
        <v>3305.612244897959</v>
      </c>
      <c r="C135" s="235">
        <f>$C$30*31/98</f>
        <v>3305.612244897959</v>
      </c>
      <c r="D135" s="235">
        <v>0</v>
      </c>
      <c r="E135" s="119">
        <f t="shared" si="10"/>
        <v>35150</v>
      </c>
      <c r="F135" s="468">
        <f t="shared" si="14"/>
        <v>88996</v>
      </c>
      <c r="G135" s="331">
        <f t="shared" si="8"/>
        <v>94043.022614451183</v>
      </c>
      <c r="H135" s="555">
        <f t="shared" si="11"/>
        <v>9.4043022614451188E-2</v>
      </c>
      <c r="I135" s="558">
        <f t="shared" si="16"/>
        <v>37143.379982223458</v>
      </c>
      <c r="J135" s="427">
        <f t="shared" si="12"/>
        <v>3.7143379982223459E-2</v>
      </c>
      <c r="K135" s="426">
        <f t="shared" si="9"/>
        <v>0</v>
      </c>
      <c r="L135" s="434">
        <f t="shared" si="13"/>
        <v>0</v>
      </c>
    </row>
    <row r="136" spans="1:12">
      <c r="A136" s="150" t="s">
        <v>97</v>
      </c>
      <c r="B136" s="161">
        <f>B134+B135</f>
        <v>4876.9972448979588</v>
      </c>
      <c r="C136" s="235">
        <f>C134+C135</f>
        <v>4681.8805910666179</v>
      </c>
      <c r="D136" s="235">
        <f>D134+D135</f>
        <v>195.11665383134084</v>
      </c>
      <c r="E136" s="119">
        <f t="shared" si="10"/>
        <v>35150</v>
      </c>
      <c r="F136" s="468">
        <f t="shared" si="14"/>
        <v>88996</v>
      </c>
      <c r="G136" s="331">
        <f t="shared" si="8"/>
        <v>138748.14352483524</v>
      </c>
      <c r="H136" s="555">
        <f t="shared" si="11"/>
        <v>0.13874814352483525</v>
      </c>
      <c r="I136" s="558">
        <f t="shared" si="16"/>
        <v>52607.764293525754</v>
      </c>
      <c r="J136" s="427">
        <f t="shared" si="12"/>
        <v>5.2607764293525754E-2</v>
      </c>
      <c r="K136" s="426">
        <f t="shared" si="9"/>
        <v>2192.4204889134435</v>
      </c>
      <c r="L136" s="434">
        <f t="shared" si="13"/>
        <v>2.1924204889134436E-3</v>
      </c>
    </row>
    <row r="137" spans="1:12">
      <c r="A137" s="150" t="s">
        <v>84</v>
      </c>
      <c r="B137" s="161">
        <f>G78</f>
        <v>2.0493999999999999</v>
      </c>
      <c r="C137" s="235">
        <f>H78</f>
        <v>0.4723739093634064</v>
      </c>
      <c r="D137" s="235">
        <f>I78</f>
        <v>1.5770260906365936</v>
      </c>
      <c r="E137" s="119">
        <f t="shared" si="10"/>
        <v>35150</v>
      </c>
      <c r="F137" s="468">
        <f t="shared" si="14"/>
        <v>88996</v>
      </c>
      <c r="G137" s="331">
        <f t="shared" si="8"/>
        <v>58.304409672830722</v>
      </c>
      <c r="H137" s="555">
        <f t="shared" si="11"/>
        <v>5.8304409672830723E-5</v>
      </c>
      <c r="I137" s="558">
        <f t="shared" si="16"/>
        <v>5.3078105686031547</v>
      </c>
      <c r="J137" s="427">
        <f t="shared" si="12"/>
        <v>5.3078105686031548E-6</v>
      </c>
      <c r="K137" s="426">
        <f t="shared" si="9"/>
        <v>17.720190689880372</v>
      </c>
      <c r="L137" s="434">
        <f t="shared" si="13"/>
        <v>1.7720190689880373E-5</v>
      </c>
    </row>
    <row r="138" spans="1:12">
      <c r="A138" s="150" t="s">
        <v>249</v>
      </c>
      <c r="B138" s="161">
        <f>G79</f>
        <v>248.5959</v>
      </c>
      <c r="C138" s="235">
        <v>0</v>
      </c>
      <c r="D138" s="235">
        <f>E79</f>
        <v>226.8</v>
      </c>
      <c r="E138" s="119">
        <f t="shared" si="10"/>
        <v>35150</v>
      </c>
      <c r="F138" s="468">
        <f t="shared" si="14"/>
        <v>88996</v>
      </c>
      <c r="G138" s="331">
        <f t="shared" si="8"/>
        <v>7072.4295874822192</v>
      </c>
      <c r="H138" s="555">
        <f t="shared" si="11"/>
        <v>7.072429587482219E-3</v>
      </c>
      <c r="I138" s="558">
        <f t="shared" si="16"/>
        <v>0</v>
      </c>
      <c r="J138" s="427">
        <f t="shared" si="12"/>
        <v>0</v>
      </c>
      <c r="K138" s="426">
        <f t="shared" si="9"/>
        <v>2548.4291428828265</v>
      </c>
      <c r="L138" s="434">
        <f t="shared" si="13"/>
        <v>2.5484291428828263E-3</v>
      </c>
    </row>
    <row r="139" spans="1:12">
      <c r="A139" s="150" t="s">
        <v>250</v>
      </c>
      <c r="B139" s="161">
        <f>$C$25*32/98</f>
        <v>1861.2244897959183</v>
      </c>
      <c r="C139" s="235">
        <v>0</v>
      </c>
      <c r="D139" s="235">
        <f>$C$25*32/98</f>
        <v>1861.2244897959183</v>
      </c>
      <c r="E139" s="119">
        <f t="shared" si="10"/>
        <v>35150</v>
      </c>
      <c r="F139" s="468">
        <f t="shared" si="14"/>
        <v>88996</v>
      </c>
      <c r="G139" s="331">
        <f t="shared" si="8"/>
        <v>52950.910093767234</v>
      </c>
      <c r="H139" s="555">
        <f t="shared" si="11"/>
        <v>5.2950910093767234E-2</v>
      </c>
      <c r="I139" s="558">
        <f t="shared" si="16"/>
        <v>0</v>
      </c>
      <c r="J139" s="427">
        <f t="shared" si="12"/>
        <v>0</v>
      </c>
      <c r="K139" s="426">
        <f t="shared" si="9"/>
        <v>20913.57465274752</v>
      </c>
      <c r="L139" s="434">
        <f t="shared" si="13"/>
        <v>2.091357465274752E-2</v>
      </c>
    </row>
    <row r="140" spans="1:12">
      <c r="A140" s="150" t="s">
        <v>251</v>
      </c>
      <c r="B140" s="161">
        <f>B138+B139</f>
        <v>2109.8203897959183</v>
      </c>
      <c r="C140" s="235">
        <v>0</v>
      </c>
      <c r="D140" s="235">
        <f>D138+D139</f>
        <v>2088.0244897959183</v>
      </c>
      <c r="E140" s="119">
        <f t="shared" si="10"/>
        <v>35150</v>
      </c>
      <c r="F140" s="468">
        <f t="shared" si="14"/>
        <v>88996</v>
      </c>
      <c r="G140" s="331">
        <f t="shared" si="8"/>
        <v>60023.339681249454</v>
      </c>
      <c r="H140" s="555">
        <f t="shared" si="11"/>
        <v>6.0023339681249455E-2</v>
      </c>
      <c r="I140" s="558">
        <f t="shared" si="16"/>
        <v>0</v>
      </c>
      <c r="J140" s="427">
        <f t="shared" si="12"/>
        <v>0</v>
      </c>
      <c r="K140" s="426">
        <f t="shared" si="9"/>
        <v>23462.003795630346</v>
      </c>
      <c r="L140" s="434">
        <f t="shared" si="13"/>
        <v>2.3462003795630345E-2</v>
      </c>
    </row>
    <row r="141" spans="1:12">
      <c r="A141" s="151" t="s">
        <v>238</v>
      </c>
      <c r="B141" s="161">
        <f>B140/32*96</f>
        <v>6329.461169387755</v>
      </c>
      <c r="C141" s="235">
        <v>0</v>
      </c>
      <c r="D141" s="235">
        <f>D140/32*96</f>
        <v>6264.0734693877548</v>
      </c>
      <c r="E141" s="119">
        <f t="shared" si="10"/>
        <v>35150</v>
      </c>
      <c r="F141" s="468">
        <f t="shared" si="14"/>
        <v>88996</v>
      </c>
      <c r="G141" s="331">
        <f t="shared" si="8"/>
        <v>180070.01904374835</v>
      </c>
      <c r="H141" s="555">
        <f t="shared" si="11"/>
        <v>0.18007001904374836</v>
      </c>
      <c r="I141" s="558">
        <f t="shared" si="16"/>
        <v>0</v>
      </c>
      <c r="J141" s="427">
        <f t="shared" si="12"/>
        <v>0</v>
      </c>
      <c r="K141" s="426">
        <f t="shared" si="9"/>
        <v>70386.011386891027</v>
      </c>
      <c r="L141" s="434">
        <f t="shared" si="13"/>
        <v>7.0386011386891031E-2</v>
      </c>
    </row>
    <row r="142" spans="1:12">
      <c r="A142" s="151" t="s">
        <v>239</v>
      </c>
      <c r="B142" s="161">
        <f>B140/32*136</f>
        <v>8966.7366566326527</v>
      </c>
      <c r="C142" s="235">
        <v>0</v>
      </c>
      <c r="D142" s="235">
        <f>D140/32*136</f>
        <v>8874.1040816326531</v>
      </c>
      <c r="E142" s="119">
        <f t="shared" si="10"/>
        <v>35150</v>
      </c>
      <c r="F142" s="468">
        <f t="shared" si="14"/>
        <v>88996</v>
      </c>
      <c r="G142" s="331">
        <f t="shared" si="8"/>
        <v>255099.19364531021</v>
      </c>
      <c r="H142" s="555">
        <f t="shared" si="11"/>
        <v>0.2550991936453102</v>
      </c>
      <c r="I142" s="558">
        <f t="shared" si="16"/>
        <v>0</v>
      </c>
      <c r="J142" s="427">
        <f t="shared" si="12"/>
        <v>0</v>
      </c>
      <c r="K142" s="426">
        <f t="shared" si="9"/>
        <v>99713.516131428987</v>
      </c>
      <c r="L142" s="434">
        <f t="shared" si="13"/>
        <v>9.9713516131428981E-2</v>
      </c>
    </row>
    <row r="143" spans="1:12" ht="14.65" thickBot="1">
      <c r="A143" s="152" t="s">
        <v>86</v>
      </c>
      <c r="B143" s="162">
        <f>G80</f>
        <v>49.236000000000004</v>
      </c>
      <c r="C143" s="236">
        <f>H80</f>
        <v>21.5601745065001</v>
      </c>
      <c r="D143" s="236">
        <f>I80</f>
        <v>27.675825493499904</v>
      </c>
      <c r="E143" s="135">
        <f t="shared" si="10"/>
        <v>35150</v>
      </c>
      <c r="F143" s="469">
        <f t="shared" si="14"/>
        <v>88996</v>
      </c>
      <c r="G143" s="466">
        <f t="shared" si="8"/>
        <v>1400.7396870554765</v>
      </c>
      <c r="H143" s="556">
        <f t="shared" si="11"/>
        <v>1.4007396870554766E-3</v>
      </c>
      <c r="I143" s="559">
        <f t="shared" si="16"/>
        <v>242.26003985010675</v>
      </c>
      <c r="J143" s="438">
        <f t="shared" si="12"/>
        <v>2.4226003985010675E-4</v>
      </c>
      <c r="K143" s="437">
        <f t="shared" si="9"/>
        <v>310.97830794080522</v>
      </c>
      <c r="L143" s="439">
        <f t="shared" si="13"/>
        <v>3.1097830794080524E-4</v>
      </c>
    </row>
    <row r="145" spans="1:3">
      <c r="A145" s="1" t="s">
        <v>98</v>
      </c>
      <c r="B145" s="1"/>
      <c r="C145" s="1"/>
    </row>
    <row r="146" spans="1:3" ht="14.65" thickBot="1">
      <c r="A146" s="79" t="s">
        <v>377</v>
      </c>
      <c r="B146" s="79"/>
      <c r="C146" s="79"/>
    </row>
    <row r="147" spans="1:3">
      <c r="A147" s="496" t="s">
        <v>334</v>
      </c>
      <c r="B147" s="493">
        <v>0.05</v>
      </c>
      <c r="C147" s="304" t="s">
        <v>101</v>
      </c>
    </row>
    <row r="148" spans="1:3">
      <c r="A148" s="392" t="s">
        <v>378</v>
      </c>
      <c r="B148" s="494">
        <v>1.86</v>
      </c>
      <c r="C148" s="72" t="s">
        <v>103</v>
      </c>
    </row>
    <row r="149" spans="1:3">
      <c r="A149" s="392" t="s">
        <v>379</v>
      </c>
      <c r="B149" s="494">
        <v>0.997</v>
      </c>
      <c r="C149" s="72" t="s">
        <v>103</v>
      </c>
    </row>
    <row r="150" spans="1:3">
      <c r="A150" s="392" t="s">
        <v>380</v>
      </c>
      <c r="B150" s="494">
        <v>1.0206786471090072</v>
      </c>
      <c r="C150" s="72" t="s">
        <v>103</v>
      </c>
    </row>
    <row r="151" spans="1:3" ht="14.65" thickBot="1">
      <c r="A151" s="393" t="s">
        <v>334</v>
      </c>
      <c r="B151" s="495">
        <v>0.02</v>
      </c>
      <c r="C151" s="76" t="s">
        <v>25</v>
      </c>
    </row>
    <row r="153" spans="1:3" ht="14.65" thickBot="1">
      <c r="A153" s="79" t="s">
        <v>271</v>
      </c>
    </row>
    <row r="154" spans="1:3" ht="14.65" thickBot="1">
      <c r="A154" s="103" t="s">
        <v>53</v>
      </c>
      <c r="B154" s="102" t="s">
        <v>18</v>
      </c>
      <c r="C154" s="17" t="s">
        <v>106</v>
      </c>
    </row>
    <row r="155" spans="1:3">
      <c r="A155" s="243" t="s">
        <v>266</v>
      </c>
      <c r="B155" s="269" t="s">
        <v>35</v>
      </c>
      <c r="C155" s="386">
        <f>C88</f>
        <v>88996</v>
      </c>
    </row>
    <row r="156" spans="1:3">
      <c r="A156" s="392" t="s">
        <v>381</v>
      </c>
      <c r="B156" s="105" t="s">
        <v>108</v>
      </c>
      <c r="C156" s="450">
        <v>1.3</v>
      </c>
    </row>
    <row r="157" spans="1:3">
      <c r="A157" s="257" t="s">
        <v>382</v>
      </c>
      <c r="B157" s="105" t="s">
        <v>110</v>
      </c>
      <c r="C157" s="84">
        <f>C155/C156</f>
        <v>68458.461538461532</v>
      </c>
    </row>
    <row r="158" spans="1:3">
      <c r="A158" s="281" t="s">
        <v>334</v>
      </c>
      <c r="B158" s="305" t="s">
        <v>25</v>
      </c>
      <c r="C158" s="306">
        <f>$B$151</f>
        <v>0.02</v>
      </c>
    </row>
    <row r="159" spans="1:3">
      <c r="A159" s="281" t="s">
        <v>383</v>
      </c>
      <c r="B159" s="278" t="s">
        <v>110</v>
      </c>
      <c r="C159" s="289">
        <f>C157*C158</f>
        <v>1369.1692307692306</v>
      </c>
    </row>
    <row r="160" spans="1:3">
      <c r="A160" s="281" t="s">
        <v>384</v>
      </c>
      <c r="B160" s="278" t="s">
        <v>108</v>
      </c>
      <c r="C160" s="307">
        <f>B150</f>
        <v>1.0206786471090072</v>
      </c>
    </row>
    <row r="161" spans="1:3" ht="14.65" thickBot="1">
      <c r="A161" s="255" t="s">
        <v>334</v>
      </c>
      <c r="B161" s="271" t="s">
        <v>35</v>
      </c>
      <c r="C161" s="280">
        <f>C159*C160</f>
        <v>1397.4817981248184</v>
      </c>
    </row>
    <row r="162" spans="1:3" hidden="1">
      <c r="A162" s="79"/>
      <c r="B162" s="79"/>
      <c r="C162" s="79"/>
    </row>
    <row r="163" spans="1:3" hidden="1">
      <c r="A163" s="79" t="s">
        <v>56</v>
      </c>
      <c r="B163" s="79"/>
      <c r="C163" s="79"/>
    </row>
    <row r="164" spans="1:3" hidden="1">
      <c r="A164" s="191" t="s">
        <v>53</v>
      </c>
      <c r="B164" s="192" t="s">
        <v>18</v>
      </c>
      <c r="C164" s="193" t="s">
        <v>106</v>
      </c>
    </row>
    <row r="165" spans="1:3" hidden="1">
      <c r="A165" s="272" t="s">
        <v>55</v>
      </c>
      <c r="B165" s="298" t="s">
        <v>35</v>
      </c>
      <c r="C165" s="294">
        <f>$C$22</f>
        <v>19000</v>
      </c>
    </row>
    <row r="166" spans="1:3" hidden="1">
      <c r="A166" s="257" t="s">
        <v>87</v>
      </c>
      <c r="B166" s="278" t="s">
        <v>35</v>
      </c>
      <c r="C166" s="295">
        <f>SUM($H$66:$H$80)</f>
        <v>3634.2060838950802</v>
      </c>
    </row>
    <row r="167" spans="1:3" hidden="1">
      <c r="A167" s="257" t="s">
        <v>57</v>
      </c>
      <c r="B167" s="278" t="s">
        <v>35</v>
      </c>
      <c r="C167" s="279">
        <f>C165-C166</f>
        <v>15365.79391610492</v>
      </c>
    </row>
    <row r="168" spans="1:3" hidden="1">
      <c r="A168" s="257" t="s">
        <v>114</v>
      </c>
      <c r="B168" s="278" t="s">
        <v>35</v>
      </c>
      <c r="C168" s="279">
        <f>$C$88+$C$161</f>
        <v>90393.48179812482</v>
      </c>
    </row>
    <row r="169" spans="1:3" hidden="1">
      <c r="A169" s="299" t="s">
        <v>59</v>
      </c>
      <c r="B169" s="260" t="s">
        <v>24</v>
      </c>
      <c r="C169" s="300">
        <f>C167/C168</f>
        <v>0.16998785322177598</v>
      </c>
    </row>
    <row r="170" spans="1:3" hidden="1">
      <c r="A170" s="257" t="s">
        <v>34</v>
      </c>
      <c r="B170" s="278" t="s">
        <v>35</v>
      </c>
      <c r="C170" s="279">
        <f>$C$24</f>
        <v>53846</v>
      </c>
    </row>
    <row r="171" spans="1:3" hidden="1">
      <c r="A171" s="257" t="s">
        <v>32</v>
      </c>
      <c r="B171" s="278" t="s">
        <v>35</v>
      </c>
      <c r="C171" s="295">
        <f>$C$25</f>
        <v>5700</v>
      </c>
    </row>
    <row r="172" spans="1:3" hidden="1">
      <c r="A172" s="257" t="s">
        <v>33</v>
      </c>
      <c r="B172" s="278" t="s">
        <v>35</v>
      </c>
      <c r="C172" s="295">
        <f>$C$30</f>
        <v>10450</v>
      </c>
    </row>
    <row r="173" spans="1:3" hidden="1">
      <c r="A173" s="257" t="s">
        <v>87</v>
      </c>
      <c r="B173" s="278" t="s">
        <v>35</v>
      </c>
      <c r="C173" s="295">
        <f>SUM($H$66:$H$80)</f>
        <v>3634.2060838950802</v>
      </c>
    </row>
    <row r="174" spans="1:3" hidden="1">
      <c r="A174" s="257" t="s">
        <v>113</v>
      </c>
      <c r="B174" s="278" t="s">
        <v>35</v>
      </c>
      <c r="C174" s="295">
        <f>$C$161</f>
        <v>1397.4817981248184</v>
      </c>
    </row>
    <row r="175" spans="1:3" hidden="1">
      <c r="A175" s="257" t="s">
        <v>60</v>
      </c>
      <c r="B175" s="278" t="s">
        <v>35</v>
      </c>
      <c r="C175" s="279">
        <f>C170+C171+C172+C173+C174</f>
        <v>75027.687882019905</v>
      </c>
    </row>
    <row r="176" spans="1:3" hidden="1">
      <c r="A176" s="257" t="s">
        <v>114</v>
      </c>
      <c r="B176" s="278" t="s">
        <v>35</v>
      </c>
      <c r="C176" s="279">
        <f>$C$88+$C$161</f>
        <v>90393.48179812482</v>
      </c>
    </row>
    <row r="177" spans="1:3" ht="14.65" hidden="1" thickBot="1">
      <c r="A177" s="301" t="s">
        <v>61</v>
      </c>
      <c r="B177" s="277" t="s">
        <v>24</v>
      </c>
      <c r="C177" s="303">
        <f>C175/C176</f>
        <v>0.8300121467782241</v>
      </c>
    </row>
    <row r="178" spans="1:3">
      <c r="A178" s="83"/>
      <c r="B178" s="77"/>
      <c r="C178" s="96"/>
    </row>
    <row r="179" spans="1:3" hidden="1">
      <c r="A179" s="79" t="s">
        <v>47</v>
      </c>
      <c r="B179" s="79"/>
      <c r="C179" s="79"/>
    </row>
    <row r="180" spans="1:3" ht="14.65" hidden="1" thickBot="1">
      <c r="A180" s="103" t="s">
        <v>53</v>
      </c>
      <c r="B180" s="102" t="s">
        <v>18</v>
      </c>
      <c r="C180" s="17" t="s">
        <v>106</v>
      </c>
    </row>
    <row r="181" spans="1:3" hidden="1">
      <c r="A181" s="308" t="s">
        <v>55</v>
      </c>
      <c r="B181" s="309" t="s">
        <v>35</v>
      </c>
      <c r="C181" s="294">
        <f>$C$22</f>
        <v>19000</v>
      </c>
    </row>
    <row r="182" spans="1:3" hidden="1">
      <c r="A182" s="282" t="s">
        <v>32</v>
      </c>
      <c r="B182" s="288" t="s">
        <v>35</v>
      </c>
      <c r="C182" s="295">
        <f>$C$25</f>
        <v>5700</v>
      </c>
    </row>
    <row r="183" spans="1:3" hidden="1">
      <c r="A183" s="282" t="s">
        <v>33</v>
      </c>
      <c r="B183" s="288" t="s">
        <v>35</v>
      </c>
      <c r="C183" s="295">
        <f>$C$30</f>
        <v>10450</v>
      </c>
    </row>
    <row r="184" spans="1:3" hidden="1">
      <c r="A184" s="282" t="s">
        <v>115</v>
      </c>
      <c r="B184" s="288" t="s">
        <v>24</v>
      </c>
      <c r="C184" s="312">
        <f>$B$147</f>
        <v>0.05</v>
      </c>
    </row>
    <row r="185" spans="1:3" hidden="1">
      <c r="A185" s="282" t="s">
        <v>113</v>
      </c>
      <c r="B185" s="288" t="s">
        <v>35</v>
      </c>
      <c r="C185" s="295">
        <f>$C$161</f>
        <v>1397.4817981248184</v>
      </c>
    </row>
    <row r="186" spans="1:3" hidden="1">
      <c r="A186" s="282" t="s">
        <v>116</v>
      </c>
      <c r="B186" s="288" t="s">
        <v>35</v>
      </c>
      <c r="C186" s="295">
        <f>C185*C184</f>
        <v>69.874089906240926</v>
      </c>
    </row>
    <row r="187" spans="1:3" hidden="1">
      <c r="A187" s="282" t="s">
        <v>430</v>
      </c>
      <c r="B187" s="288" t="s">
        <v>35</v>
      </c>
      <c r="C187" s="279">
        <f>C181+C182+C183+C186</f>
        <v>35219.87408990624</v>
      </c>
    </row>
    <row r="188" spans="1:3" hidden="1">
      <c r="A188" s="282" t="s">
        <v>114</v>
      </c>
      <c r="B188" s="288" t="s">
        <v>35</v>
      </c>
      <c r="C188" s="279">
        <f>$C$88+$C$161</f>
        <v>90393.48179812482</v>
      </c>
    </row>
    <row r="189" spans="1:3" hidden="1">
      <c r="A189" s="310" t="s">
        <v>64</v>
      </c>
      <c r="B189" s="283" t="s">
        <v>24</v>
      </c>
      <c r="C189" s="300">
        <f>C187/C188</f>
        <v>0.38962847087318264</v>
      </c>
    </row>
    <row r="190" spans="1:3" hidden="1">
      <c r="A190" s="282" t="s">
        <v>34</v>
      </c>
      <c r="B190" s="288" t="s">
        <v>35</v>
      </c>
      <c r="C190" s="279">
        <f>$C$24</f>
        <v>53846</v>
      </c>
    </row>
    <row r="191" spans="1:3" hidden="1">
      <c r="A191" s="282" t="s">
        <v>117</v>
      </c>
      <c r="B191" s="288" t="s">
        <v>24</v>
      </c>
      <c r="C191" s="312">
        <f>1-$B$147</f>
        <v>0.95</v>
      </c>
    </row>
    <row r="192" spans="1:3" hidden="1">
      <c r="A192" s="282" t="s">
        <v>113</v>
      </c>
      <c r="B192" s="288" t="s">
        <v>35</v>
      </c>
      <c r="C192" s="295">
        <f>$C$161</f>
        <v>1397.4817981248184</v>
      </c>
    </row>
    <row r="193" spans="1:3" hidden="1">
      <c r="A193" s="282" t="s">
        <v>118</v>
      </c>
      <c r="B193" s="81" t="s">
        <v>35</v>
      </c>
      <c r="C193" s="84">
        <f>C191*C192</f>
        <v>1327.6077082185775</v>
      </c>
    </row>
    <row r="194" spans="1:3" hidden="1">
      <c r="A194" s="282" t="s">
        <v>65</v>
      </c>
      <c r="B194" s="81" t="s">
        <v>35</v>
      </c>
      <c r="C194" s="84">
        <f>C190+C193</f>
        <v>55173.60770821858</v>
      </c>
    </row>
    <row r="195" spans="1:3" hidden="1">
      <c r="A195" s="282" t="s">
        <v>114</v>
      </c>
      <c r="B195" s="81" t="s">
        <v>35</v>
      </c>
      <c r="C195" s="84">
        <f>$C$88+$C$161</f>
        <v>90393.48179812482</v>
      </c>
    </row>
    <row r="196" spans="1:3" ht="14.65" hidden="1" thickBot="1">
      <c r="A196" s="311" t="s">
        <v>66</v>
      </c>
      <c r="B196" s="284" t="s">
        <v>24</v>
      </c>
      <c r="C196" s="303">
        <f>C194/C195</f>
        <v>0.61037152912681736</v>
      </c>
    </row>
    <row r="197" spans="1:3" hidden="1">
      <c r="A197" s="83"/>
      <c r="B197" s="77"/>
      <c r="C197" s="96"/>
    </row>
    <row r="198" spans="1:3" ht="14.65" thickBot="1">
      <c r="A198" s="79" t="s">
        <v>373</v>
      </c>
    </row>
    <row r="199" spans="1:3" ht="14.65" thickBot="1">
      <c r="A199" s="605" t="s">
        <v>23</v>
      </c>
      <c r="B199" s="1057">
        <v>1.7</v>
      </c>
      <c r="C199" s="1058"/>
    </row>
    <row r="200" spans="1:3" ht="14.65" thickBot="1">
      <c r="A200" s="2"/>
      <c r="B200" s="1059" t="s">
        <v>120</v>
      </c>
      <c r="C200" s="1060"/>
    </row>
    <row r="201" spans="1:3">
      <c r="A201" s="703" t="s">
        <v>77</v>
      </c>
      <c r="B201" s="273" t="s">
        <v>157</v>
      </c>
      <c r="C201" s="285">
        <v>0.99</v>
      </c>
    </row>
    <row r="202" spans="1:3">
      <c r="A202" s="232" t="s">
        <v>73</v>
      </c>
      <c r="B202" s="704" t="s">
        <v>158</v>
      </c>
      <c r="C202" s="705">
        <v>0.9</v>
      </c>
    </row>
    <row r="203" spans="1:3">
      <c r="A203" s="232" t="s">
        <v>86</v>
      </c>
      <c r="B203" s="704" t="s">
        <v>159</v>
      </c>
      <c r="C203" s="705">
        <v>0.95</v>
      </c>
    </row>
    <row r="204" spans="1:3">
      <c r="A204" s="232" t="s">
        <v>82</v>
      </c>
      <c r="B204" s="704" t="s">
        <v>160</v>
      </c>
      <c r="C204" s="706">
        <v>2.5000000000000001E-2</v>
      </c>
    </row>
    <row r="205" spans="1:3">
      <c r="A205" s="232" t="s">
        <v>72</v>
      </c>
      <c r="B205" s="704" t="s">
        <v>160</v>
      </c>
      <c r="C205" s="706">
        <v>2.5000000000000001E-2</v>
      </c>
    </row>
    <row r="206" spans="1:3">
      <c r="A206" s="232" t="s">
        <v>78</v>
      </c>
      <c r="B206" s="704" t="s">
        <v>160</v>
      </c>
      <c r="C206" s="706">
        <v>2.5000000000000001E-2</v>
      </c>
    </row>
    <row r="207" spans="1:3">
      <c r="A207" s="232" t="s">
        <v>80</v>
      </c>
      <c r="B207" s="704" t="s">
        <v>160</v>
      </c>
      <c r="C207" s="706">
        <v>2.5000000000000001E-2</v>
      </c>
    </row>
    <row r="208" spans="1:3">
      <c r="A208" s="232" t="s">
        <v>83</v>
      </c>
      <c r="B208" s="704" t="s">
        <v>160</v>
      </c>
      <c r="C208" s="706">
        <v>2.5000000000000001E-2</v>
      </c>
    </row>
    <row r="209" spans="1:4">
      <c r="A209" s="232" t="s">
        <v>79</v>
      </c>
      <c r="B209" s="704" t="s">
        <v>160</v>
      </c>
      <c r="C209" s="706">
        <v>2.5000000000000001E-2</v>
      </c>
    </row>
    <row r="210" spans="1:4">
      <c r="A210" s="232" t="s">
        <v>75</v>
      </c>
      <c r="B210" s="704" t="s">
        <v>322</v>
      </c>
      <c r="C210" s="706">
        <v>2.5000000000000001E-2</v>
      </c>
    </row>
    <row r="211" spans="1:4" ht="14.65" thickBot="1">
      <c r="A211" s="233" t="s">
        <v>84</v>
      </c>
      <c r="B211" s="708" t="s">
        <v>323</v>
      </c>
      <c r="C211" s="755">
        <v>2.5000000000000001E-2</v>
      </c>
    </row>
    <row r="212" spans="1:4">
      <c r="A212" s="78"/>
      <c r="B212" s="97"/>
      <c r="C212" s="98"/>
    </row>
    <row r="213" spans="1:4" ht="14.65" thickBot="1">
      <c r="A213" s="79" t="s">
        <v>273</v>
      </c>
    </row>
    <row r="214" spans="1:4">
      <c r="A214" s="18"/>
      <c r="B214" s="266" t="s">
        <v>120</v>
      </c>
      <c r="C214" s="274" t="s">
        <v>243</v>
      </c>
      <c r="D214" s="275" t="s">
        <v>244</v>
      </c>
    </row>
    <row r="215" spans="1:4" ht="14.65" thickBot="1">
      <c r="A215" s="21"/>
      <c r="B215" s="451" t="s">
        <v>24</v>
      </c>
      <c r="C215" s="154" t="s">
        <v>35</v>
      </c>
      <c r="D215" s="155" t="s">
        <v>35</v>
      </c>
    </row>
    <row r="216" spans="1:4">
      <c r="A216" s="184" t="s">
        <v>72</v>
      </c>
      <c r="B216" s="399">
        <f>C205</f>
        <v>2.5000000000000001E-2</v>
      </c>
      <c r="C216" s="428">
        <f>$H$66</f>
        <v>769.17217330865276</v>
      </c>
      <c r="D216" s="122">
        <f>C216*B216</f>
        <v>19.229304332716321</v>
      </c>
    </row>
    <row r="217" spans="1:4">
      <c r="A217" s="185" t="s">
        <v>73</v>
      </c>
      <c r="B217" s="352">
        <f>C202</f>
        <v>0.9</v>
      </c>
      <c r="C217" s="235">
        <f>$H$67</f>
        <v>0.33119321292839343</v>
      </c>
      <c r="D217" s="87">
        <f t="shared" ref="D217:D234" si="17">C217*B217</f>
        <v>0.29807389163555409</v>
      </c>
    </row>
    <row r="218" spans="1:4">
      <c r="A218" s="185" t="s">
        <v>75</v>
      </c>
      <c r="B218" s="400">
        <f>C210</f>
        <v>2.5000000000000001E-2</v>
      </c>
      <c r="C218" s="235">
        <f>H69</f>
        <v>1.4195289257064293E-2</v>
      </c>
      <c r="D218" s="87">
        <f t="shared" si="17"/>
        <v>3.5488223142660736E-4</v>
      </c>
    </row>
    <row r="219" spans="1:4">
      <c r="A219" s="186" t="s">
        <v>77</v>
      </c>
      <c r="B219" s="352">
        <f>C201</f>
        <v>0.99</v>
      </c>
      <c r="C219" s="235">
        <f>$H$71</f>
        <v>4.1285858641197315</v>
      </c>
      <c r="D219" s="87">
        <f t="shared" si="17"/>
        <v>4.087300005478534</v>
      </c>
    </row>
    <row r="220" spans="1:4">
      <c r="A220" s="186" t="s">
        <v>78</v>
      </c>
      <c r="B220" s="400">
        <f>C206</f>
        <v>2.5000000000000001E-2</v>
      </c>
      <c r="C220" s="235">
        <f>$H$72</f>
        <v>620.15038458868878</v>
      </c>
      <c r="D220" s="87">
        <f t="shared" si="17"/>
        <v>15.50375961471722</v>
      </c>
    </row>
    <row r="221" spans="1:4">
      <c r="A221" s="186" t="s">
        <v>79</v>
      </c>
      <c r="B221" s="400">
        <f>C209</f>
        <v>2.5000000000000001E-2</v>
      </c>
      <c r="C221" s="235">
        <f>$H$73</f>
        <v>127.59283617709308</v>
      </c>
      <c r="D221" s="87">
        <f t="shared" si="17"/>
        <v>3.1898209044273269</v>
      </c>
    </row>
    <row r="222" spans="1:4">
      <c r="A222" s="186" t="s">
        <v>80</v>
      </c>
      <c r="B222" s="400">
        <f>C207</f>
        <v>2.5000000000000001E-2</v>
      </c>
      <c r="C222" s="235">
        <f>$H$74</f>
        <v>188.55947923298143</v>
      </c>
      <c r="D222" s="87">
        <f t="shared" si="17"/>
        <v>4.7139869808245356</v>
      </c>
    </row>
    <row r="223" spans="1:4">
      <c r="A223" s="186" t="s">
        <v>82</v>
      </c>
      <c r="B223" s="400">
        <f>C204</f>
        <v>2.5000000000000001E-2</v>
      </c>
      <c r="C223" s="235">
        <f>$H$76</f>
        <v>0.79885108311907227</v>
      </c>
      <c r="D223" s="87">
        <f t="shared" si="17"/>
        <v>1.9971277077976808E-2</v>
      </c>
    </row>
    <row r="224" spans="1:4">
      <c r="A224" s="186" t="s">
        <v>213</v>
      </c>
      <c r="B224" s="400">
        <f>C208</f>
        <v>2.5000000000000001E-2</v>
      </c>
      <c r="C224" s="235">
        <f>$H$77</f>
        <v>1376.2683461686593</v>
      </c>
      <c r="D224" s="87">
        <f t="shared" si="17"/>
        <v>34.40670865421648</v>
      </c>
    </row>
    <row r="225" spans="1:4">
      <c r="A225" s="406" t="s">
        <v>96</v>
      </c>
      <c r="B225" s="400">
        <f>C208</f>
        <v>2.5000000000000001E-2</v>
      </c>
      <c r="C225" s="235">
        <f>$B$135</f>
        <v>3305.612244897959</v>
      </c>
      <c r="D225" s="87">
        <f t="shared" si="17"/>
        <v>82.640306122448976</v>
      </c>
    </row>
    <row r="226" spans="1:4">
      <c r="A226" s="406" t="s">
        <v>274</v>
      </c>
      <c r="B226" s="400">
        <f>C208</f>
        <v>2.5000000000000001E-2</v>
      </c>
      <c r="C226" s="235">
        <f>C224+C225</f>
        <v>4681.8805910666179</v>
      </c>
      <c r="D226" s="87">
        <f t="shared" si="17"/>
        <v>117.04701477666545</v>
      </c>
    </row>
    <row r="227" spans="1:4">
      <c r="A227" s="406" t="s">
        <v>84</v>
      </c>
      <c r="B227" s="400">
        <f>C211</f>
        <v>2.5000000000000001E-2</v>
      </c>
      <c r="C227" s="235">
        <f>H78</f>
        <v>0.4723739093634064</v>
      </c>
      <c r="D227" s="87">
        <f t="shared" si="17"/>
        <v>1.180934773408516E-2</v>
      </c>
    </row>
    <row r="228" spans="1:4">
      <c r="A228" s="186" t="s">
        <v>249</v>
      </c>
      <c r="B228" s="402">
        <v>1</v>
      </c>
      <c r="C228" s="235">
        <f>B138</f>
        <v>248.5959</v>
      </c>
      <c r="D228" s="87">
        <f t="shared" si="17"/>
        <v>248.5959</v>
      </c>
    </row>
    <row r="229" spans="1:4">
      <c r="A229" s="186" t="s">
        <v>250</v>
      </c>
      <c r="B229" s="396">
        <v>1</v>
      </c>
      <c r="C229" s="235">
        <f>B139</f>
        <v>1861.2244897959183</v>
      </c>
      <c r="D229" s="87">
        <f t="shared" si="17"/>
        <v>1861.2244897959183</v>
      </c>
    </row>
    <row r="230" spans="1:4">
      <c r="A230" s="186" t="s">
        <v>251</v>
      </c>
      <c r="B230" s="397">
        <v>1</v>
      </c>
      <c r="C230" s="573">
        <f>C228+C229</f>
        <v>2109.8203897959183</v>
      </c>
      <c r="D230" s="87">
        <f t="shared" si="17"/>
        <v>2109.8203897959183</v>
      </c>
    </row>
    <row r="231" spans="1:4">
      <c r="A231" s="406" t="s">
        <v>238</v>
      </c>
      <c r="B231" s="397">
        <v>1</v>
      </c>
      <c r="C231" s="573">
        <f>C230/32*96</f>
        <v>6329.461169387755</v>
      </c>
      <c r="D231" s="87">
        <f t="shared" si="17"/>
        <v>6329.461169387755</v>
      </c>
    </row>
    <row r="232" spans="1:4">
      <c r="A232" s="406" t="s">
        <v>239</v>
      </c>
      <c r="B232" s="397">
        <v>1</v>
      </c>
      <c r="C232" s="573">
        <f>C230/32*136</f>
        <v>8966.7366566326527</v>
      </c>
      <c r="D232" s="87">
        <f t="shared" si="17"/>
        <v>8966.7366566326527</v>
      </c>
    </row>
    <row r="233" spans="1:4">
      <c r="A233" s="406" t="s">
        <v>248</v>
      </c>
      <c r="B233" s="396">
        <v>1</v>
      </c>
      <c r="C233" s="235">
        <f>C161*B147*32/78</f>
        <v>28.666293294868073</v>
      </c>
      <c r="D233" s="87">
        <f>C233*B233</f>
        <v>28.666293294868073</v>
      </c>
    </row>
    <row r="234" spans="1:4" ht="14.65" thickBot="1">
      <c r="A234" s="187" t="s">
        <v>86</v>
      </c>
      <c r="B234" s="353">
        <f>C203</f>
        <v>0.95</v>
      </c>
      <c r="C234" s="236">
        <f>$H$80</f>
        <v>21.5601745065001</v>
      </c>
      <c r="D234" s="88">
        <f t="shared" si="17"/>
        <v>20.482165781175095</v>
      </c>
    </row>
    <row r="236" spans="1:4" ht="14.65" thickBot="1">
      <c r="A236" s="79" t="s">
        <v>272</v>
      </c>
      <c r="D236" s="99"/>
    </row>
    <row r="237" spans="1:4" ht="14.65" thickBot="1">
      <c r="A237" s="103" t="s">
        <v>90</v>
      </c>
      <c r="B237" s="102" t="s">
        <v>18</v>
      </c>
      <c r="C237" s="17" t="s">
        <v>91</v>
      </c>
    </row>
    <row r="238" spans="1:4">
      <c r="A238" s="276" t="s">
        <v>4</v>
      </c>
      <c r="B238" s="296" t="s">
        <v>35</v>
      </c>
      <c r="C238" s="286">
        <f>C155</f>
        <v>88996</v>
      </c>
    </row>
    <row r="239" spans="1:4">
      <c r="A239" s="281" t="s">
        <v>334</v>
      </c>
      <c r="B239" s="278" t="s">
        <v>35</v>
      </c>
      <c r="C239" s="289">
        <f>C161</f>
        <v>1397.4817981248184</v>
      </c>
    </row>
    <row r="240" spans="1:4" ht="14.65" thickBot="1">
      <c r="A240" s="255" t="s">
        <v>6</v>
      </c>
      <c r="B240" s="271" t="s">
        <v>35</v>
      </c>
      <c r="C240" s="280">
        <f>C238+C239</f>
        <v>90393.48179812482</v>
      </c>
    </row>
    <row r="241" spans="1:4" hidden="1"/>
    <row r="242" spans="1:4" hidden="1">
      <c r="A242" s="79" t="s">
        <v>56</v>
      </c>
    </row>
    <row r="243" spans="1:4" hidden="1">
      <c r="A243" s="3" t="s">
        <v>90</v>
      </c>
      <c r="B243" s="14" t="s">
        <v>18</v>
      </c>
      <c r="C243" s="15" t="s">
        <v>91</v>
      </c>
    </row>
    <row r="244" spans="1:4" hidden="1">
      <c r="A244" s="308" t="s">
        <v>55</v>
      </c>
      <c r="B244" s="309" t="s">
        <v>35</v>
      </c>
      <c r="C244" s="294">
        <f>$C$22</f>
        <v>19000</v>
      </c>
    </row>
    <row r="245" spans="1:4" hidden="1">
      <c r="A245" s="282" t="s">
        <v>87</v>
      </c>
      <c r="B245" s="288" t="s">
        <v>35</v>
      </c>
      <c r="C245" s="295">
        <f>SUM($H$66:$H$80)</f>
        <v>3634.2060838950802</v>
      </c>
    </row>
    <row r="246" spans="1:4" hidden="1">
      <c r="A246" s="282" t="s">
        <v>115</v>
      </c>
      <c r="B246" s="288" t="s">
        <v>24</v>
      </c>
      <c r="C246" s="312">
        <f>$B$147</f>
        <v>0.05</v>
      </c>
    </row>
    <row r="247" spans="1:4" hidden="1">
      <c r="A247" s="282" t="s">
        <v>113</v>
      </c>
      <c r="B247" s="288" t="s">
        <v>35</v>
      </c>
      <c r="C247" s="295">
        <f>$C$161</f>
        <v>1397.4817981248184</v>
      </c>
    </row>
    <row r="248" spans="1:4" hidden="1">
      <c r="A248" s="287" t="s">
        <v>122</v>
      </c>
      <c r="B248" s="288" t="s">
        <v>35</v>
      </c>
      <c r="C248" s="289">
        <f>C247*C246</f>
        <v>69.874089906240926</v>
      </c>
      <c r="D248" s="99"/>
    </row>
    <row r="249" spans="1:4" hidden="1">
      <c r="A249" s="282" t="s">
        <v>121</v>
      </c>
      <c r="B249" s="288" t="s">
        <v>35</v>
      </c>
      <c r="C249" s="295">
        <f>SUM($D$216:$D$234)</f>
        <v>19846.135475478459</v>
      </c>
    </row>
    <row r="250" spans="1:4" hidden="1">
      <c r="A250" s="282" t="s">
        <v>57</v>
      </c>
      <c r="B250" s="288" t="s">
        <v>35</v>
      </c>
      <c r="C250" s="279">
        <f>C244-C245+C248+C249</f>
        <v>35281.803481489624</v>
      </c>
    </row>
    <row r="251" spans="1:4" hidden="1">
      <c r="A251" s="282" t="s">
        <v>6</v>
      </c>
      <c r="B251" s="288" t="s">
        <v>35</v>
      </c>
      <c r="C251" s="289">
        <f>$C$240</f>
        <v>90393.48179812482</v>
      </c>
    </row>
    <row r="252" spans="1:4" hidden="1">
      <c r="A252" s="310" t="s">
        <v>59</v>
      </c>
      <c r="B252" s="283" t="s">
        <v>24</v>
      </c>
      <c r="C252" s="300">
        <f>C250/C251</f>
        <v>0.39031357991369608</v>
      </c>
    </row>
    <row r="253" spans="1:4" hidden="1">
      <c r="A253" s="282" t="s">
        <v>32</v>
      </c>
      <c r="B253" s="288" t="s">
        <v>35</v>
      </c>
      <c r="C253" s="279">
        <f>$C$25</f>
        <v>5700</v>
      </c>
    </row>
    <row r="254" spans="1:4" hidden="1">
      <c r="A254" s="282" t="s">
        <v>33</v>
      </c>
      <c r="B254" s="288" t="s">
        <v>35</v>
      </c>
      <c r="C254" s="279">
        <f>$C$30</f>
        <v>10450</v>
      </c>
    </row>
    <row r="255" spans="1:4" hidden="1">
      <c r="A255" s="282" t="s">
        <v>34</v>
      </c>
      <c r="B255" s="288" t="s">
        <v>35</v>
      </c>
      <c r="C255" s="279" t="e">
        <f>#REF!</f>
        <v>#REF!</v>
      </c>
    </row>
    <row r="256" spans="1:4" hidden="1">
      <c r="A256" s="282" t="s">
        <v>87</v>
      </c>
      <c r="B256" s="288" t="s">
        <v>35</v>
      </c>
      <c r="C256" s="295">
        <f>SUM($H$66:$H$80)</f>
        <v>3634.2060838950802</v>
      </c>
    </row>
    <row r="257" spans="1:4" hidden="1">
      <c r="A257" s="282" t="s">
        <v>117</v>
      </c>
      <c r="B257" s="288" t="s">
        <v>24</v>
      </c>
      <c r="C257" s="312">
        <f>1-$B$147</f>
        <v>0.95</v>
      </c>
    </row>
    <row r="258" spans="1:4" hidden="1">
      <c r="A258" s="282" t="s">
        <v>113</v>
      </c>
      <c r="B258" s="288" t="s">
        <v>35</v>
      </c>
      <c r="C258" s="295">
        <f>$C$161</f>
        <v>1397.4817981248184</v>
      </c>
    </row>
    <row r="259" spans="1:4" hidden="1">
      <c r="A259" s="287" t="s">
        <v>123</v>
      </c>
      <c r="B259" s="288" t="s">
        <v>35</v>
      </c>
      <c r="C259" s="289">
        <f>C239*C257</f>
        <v>1327.6077082185775</v>
      </c>
    </row>
    <row r="260" spans="1:4" hidden="1">
      <c r="A260" s="282" t="s">
        <v>121</v>
      </c>
      <c r="B260" s="288" t="s">
        <v>35</v>
      </c>
      <c r="C260" s="295">
        <f>SUM($D$216:$D$234)</f>
        <v>19846.135475478459</v>
      </c>
    </row>
    <row r="261" spans="1:4" hidden="1">
      <c r="A261" s="282" t="s">
        <v>60</v>
      </c>
      <c r="B261" s="288" t="s">
        <v>35</v>
      </c>
      <c r="C261" s="279" t="e">
        <f>SUM(C253:C256)+C259-C260</f>
        <v>#REF!</v>
      </c>
    </row>
    <row r="262" spans="1:4" hidden="1">
      <c r="A262" s="282" t="s">
        <v>6</v>
      </c>
      <c r="B262" s="288" t="s">
        <v>35</v>
      </c>
      <c r="C262" s="289">
        <f>$C$240</f>
        <v>90393.48179812482</v>
      </c>
    </row>
    <row r="263" spans="1:4" ht="14.65" hidden="1" thickBot="1">
      <c r="A263" s="311" t="s">
        <v>61</v>
      </c>
      <c r="B263" s="284" t="s">
        <v>24</v>
      </c>
      <c r="C263" s="303" t="e">
        <f>C261/C262</f>
        <v>#REF!</v>
      </c>
    </row>
    <row r="264" spans="1:4">
      <c r="B264" s="77"/>
      <c r="C264" s="83"/>
    </row>
    <row r="265" spans="1:4" ht="14.65" thickBot="1">
      <c r="A265" s="79" t="s">
        <v>279</v>
      </c>
      <c r="B265" s="79"/>
      <c r="C265" s="79"/>
      <c r="D265" s="99"/>
    </row>
    <row r="266" spans="1:4" ht="14.65" thickBot="1">
      <c r="A266" s="3" t="s">
        <v>90</v>
      </c>
      <c r="B266" s="14" t="s">
        <v>18</v>
      </c>
      <c r="C266" s="15" t="s">
        <v>91</v>
      </c>
      <c r="D266" s="99"/>
    </row>
    <row r="267" spans="1:4">
      <c r="A267" s="308" t="s">
        <v>301</v>
      </c>
      <c r="B267" s="309" t="s">
        <v>35</v>
      </c>
      <c r="C267" s="294">
        <f>$C$22</f>
        <v>19000</v>
      </c>
      <c r="D267" s="99"/>
    </row>
    <row r="268" spans="1:4">
      <c r="A268" s="282" t="s">
        <v>329</v>
      </c>
      <c r="B268" s="288" t="s">
        <v>35</v>
      </c>
      <c r="C268" s="295">
        <f>$C$25</f>
        <v>5700</v>
      </c>
      <c r="D268" s="99"/>
    </row>
    <row r="269" spans="1:4">
      <c r="A269" s="282" t="s">
        <v>428</v>
      </c>
      <c r="B269" s="288" t="s">
        <v>35</v>
      </c>
      <c r="C269" s="295">
        <f>$C$30</f>
        <v>10450</v>
      </c>
      <c r="D269" s="99"/>
    </row>
    <row r="270" spans="1:4">
      <c r="A270" s="282" t="s">
        <v>385</v>
      </c>
      <c r="B270" s="288" t="s">
        <v>24</v>
      </c>
      <c r="C270" s="312">
        <f>$B$147</f>
        <v>0.05</v>
      </c>
      <c r="D270" s="99"/>
    </row>
    <row r="271" spans="1:4">
      <c r="A271" s="282" t="s">
        <v>334</v>
      </c>
      <c r="B271" s="288" t="s">
        <v>35</v>
      </c>
      <c r="C271" s="295">
        <f>$C$161</f>
        <v>1397.4817981248184</v>
      </c>
      <c r="D271" s="99"/>
    </row>
    <row r="272" spans="1:4">
      <c r="A272" s="282" t="s">
        <v>429</v>
      </c>
      <c r="B272" s="288" t="s">
        <v>35</v>
      </c>
      <c r="C272" s="295">
        <f>C271*C270</f>
        <v>69.874089906240926</v>
      </c>
      <c r="D272" s="99"/>
    </row>
    <row r="273" spans="1:12">
      <c r="A273" s="282" t="s">
        <v>337</v>
      </c>
      <c r="B273" s="288" t="s">
        <v>35</v>
      </c>
      <c r="C273" s="279">
        <f>C267+C268+C269+C272</f>
        <v>35219.87408990624</v>
      </c>
      <c r="D273" s="99"/>
    </row>
    <row r="274" spans="1:12">
      <c r="A274" s="282" t="s">
        <v>276</v>
      </c>
      <c r="B274" s="288" t="s">
        <v>35</v>
      </c>
      <c r="C274" s="289">
        <f>$C$240</f>
        <v>90393.48179812482</v>
      </c>
    </row>
    <row r="275" spans="1:12">
      <c r="A275" s="310" t="s">
        <v>64</v>
      </c>
      <c r="B275" s="283" t="s">
        <v>24</v>
      </c>
      <c r="C275" s="300">
        <f>C273/C274</f>
        <v>0.38962847087318264</v>
      </c>
    </row>
    <row r="276" spans="1:12">
      <c r="A276" s="282" t="s">
        <v>366</v>
      </c>
      <c r="B276" s="288" t="s">
        <v>35</v>
      </c>
      <c r="C276" s="279">
        <f>$C$24</f>
        <v>53846</v>
      </c>
    </row>
    <row r="277" spans="1:12">
      <c r="A277" s="282" t="s">
        <v>386</v>
      </c>
      <c r="B277" s="288" t="s">
        <v>24</v>
      </c>
      <c r="C277" s="312">
        <f>1-$B$147</f>
        <v>0.95</v>
      </c>
    </row>
    <row r="278" spans="1:12">
      <c r="A278" s="282" t="s">
        <v>334</v>
      </c>
      <c r="B278" s="288" t="s">
        <v>35</v>
      </c>
      <c r="C278" s="295">
        <f>$C$161</f>
        <v>1397.4817981248184</v>
      </c>
    </row>
    <row r="279" spans="1:12">
      <c r="A279" s="282" t="s">
        <v>356</v>
      </c>
      <c r="B279" s="288" t="s">
        <v>35</v>
      </c>
      <c r="C279" s="279">
        <f>C277*C278</f>
        <v>1327.6077082185775</v>
      </c>
    </row>
    <row r="280" spans="1:12">
      <c r="A280" s="282" t="s">
        <v>335</v>
      </c>
      <c r="B280" s="288" t="s">
        <v>35</v>
      </c>
      <c r="C280" s="279">
        <f>C276+C279</f>
        <v>55173.60770821858</v>
      </c>
    </row>
    <row r="281" spans="1:12">
      <c r="A281" s="282" t="s">
        <v>276</v>
      </c>
      <c r="B281" s="288" t="s">
        <v>35</v>
      </c>
      <c r="C281" s="289">
        <f>$C$240</f>
        <v>90393.48179812482</v>
      </c>
    </row>
    <row r="282" spans="1:12" ht="14.65" thickBot="1">
      <c r="A282" s="311" t="s">
        <v>66</v>
      </c>
      <c r="B282" s="284" t="s">
        <v>24</v>
      </c>
      <c r="C282" s="303">
        <f>C280/C281</f>
        <v>0.61037152912681736</v>
      </c>
    </row>
    <row r="283" spans="1:12">
      <c r="A283" s="83"/>
      <c r="B283" s="77"/>
      <c r="C283" s="96"/>
    </row>
    <row r="284" spans="1:12" ht="14.65" thickBot="1">
      <c r="A284" s="79" t="s">
        <v>124</v>
      </c>
    </row>
    <row r="285" spans="1:12" ht="14.65" thickBot="1">
      <c r="A285" s="419"/>
      <c r="B285" s="1019" t="s">
        <v>262</v>
      </c>
      <c r="C285" s="1021"/>
      <c r="D285" s="1021"/>
      <c r="E285" s="1021"/>
      <c r="F285" s="1020"/>
      <c r="G285" s="1062" t="s">
        <v>263</v>
      </c>
      <c r="H285" s="1063"/>
      <c r="I285" s="1063"/>
      <c r="J285" s="1063"/>
      <c r="K285" s="1063"/>
      <c r="L285" s="1066"/>
    </row>
    <row r="286" spans="1:12">
      <c r="A286" s="452"/>
      <c r="B286" s="1024" t="s">
        <v>275</v>
      </c>
      <c r="C286" s="1041" t="s">
        <v>243</v>
      </c>
      <c r="D286" s="1041" t="s">
        <v>256</v>
      </c>
      <c r="E286" s="1041" t="s">
        <v>337</v>
      </c>
      <c r="F286" s="1041" t="s">
        <v>276</v>
      </c>
      <c r="G286" s="1032" t="s">
        <v>269</v>
      </c>
      <c r="H286" s="1054"/>
      <c r="I286" s="1022" t="s">
        <v>277</v>
      </c>
      <c r="J286" s="1032"/>
      <c r="K286" s="1032"/>
      <c r="L286" s="1023"/>
    </row>
    <row r="287" spans="1:12">
      <c r="A287" s="219" t="s">
        <v>93</v>
      </c>
      <c r="B287" s="1067"/>
      <c r="C287" s="1042"/>
      <c r="D287" s="1042"/>
      <c r="E287" s="1042"/>
      <c r="F287" s="1042"/>
      <c r="G287" s="1034"/>
      <c r="H287" s="1046"/>
      <c r="I287" s="1033" t="s">
        <v>243</v>
      </c>
      <c r="J287" s="1034"/>
      <c r="K287" s="1034" t="s">
        <v>256</v>
      </c>
      <c r="L287" s="1035"/>
    </row>
    <row r="288" spans="1:12" ht="14.65" thickBot="1">
      <c r="A288" s="220" t="s">
        <v>18</v>
      </c>
      <c r="B288" s="403" t="s">
        <v>35</v>
      </c>
      <c r="C288" s="154" t="s">
        <v>35</v>
      </c>
      <c r="D288" s="154" t="s">
        <v>35</v>
      </c>
      <c r="E288" s="154" t="s">
        <v>35</v>
      </c>
      <c r="F288" s="154" t="s">
        <v>35</v>
      </c>
      <c r="G288" s="154" t="s">
        <v>257</v>
      </c>
      <c r="H288" s="423" t="s">
        <v>237</v>
      </c>
      <c r="I288" s="403" t="s">
        <v>70</v>
      </c>
      <c r="J288" s="154" t="s">
        <v>237</v>
      </c>
      <c r="K288" s="154" t="s">
        <v>70</v>
      </c>
      <c r="L288" s="155" t="s">
        <v>237</v>
      </c>
    </row>
    <row r="289" spans="1:12">
      <c r="A289" s="222" t="s">
        <v>72</v>
      </c>
      <c r="B289" s="159">
        <f>B123</f>
        <v>1180.848</v>
      </c>
      <c r="C289" s="429">
        <f>B289-D289</f>
        <v>749.94286897593634</v>
      </c>
      <c r="D289" s="428">
        <f>D123+D216</f>
        <v>430.90513102406356</v>
      </c>
      <c r="E289" s="160">
        <f>$C$273</f>
        <v>35219.87408990624</v>
      </c>
      <c r="F289" s="429">
        <f>$C$240</f>
        <v>90393.48179812482</v>
      </c>
      <c r="G289" s="404">
        <f t="shared" ref="G289:G310" si="18">B289/E289*1000000</f>
        <v>33527.888174319807</v>
      </c>
      <c r="H289" s="560">
        <f>G289/1000000</f>
        <v>3.3527888174319807E-2</v>
      </c>
      <c r="I289" s="557">
        <f t="shared" ref="I289:I310" si="19">C289/F289*1000000</f>
        <v>8296.4264021910221</v>
      </c>
      <c r="J289" s="430">
        <f>I289/1000000</f>
        <v>8.2964264021910226E-3</v>
      </c>
      <c r="K289" s="431">
        <f t="shared" ref="K289:K310" si="20">D289/F289*1000000</f>
        <v>4766.9933987762661</v>
      </c>
      <c r="L289" s="433">
        <f>K289/1000000</f>
        <v>4.7669933987762661E-3</v>
      </c>
    </row>
    <row r="290" spans="1:12">
      <c r="A290" s="149" t="s">
        <v>73</v>
      </c>
      <c r="B290" s="161">
        <f>B124</f>
        <v>0.41320000000000001</v>
      </c>
      <c r="C290" s="424">
        <f t="shared" ref="C290:C310" si="21">B290-D290</f>
        <v>3.3119321292839343E-2</v>
      </c>
      <c r="D290" s="235">
        <f>D124+D217</f>
        <v>0.38008067870716067</v>
      </c>
      <c r="E290" s="119">
        <f t="shared" ref="E290:E310" si="22">$C$273</f>
        <v>35219.87408990624</v>
      </c>
      <c r="F290" s="424">
        <f t="shared" ref="F290:F310" si="23">$C$240</f>
        <v>90393.48179812482</v>
      </c>
      <c r="G290" s="395">
        <f t="shared" si="18"/>
        <v>11.73201241279906</v>
      </c>
      <c r="H290" s="561">
        <f t="shared" ref="H290:H310" si="24">G290/1000000</f>
        <v>1.1732012412799061E-5</v>
      </c>
      <c r="I290" s="558">
        <f t="shared" si="19"/>
        <v>0.36639059182170358</v>
      </c>
      <c r="J290" s="425">
        <f t="shared" ref="J290:J310" si="25">I290/1000000</f>
        <v>3.6639059182170361E-7</v>
      </c>
      <c r="K290" s="426">
        <f t="shared" si="20"/>
        <v>4.2047354648423916</v>
      </c>
      <c r="L290" s="434">
        <f t="shared" ref="L290:L310" si="26">K290/1000000</f>
        <v>4.2047354648423917E-6</v>
      </c>
    </row>
    <row r="291" spans="1:12">
      <c r="A291" s="149" t="s">
        <v>74</v>
      </c>
      <c r="B291" s="161">
        <f t="shared" ref="B291:B298" si="27">B125</f>
        <v>2688.1723999999999</v>
      </c>
      <c r="C291" s="424">
        <f t="shared" si="21"/>
        <v>425.3692763447084</v>
      </c>
      <c r="D291" s="235">
        <f>D125</f>
        <v>2262.8031236552915</v>
      </c>
      <c r="E291" s="119">
        <f t="shared" si="22"/>
        <v>35219.87408990624</v>
      </c>
      <c r="F291" s="424">
        <f t="shared" si="23"/>
        <v>90393.48179812482</v>
      </c>
      <c r="G291" s="395">
        <f t="shared" si="18"/>
        <v>76325.440378857296</v>
      </c>
      <c r="H291" s="561">
        <f t="shared" si="24"/>
        <v>7.6325440378857301E-2</v>
      </c>
      <c r="I291" s="558">
        <f t="shared" si="19"/>
        <v>4705.7516524773637</v>
      </c>
      <c r="J291" s="425">
        <f t="shared" si="25"/>
        <v>4.705751652477364E-3</v>
      </c>
      <c r="K291" s="426">
        <f t="shared" si="20"/>
        <v>25032.812971059077</v>
      </c>
      <c r="L291" s="434">
        <f t="shared" si="26"/>
        <v>2.5032812971059075E-2</v>
      </c>
    </row>
    <row r="292" spans="1:12">
      <c r="A292" s="149" t="s">
        <v>75</v>
      </c>
      <c r="B292" s="161">
        <f t="shared" si="27"/>
        <v>5.6000000000000001E-2</v>
      </c>
      <c r="C292" s="424">
        <f t="shared" si="21"/>
        <v>1.3840407025637685E-2</v>
      </c>
      <c r="D292" s="235">
        <f>D126+D218</f>
        <v>4.2159592974362316E-2</v>
      </c>
      <c r="E292" s="119">
        <f t="shared" si="22"/>
        <v>35219.87408990624</v>
      </c>
      <c r="F292" s="424">
        <f t="shared" si="23"/>
        <v>90393.48179812482</v>
      </c>
      <c r="G292" s="395">
        <f t="shared" si="18"/>
        <v>1.5900113628188466</v>
      </c>
      <c r="H292" s="561">
        <f t="shared" si="24"/>
        <v>1.5900113628188466E-6</v>
      </c>
      <c r="I292" s="558">
        <f t="shared" si="19"/>
        <v>0.15311288768085488</v>
      </c>
      <c r="J292" s="425">
        <f t="shared" si="25"/>
        <v>1.5311288768085487E-7</v>
      </c>
      <c r="K292" s="426">
        <f t="shared" si="20"/>
        <v>0.46640080828523744</v>
      </c>
      <c r="L292" s="434">
        <f t="shared" si="26"/>
        <v>4.6640080828523746E-7</v>
      </c>
    </row>
    <row r="293" spans="1:12">
      <c r="A293" s="149" t="s">
        <v>76</v>
      </c>
      <c r="B293" s="161">
        <f t="shared" si="27"/>
        <v>2.0093000000000001</v>
      </c>
      <c r="C293" s="424">
        <f t="shared" si="21"/>
        <v>0.81088407251271644</v>
      </c>
      <c r="D293" s="235">
        <f>D127</f>
        <v>1.1984159274872836</v>
      </c>
      <c r="E293" s="119">
        <f t="shared" si="22"/>
        <v>35219.87408990624</v>
      </c>
      <c r="F293" s="424">
        <f t="shared" si="23"/>
        <v>90393.48179812482</v>
      </c>
      <c r="G293" s="395">
        <f t="shared" si="18"/>
        <v>57.050175559141223</v>
      </c>
      <c r="H293" s="561">
        <f t="shared" si="24"/>
        <v>5.7050175559141224E-5</v>
      </c>
      <c r="I293" s="558">
        <f t="shared" si="19"/>
        <v>8.9706033707569599</v>
      </c>
      <c r="J293" s="425">
        <f t="shared" si="25"/>
        <v>8.9706033707569598E-6</v>
      </c>
      <c r="K293" s="426">
        <f t="shared" si="20"/>
        <v>13.25776929539785</v>
      </c>
      <c r="L293" s="434">
        <f t="shared" si="26"/>
        <v>1.325776929539785E-5</v>
      </c>
    </row>
    <row r="294" spans="1:12">
      <c r="A294" s="150" t="s">
        <v>77</v>
      </c>
      <c r="B294" s="161">
        <f t="shared" si="27"/>
        <v>17.672000000000001</v>
      </c>
      <c r="C294" s="424">
        <f t="shared" si="21"/>
        <v>4.1285858641199269E-2</v>
      </c>
      <c r="D294" s="235">
        <f>D128+D219</f>
        <v>17.630714141358801</v>
      </c>
      <c r="E294" s="119">
        <f t="shared" si="22"/>
        <v>35219.87408990624</v>
      </c>
      <c r="F294" s="424">
        <f t="shared" si="23"/>
        <v>90393.48179812482</v>
      </c>
      <c r="G294" s="395">
        <f t="shared" si="18"/>
        <v>501.76215720954747</v>
      </c>
      <c r="H294" s="561">
        <f t="shared" si="24"/>
        <v>5.0176215720954746E-4</v>
      </c>
      <c r="I294" s="558">
        <f t="shared" si="19"/>
        <v>0.45673490853469623</v>
      </c>
      <c r="J294" s="425">
        <f t="shared" si="25"/>
        <v>4.5673490853469622E-7</v>
      </c>
      <c r="K294" s="426">
        <f t="shared" si="20"/>
        <v>195.04408714705073</v>
      </c>
      <c r="L294" s="434">
        <f t="shared" si="26"/>
        <v>1.9504408714705074E-4</v>
      </c>
    </row>
    <row r="295" spans="1:12">
      <c r="A295" s="150" t="s">
        <v>78</v>
      </c>
      <c r="B295" s="161">
        <f t="shared" si="27"/>
        <v>1221.1289999999999</v>
      </c>
      <c r="C295" s="424">
        <f t="shared" si="21"/>
        <v>604.6466249739716</v>
      </c>
      <c r="D295" s="235">
        <f>D129+D220</f>
        <v>616.48237502602831</v>
      </c>
      <c r="E295" s="119">
        <f t="shared" si="22"/>
        <v>35219.87408990624</v>
      </c>
      <c r="F295" s="424">
        <f t="shared" si="23"/>
        <v>90393.48179812482</v>
      </c>
      <c r="G295" s="395">
        <f t="shared" si="18"/>
        <v>34671.589026207417</v>
      </c>
      <c r="H295" s="561">
        <f t="shared" si="24"/>
        <v>3.4671589026207414E-2</v>
      </c>
      <c r="I295" s="558">
        <f t="shared" si="19"/>
        <v>6689.0511676973019</v>
      </c>
      <c r="J295" s="425">
        <f t="shared" si="25"/>
        <v>6.6890511676973019E-3</v>
      </c>
      <c r="K295" s="426">
        <f t="shared" si="20"/>
        <v>6819.9870473273113</v>
      </c>
      <c r="L295" s="434">
        <f t="shared" si="26"/>
        <v>6.8199870473273109E-3</v>
      </c>
    </row>
    <row r="296" spans="1:12">
      <c r="A296" s="150" t="s">
        <v>79</v>
      </c>
      <c r="B296" s="161">
        <f t="shared" si="27"/>
        <v>167.69670000000002</v>
      </c>
      <c r="C296" s="424">
        <f t="shared" si="21"/>
        <v>124.40301527266575</v>
      </c>
      <c r="D296" s="235">
        <f>D130+D221</f>
        <v>43.293684727334266</v>
      </c>
      <c r="E296" s="119">
        <f t="shared" si="22"/>
        <v>35219.87408990624</v>
      </c>
      <c r="F296" s="424">
        <f t="shared" si="23"/>
        <v>90393.48179812482</v>
      </c>
      <c r="G296" s="395">
        <f t="shared" si="18"/>
        <v>4761.4224733432729</v>
      </c>
      <c r="H296" s="561">
        <f t="shared" si="24"/>
        <v>4.761422473343273E-3</v>
      </c>
      <c r="I296" s="558">
        <f t="shared" si="19"/>
        <v>1376.2387818017035</v>
      </c>
      <c r="J296" s="425">
        <f t="shared" si="25"/>
        <v>1.3762387818017034E-3</v>
      </c>
      <c r="K296" s="426">
        <f t="shared" si="20"/>
        <v>478.94697566824317</v>
      </c>
      <c r="L296" s="434">
        <f t="shared" si="26"/>
        <v>4.7894697566824314E-4</v>
      </c>
    </row>
    <row r="297" spans="1:12">
      <c r="A297" s="150" t="s">
        <v>80</v>
      </c>
      <c r="B297" s="161">
        <f t="shared" si="27"/>
        <v>243.74270000000001</v>
      </c>
      <c r="C297" s="424">
        <f t="shared" si="21"/>
        <v>183.84549225215687</v>
      </c>
      <c r="D297" s="235">
        <f>D131+D222</f>
        <v>59.897207747843126</v>
      </c>
      <c r="E297" s="119">
        <f t="shared" si="22"/>
        <v>35219.87408990624</v>
      </c>
      <c r="F297" s="424">
        <f t="shared" si="23"/>
        <v>90393.48179812482</v>
      </c>
      <c r="G297" s="395">
        <f t="shared" si="18"/>
        <v>6920.6011179311663</v>
      </c>
      <c r="H297" s="561">
        <f t="shared" si="24"/>
        <v>6.9206011179311659E-3</v>
      </c>
      <c r="I297" s="558">
        <f t="shared" si="19"/>
        <v>2033.8357212828446</v>
      </c>
      <c r="J297" s="425">
        <f t="shared" si="25"/>
        <v>2.0338357212828445E-3</v>
      </c>
      <c r="K297" s="426">
        <f t="shared" si="20"/>
        <v>662.6275098199136</v>
      </c>
      <c r="L297" s="434">
        <f t="shared" si="26"/>
        <v>6.6262750981991355E-4</v>
      </c>
    </row>
    <row r="298" spans="1:12">
      <c r="A298" s="150" t="s">
        <v>81</v>
      </c>
      <c r="B298" s="161">
        <f t="shared" si="27"/>
        <v>120.62270000000001</v>
      </c>
      <c r="C298" s="424">
        <f t="shared" si="21"/>
        <v>98.977330136495794</v>
      </c>
      <c r="D298" s="235">
        <f>D132</f>
        <v>21.645369863504222</v>
      </c>
      <c r="E298" s="119">
        <f t="shared" si="22"/>
        <v>35219.87408990624</v>
      </c>
      <c r="F298" s="424">
        <f t="shared" si="23"/>
        <v>90393.48179812482</v>
      </c>
      <c r="G298" s="395">
        <f t="shared" si="18"/>
        <v>3424.8475645337298</v>
      </c>
      <c r="H298" s="561">
        <f t="shared" si="24"/>
        <v>3.4248475645337301E-3</v>
      </c>
      <c r="I298" s="558">
        <f t="shared" si="19"/>
        <v>1094.9609216020822</v>
      </c>
      <c r="J298" s="425">
        <f t="shared" si="25"/>
        <v>1.0949609216020823E-3</v>
      </c>
      <c r="K298" s="426">
        <f t="shared" si="20"/>
        <v>239.45719794093878</v>
      </c>
      <c r="L298" s="434">
        <f t="shared" si="26"/>
        <v>2.3945719794093878E-4</v>
      </c>
    </row>
    <row r="299" spans="1:12">
      <c r="A299" s="150" t="s">
        <v>82</v>
      </c>
      <c r="B299" s="161">
        <f t="shared" ref="B299:B305" si="28">B133</f>
        <v>1.8331999999999999</v>
      </c>
      <c r="C299" s="424">
        <f t="shared" si="21"/>
        <v>0.77887980604109552</v>
      </c>
      <c r="D299" s="235">
        <f>D133+D223</f>
        <v>1.0543201939589044</v>
      </c>
      <c r="E299" s="119">
        <f t="shared" si="22"/>
        <v>35219.87408990624</v>
      </c>
      <c r="F299" s="424">
        <f t="shared" si="23"/>
        <v>90393.48179812482</v>
      </c>
      <c r="G299" s="395">
        <f t="shared" si="18"/>
        <v>52.050157684276947</v>
      </c>
      <c r="H299" s="561">
        <f t="shared" si="24"/>
        <v>5.205015768427695E-5</v>
      </c>
      <c r="I299" s="558">
        <f t="shared" si="19"/>
        <v>8.6165483456048619</v>
      </c>
      <c r="J299" s="425">
        <f t="shared" si="25"/>
        <v>8.6165483456048628E-6</v>
      </c>
      <c r="K299" s="426">
        <f t="shared" si="20"/>
        <v>11.663675001628004</v>
      </c>
      <c r="L299" s="434">
        <f t="shared" si="26"/>
        <v>1.1663675001628004E-5</v>
      </c>
    </row>
    <row r="300" spans="1:12">
      <c r="A300" s="150" t="s">
        <v>213</v>
      </c>
      <c r="B300" s="161">
        <f t="shared" si="28"/>
        <v>1571.3850000000002</v>
      </c>
      <c r="C300" s="424">
        <f t="shared" si="21"/>
        <v>1341.8616375144429</v>
      </c>
      <c r="D300" s="235">
        <f>D134+D224</f>
        <v>229.52336248555733</v>
      </c>
      <c r="E300" s="119">
        <f t="shared" si="22"/>
        <v>35219.87408990624</v>
      </c>
      <c r="F300" s="424">
        <f t="shared" si="23"/>
        <v>90393.48179812482</v>
      </c>
      <c r="G300" s="395">
        <f t="shared" si="18"/>
        <v>44616.428667198095</v>
      </c>
      <c r="H300" s="561">
        <f t="shared" si="24"/>
        <v>4.4616428667198095E-2</v>
      </c>
      <c r="I300" s="558">
        <f t="shared" si="19"/>
        <v>14844.672545208668</v>
      </c>
      <c r="J300" s="425">
        <f t="shared" si="25"/>
        <v>1.4844672545208668E-2</v>
      </c>
      <c r="K300" s="426">
        <f t="shared" si="20"/>
        <v>2539.1583322141564</v>
      </c>
      <c r="L300" s="434">
        <f t="shared" si="26"/>
        <v>2.5391583322141565E-3</v>
      </c>
    </row>
    <row r="301" spans="1:12">
      <c r="A301" s="150" t="s">
        <v>96</v>
      </c>
      <c r="B301" s="161">
        <f t="shared" si="28"/>
        <v>3305.612244897959</v>
      </c>
      <c r="C301" s="424">
        <f t="shared" si="21"/>
        <v>3222.9719387755099</v>
      </c>
      <c r="D301" s="235">
        <f>D135+D225</f>
        <v>82.640306122448976</v>
      </c>
      <c r="E301" s="119">
        <f t="shared" si="22"/>
        <v>35219.87408990624</v>
      </c>
      <c r="F301" s="424">
        <f t="shared" si="23"/>
        <v>90393.48179812482</v>
      </c>
      <c r="G301" s="395">
        <f t="shared" si="18"/>
        <v>93856.446972515536</v>
      </c>
      <c r="H301" s="561">
        <f t="shared" si="24"/>
        <v>9.3856446972515536E-2</v>
      </c>
      <c r="I301" s="558">
        <f t="shared" si="19"/>
        <v>35654.915317603896</v>
      </c>
      <c r="J301" s="425">
        <f t="shared" si="25"/>
        <v>3.5654915317603897E-2</v>
      </c>
      <c r="K301" s="426">
        <f t="shared" si="20"/>
        <v>914.22859788727953</v>
      </c>
      <c r="L301" s="434">
        <f t="shared" si="26"/>
        <v>9.1422859788727951E-4</v>
      </c>
    </row>
    <row r="302" spans="1:12">
      <c r="A302" s="150" t="s">
        <v>97</v>
      </c>
      <c r="B302" s="161">
        <f t="shared" si="28"/>
        <v>4876.9972448979588</v>
      </c>
      <c r="C302" s="424">
        <f t="shared" si="21"/>
        <v>4564.8335762899524</v>
      </c>
      <c r="D302" s="235">
        <f>D136+D226</f>
        <v>312.16366860800628</v>
      </c>
      <c r="E302" s="119">
        <f t="shared" si="22"/>
        <v>35219.87408990624</v>
      </c>
      <c r="F302" s="424">
        <f t="shared" si="23"/>
        <v>90393.48179812482</v>
      </c>
      <c r="G302" s="395">
        <f t="shared" si="18"/>
        <v>138472.87563971363</v>
      </c>
      <c r="H302" s="561">
        <f t="shared" si="24"/>
        <v>0.13847287563971364</v>
      </c>
      <c r="I302" s="558">
        <f t="shared" si="19"/>
        <v>50499.587862812565</v>
      </c>
      <c r="J302" s="425">
        <f t="shared" si="25"/>
        <v>5.0499587862812563E-2</v>
      </c>
      <c r="K302" s="426">
        <f t="shared" si="20"/>
        <v>3453.3869301014356</v>
      </c>
      <c r="L302" s="434">
        <f t="shared" si="26"/>
        <v>3.4533869301014357E-3</v>
      </c>
    </row>
    <row r="303" spans="1:12">
      <c r="A303" s="150" t="s">
        <v>84</v>
      </c>
      <c r="B303" s="161">
        <f t="shared" si="28"/>
        <v>2.0493999999999999</v>
      </c>
      <c r="C303" s="424">
        <f t="shared" si="21"/>
        <v>0.47237390936340629</v>
      </c>
      <c r="D303" s="235">
        <f>D137</f>
        <v>1.5770260906365936</v>
      </c>
      <c r="E303" s="119">
        <f t="shared" si="22"/>
        <v>35219.87408990624</v>
      </c>
      <c r="F303" s="424">
        <f t="shared" si="23"/>
        <v>90393.48179812482</v>
      </c>
      <c r="G303" s="395">
        <f t="shared" si="18"/>
        <v>58.188737267159709</v>
      </c>
      <c r="H303" s="561">
        <f t="shared" si="24"/>
        <v>5.8188737267159709E-5</v>
      </c>
      <c r="I303" s="558">
        <f t="shared" si="19"/>
        <v>5.2257519012084952</v>
      </c>
      <c r="J303" s="425">
        <f t="shared" si="25"/>
        <v>5.2257519012084954E-6</v>
      </c>
      <c r="K303" s="426">
        <f t="shared" si="20"/>
        <v>17.446236822236319</v>
      </c>
      <c r="L303" s="434">
        <f t="shared" si="26"/>
        <v>1.744623682223632E-5</v>
      </c>
    </row>
    <row r="304" spans="1:12">
      <c r="A304" s="150" t="s">
        <v>249</v>
      </c>
      <c r="B304" s="161">
        <f t="shared" si="28"/>
        <v>248.5959</v>
      </c>
      <c r="C304" s="424">
        <f t="shared" si="21"/>
        <v>0</v>
      </c>
      <c r="D304" s="235">
        <f t="shared" ref="D304:D309" si="29">D228</f>
        <v>248.5959</v>
      </c>
      <c r="E304" s="119">
        <f t="shared" si="22"/>
        <v>35219.87408990624</v>
      </c>
      <c r="F304" s="424">
        <f t="shared" si="23"/>
        <v>90393.48179812482</v>
      </c>
      <c r="G304" s="395">
        <f t="shared" si="18"/>
        <v>7058.3983169674584</v>
      </c>
      <c r="H304" s="561">
        <f t="shared" si="24"/>
        <v>7.0583983169674588E-3</v>
      </c>
      <c r="I304" s="558">
        <f t="shared" si="19"/>
        <v>0</v>
      </c>
      <c r="J304" s="425">
        <f t="shared" si="25"/>
        <v>0</v>
      </c>
      <c r="K304" s="426">
        <f t="shared" si="20"/>
        <v>2750.1529430538767</v>
      </c>
      <c r="L304" s="434">
        <f t="shared" si="26"/>
        <v>2.7501529430538768E-3</v>
      </c>
    </row>
    <row r="305" spans="1:12">
      <c r="A305" s="150" t="s">
        <v>250</v>
      </c>
      <c r="B305" s="161">
        <f t="shared" si="28"/>
        <v>1861.2244897959183</v>
      </c>
      <c r="C305" s="424">
        <f t="shared" si="21"/>
        <v>0</v>
      </c>
      <c r="D305" s="235">
        <f t="shared" si="29"/>
        <v>1861.2244897959183</v>
      </c>
      <c r="E305" s="119">
        <f t="shared" si="22"/>
        <v>35219.87408990624</v>
      </c>
      <c r="F305" s="424">
        <f t="shared" si="23"/>
        <v>90393.48179812482</v>
      </c>
      <c r="G305" s="395">
        <f t="shared" si="18"/>
        <v>52845.8587059325</v>
      </c>
      <c r="H305" s="561">
        <f t="shared" si="24"/>
        <v>5.2845858705932502E-2</v>
      </c>
      <c r="I305" s="558">
        <f t="shared" si="19"/>
        <v>0</v>
      </c>
      <c r="J305" s="425">
        <f t="shared" si="25"/>
        <v>0</v>
      </c>
      <c r="K305" s="426">
        <f t="shared" si="20"/>
        <v>20590.251119572749</v>
      </c>
      <c r="L305" s="434">
        <f t="shared" si="26"/>
        <v>2.0590251119572748E-2</v>
      </c>
    </row>
    <row r="306" spans="1:12">
      <c r="A306" s="150" t="s">
        <v>251</v>
      </c>
      <c r="B306" s="161">
        <f>B304+B305</f>
        <v>2109.8203897959183</v>
      </c>
      <c r="C306" s="424">
        <f t="shared" si="21"/>
        <v>0</v>
      </c>
      <c r="D306" s="235">
        <f t="shared" si="29"/>
        <v>2109.8203897959183</v>
      </c>
      <c r="E306" s="119">
        <f t="shared" si="22"/>
        <v>35219.87408990624</v>
      </c>
      <c r="F306" s="424">
        <f t="shared" si="23"/>
        <v>90393.48179812482</v>
      </c>
      <c r="G306" s="395">
        <f t="shared" si="18"/>
        <v>59904.257022899961</v>
      </c>
      <c r="H306" s="561">
        <f t="shared" si="24"/>
        <v>5.9904257022899962E-2</v>
      </c>
      <c r="I306" s="558">
        <f t="shared" si="19"/>
        <v>0</v>
      </c>
      <c r="J306" s="425">
        <f t="shared" si="25"/>
        <v>0</v>
      </c>
      <c r="K306" s="426">
        <f t="shared" si="20"/>
        <v>23340.404062626625</v>
      </c>
      <c r="L306" s="434">
        <f t="shared" si="26"/>
        <v>2.3340404062626625E-2</v>
      </c>
    </row>
    <row r="307" spans="1:12">
      <c r="A307" s="151" t="s">
        <v>238</v>
      </c>
      <c r="B307" s="161">
        <f>B306/32*96</f>
        <v>6329.461169387755</v>
      </c>
      <c r="C307" s="424">
        <f t="shared" si="21"/>
        <v>0</v>
      </c>
      <c r="D307" s="235">
        <f t="shared" si="29"/>
        <v>6329.461169387755</v>
      </c>
      <c r="E307" s="119">
        <f t="shared" si="22"/>
        <v>35219.87408990624</v>
      </c>
      <c r="F307" s="424">
        <f t="shared" si="23"/>
        <v>90393.48179812482</v>
      </c>
      <c r="G307" s="395">
        <f t="shared" si="18"/>
        <v>179712.77106869989</v>
      </c>
      <c r="H307" s="561">
        <f t="shared" si="24"/>
        <v>0.1797127710686999</v>
      </c>
      <c r="I307" s="558">
        <f t="shared" si="19"/>
        <v>0</v>
      </c>
      <c r="J307" s="425">
        <f t="shared" si="25"/>
        <v>0</v>
      </c>
      <c r="K307" s="426">
        <f t="shared" si="20"/>
        <v>70021.212187879879</v>
      </c>
      <c r="L307" s="434">
        <f t="shared" si="26"/>
        <v>7.0021212187879878E-2</v>
      </c>
    </row>
    <row r="308" spans="1:12">
      <c r="A308" s="151" t="s">
        <v>239</v>
      </c>
      <c r="B308" s="161">
        <f>B306/32*136</f>
        <v>8966.7366566326527</v>
      </c>
      <c r="C308" s="424">
        <f t="shared" si="21"/>
        <v>0</v>
      </c>
      <c r="D308" s="235">
        <f t="shared" si="29"/>
        <v>8966.7366566326527</v>
      </c>
      <c r="E308" s="119">
        <f t="shared" si="22"/>
        <v>35219.87408990624</v>
      </c>
      <c r="F308" s="424">
        <f t="shared" si="23"/>
        <v>90393.48179812482</v>
      </c>
      <c r="G308" s="395">
        <f t="shared" si="18"/>
        <v>254593.09234732485</v>
      </c>
      <c r="H308" s="561">
        <f t="shared" si="24"/>
        <v>0.25459309234732486</v>
      </c>
      <c r="I308" s="558">
        <f t="shared" si="19"/>
        <v>0</v>
      </c>
      <c r="J308" s="425">
        <f t="shared" si="25"/>
        <v>0</v>
      </c>
      <c r="K308" s="426">
        <f t="shared" si="20"/>
        <v>99196.717266163148</v>
      </c>
      <c r="L308" s="434">
        <f t="shared" si="26"/>
        <v>9.9196717266163151E-2</v>
      </c>
    </row>
    <row r="309" spans="1:12">
      <c r="A309" s="151" t="s">
        <v>248</v>
      </c>
      <c r="B309" s="161">
        <f>C233</f>
        <v>28.666293294868073</v>
      </c>
      <c r="C309" s="424">
        <f>B309-D309</f>
        <v>0</v>
      </c>
      <c r="D309" s="235">
        <f t="shared" si="29"/>
        <v>28.666293294868073</v>
      </c>
      <c r="E309" s="119">
        <f t="shared" si="22"/>
        <v>35219.87408990624</v>
      </c>
      <c r="F309" s="424">
        <f t="shared" si="23"/>
        <v>90393.48179812482</v>
      </c>
      <c r="G309" s="395">
        <f t="shared" si="18"/>
        <v>813.92378694174897</v>
      </c>
      <c r="H309" s="561">
        <f>G309/1000000</f>
        <v>8.1392378694174899E-4</v>
      </c>
      <c r="I309" s="558">
        <f t="shared" si="19"/>
        <v>0</v>
      </c>
      <c r="J309" s="425">
        <f>I309/1000000</f>
        <v>0</v>
      </c>
      <c r="K309" s="426">
        <f t="shared" si="20"/>
        <v>317.12788051342375</v>
      </c>
      <c r="L309" s="434">
        <f>K309/1000000</f>
        <v>3.1712788051342373E-4</v>
      </c>
    </row>
    <row r="310" spans="1:12" ht="14.65" thickBot="1">
      <c r="A310" s="152" t="s">
        <v>86</v>
      </c>
      <c r="B310" s="162">
        <f>B143</f>
        <v>49.236000000000004</v>
      </c>
      <c r="C310" s="435">
        <f t="shared" si="21"/>
        <v>1.0780087253250059</v>
      </c>
      <c r="D310" s="236">
        <f>D143+D234</f>
        <v>48.157991274674998</v>
      </c>
      <c r="E310" s="135">
        <f t="shared" si="22"/>
        <v>35219.87408990624</v>
      </c>
      <c r="F310" s="435">
        <f t="shared" si="23"/>
        <v>90393.48179812482</v>
      </c>
      <c r="G310" s="405">
        <f t="shared" si="18"/>
        <v>1397.9607046383701</v>
      </c>
      <c r="H310" s="562">
        <f t="shared" si="24"/>
        <v>1.3979607046383702E-3</v>
      </c>
      <c r="I310" s="559">
        <f t="shared" si="19"/>
        <v>11.925735173389116</v>
      </c>
      <c r="J310" s="436">
        <f t="shared" si="25"/>
        <v>1.1925735173389116E-5</v>
      </c>
      <c r="K310" s="437">
        <f t="shared" si="20"/>
        <v>532.75955651565596</v>
      </c>
      <c r="L310" s="439">
        <f t="shared" si="26"/>
        <v>5.3275955651565599E-4</v>
      </c>
    </row>
    <row r="312" spans="1:12">
      <c r="A312" s="1" t="s">
        <v>125</v>
      </c>
      <c r="B312" s="1"/>
      <c r="C312" s="1"/>
    </row>
    <row r="313" spans="1:12" ht="14.65" thickBot="1">
      <c r="A313" s="79" t="s">
        <v>361</v>
      </c>
    </row>
    <row r="314" spans="1:12" ht="14.65" thickBot="1">
      <c r="A314" s="453" t="s">
        <v>26</v>
      </c>
      <c r="B314" s="454" t="s">
        <v>27</v>
      </c>
      <c r="C314" s="455" t="s">
        <v>28</v>
      </c>
    </row>
    <row r="315" spans="1:12" ht="14.65" thickBot="1">
      <c r="A315" s="456">
        <v>0.62634496250407568</v>
      </c>
      <c r="B315" s="457">
        <v>0.37365503749592438</v>
      </c>
      <c r="C315" s="458">
        <v>0.4094383112944317</v>
      </c>
    </row>
    <row r="317" spans="1:12" ht="14.65" thickBot="1">
      <c r="A317" s="79" t="s">
        <v>287</v>
      </c>
    </row>
    <row r="318" spans="1:12" ht="14.65" thickBot="1">
      <c r="A318" s="103" t="s">
        <v>53</v>
      </c>
      <c r="B318" s="102" t="s">
        <v>18</v>
      </c>
      <c r="C318" s="17" t="s">
        <v>106</v>
      </c>
    </row>
    <row r="319" spans="1:12">
      <c r="A319" s="243" t="s">
        <v>276</v>
      </c>
      <c r="B319" s="269" t="s">
        <v>35</v>
      </c>
      <c r="C319" s="386">
        <f>C240</f>
        <v>90393.48179812482</v>
      </c>
    </row>
    <row r="320" spans="1:12">
      <c r="A320" s="415" t="s">
        <v>338</v>
      </c>
      <c r="B320" s="37" t="s">
        <v>52</v>
      </c>
      <c r="C320" s="631">
        <v>1.5</v>
      </c>
    </row>
    <row r="321" spans="1:3">
      <c r="A321" s="257" t="s">
        <v>301</v>
      </c>
      <c r="B321" s="278" t="s">
        <v>35</v>
      </c>
      <c r="C321" s="279">
        <f>C22</f>
        <v>19000</v>
      </c>
    </row>
    <row r="322" spans="1:3" ht="14.65" thickBot="1">
      <c r="A322" s="255" t="s">
        <v>338</v>
      </c>
      <c r="B322" s="271" t="s">
        <v>35</v>
      </c>
      <c r="C322" s="256">
        <f>WWK*C321</f>
        <v>28500</v>
      </c>
    </row>
    <row r="323" spans="1:3" hidden="1">
      <c r="A323" s="83"/>
      <c r="B323" s="77"/>
      <c r="C323" s="95"/>
    </row>
    <row r="324" spans="1:3" hidden="1">
      <c r="A324" s="79" t="s">
        <v>56</v>
      </c>
      <c r="B324" s="77"/>
      <c r="C324" s="95"/>
    </row>
    <row r="325" spans="1:3" hidden="1">
      <c r="A325" s="18" t="s">
        <v>53</v>
      </c>
      <c r="B325" s="104" t="s">
        <v>18</v>
      </c>
      <c r="C325" s="15" t="s">
        <v>106</v>
      </c>
    </row>
    <row r="326" spans="1:3" hidden="1">
      <c r="A326" s="308" t="s">
        <v>55</v>
      </c>
      <c r="B326" s="309" t="s">
        <v>35</v>
      </c>
      <c r="C326" s="313">
        <f>$C$22</f>
        <v>19000</v>
      </c>
    </row>
    <row r="327" spans="1:3" hidden="1">
      <c r="A327" s="282" t="s">
        <v>87</v>
      </c>
      <c r="B327" s="288" t="s">
        <v>35</v>
      </c>
      <c r="C327" s="295">
        <f>SUM($H$66:$H$80)</f>
        <v>3634.2060838950802</v>
      </c>
    </row>
    <row r="328" spans="1:3" hidden="1">
      <c r="A328" s="282" t="s">
        <v>115</v>
      </c>
      <c r="B328" s="288" t="s">
        <v>24</v>
      </c>
      <c r="C328" s="312">
        <f>$B$147</f>
        <v>0.05</v>
      </c>
    </row>
    <row r="329" spans="1:3" hidden="1">
      <c r="A329" s="282" t="s">
        <v>113</v>
      </c>
      <c r="B329" s="288" t="s">
        <v>35</v>
      </c>
      <c r="C329" s="295">
        <f>$C$161</f>
        <v>1397.4817981248184</v>
      </c>
    </row>
    <row r="330" spans="1:3" hidden="1">
      <c r="A330" s="282" t="s">
        <v>116</v>
      </c>
      <c r="B330" s="288" t="s">
        <v>35</v>
      </c>
      <c r="C330" s="295">
        <f>C329*C328</f>
        <v>69.874089906240926</v>
      </c>
    </row>
    <row r="331" spans="1:3" hidden="1">
      <c r="A331" s="282" t="s">
        <v>121</v>
      </c>
      <c r="B331" s="288" t="s">
        <v>35</v>
      </c>
      <c r="C331" s="295">
        <f>SUM($D$216:$D$234)</f>
        <v>19846.135475478459</v>
      </c>
    </row>
    <row r="332" spans="1:3" hidden="1">
      <c r="A332" s="282" t="s">
        <v>57</v>
      </c>
      <c r="B332" s="288" t="s">
        <v>35</v>
      </c>
      <c r="C332" s="279">
        <f>C326-C327+C330+C331</f>
        <v>35281.803481489624</v>
      </c>
    </row>
    <row r="333" spans="1:3" hidden="1">
      <c r="A333" s="282" t="s">
        <v>128</v>
      </c>
      <c r="B333" s="288" t="s">
        <v>35</v>
      </c>
      <c r="C333" s="279">
        <f>$C$319+$C$322</f>
        <v>118893.48179812482</v>
      </c>
    </row>
    <row r="334" spans="1:3" hidden="1">
      <c r="A334" s="310" t="s">
        <v>59</v>
      </c>
      <c r="B334" s="283" t="s">
        <v>24</v>
      </c>
      <c r="C334" s="300">
        <f>C332/C333</f>
        <v>0.29675136893876453</v>
      </c>
    </row>
    <row r="335" spans="1:3" hidden="1">
      <c r="A335" s="282" t="s">
        <v>32</v>
      </c>
      <c r="B335" s="288" t="s">
        <v>35</v>
      </c>
      <c r="C335" s="279">
        <f>$C$25</f>
        <v>5700</v>
      </c>
    </row>
    <row r="336" spans="1:3" hidden="1">
      <c r="A336" s="282" t="s">
        <v>33</v>
      </c>
      <c r="B336" s="288" t="s">
        <v>35</v>
      </c>
      <c r="C336" s="279">
        <f>$C$30</f>
        <v>10450</v>
      </c>
    </row>
    <row r="337" spans="1:3" hidden="1">
      <c r="A337" s="282" t="s">
        <v>34</v>
      </c>
      <c r="B337" s="288" t="s">
        <v>35</v>
      </c>
      <c r="C337" s="279" t="e">
        <f>#REF!</f>
        <v>#REF!</v>
      </c>
    </row>
    <row r="338" spans="1:3" hidden="1">
      <c r="A338" s="282" t="s">
        <v>87</v>
      </c>
      <c r="B338" s="288" t="s">
        <v>35</v>
      </c>
      <c r="C338" s="295">
        <f>SUM($H$66:$H$80)</f>
        <v>3634.2060838950802</v>
      </c>
    </row>
    <row r="339" spans="1:3" hidden="1">
      <c r="A339" s="282" t="s">
        <v>117</v>
      </c>
      <c r="B339" s="288" t="s">
        <v>24</v>
      </c>
      <c r="C339" s="312">
        <f>1-$B$147</f>
        <v>0.95</v>
      </c>
    </row>
    <row r="340" spans="1:3" hidden="1">
      <c r="A340" s="282" t="s">
        <v>113</v>
      </c>
      <c r="B340" s="288" t="s">
        <v>35</v>
      </c>
      <c r="C340" s="295">
        <f>$C$161</f>
        <v>1397.4817981248184</v>
      </c>
    </row>
    <row r="341" spans="1:3" hidden="1">
      <c r="A341" s="282" t="s">
        <v>118</v>
      </c>
      <c r="B341" s="288" t="s">
        <v>35</v>
      </c>
      <c r="C341" s="279">
        <f>C339*C340</f>
        <v>1327.6077082185775</v>
      </c>
    </row>
    <row r="342" spans="1:3" hidden="1">
      <c r="A342" s="282" t="s">
        <v>37</v>
      </c>
      <c r="B342" s="288" t="s">
        <v>35</v>
      </c>
      <c r="C342" s="279">
        <f>$C$322</f>
        <v>28500</v>
      </c>
    </row>
    <row r="343" spans="1:3" hidden="1">
      <c r="A343" s="282" t="s">
        <v>121</v>
      </c>
      <c r="B343" s="288" t="s">
        <v>35</v>
      </c>
      <c r="C343" s="295">
        <f>SUM($D$216:$D$234)</f>
        <v>19846.135475478459</v>
      </c>
    </row>
    <row r="344" spans="1:3" hidden="1">
      <c r="A344" s="282" t="s">
        <v>60</v>
      </c>
      <c r="B344" s="288" t="s">
        <v>35</v>
      </c>
      <c r="C344" s="279" t="e">
        <f>SUM(C335:C338)+SUM(C341:C342)-C343</f>
        <v>#REF!</v>
      </c>
    </row>
    <row r="345" spans="1:3" hidden="1">
      <c r="A345" s="282" t="s">
        <v>128</v>
      </c>
      <c r="B345" s="288" t="s">
        <v>35</v>
      </c>
      <c r="C345" s="279">
        <f>$C$319+$C$322</f>
        <v>118893.48179812482</v>
      </c>
    </row>
    <row r="346" spans="1:3" ht="14.65" hidden="1" thickBot="1">
      <c r="A346" s="311" t="s">
        <v>61</v>
      </c>
      <c r="B346" s="284" t="s">
        <v>24</v>
      </c>
      <c r="C346" s="303" t="e">
        <f>C344/C345</f>
        <v>#REF!</v>
      </c>
    </row>
    <row r="347" spans="1:3" hidden="1"/>
    <row r="348" spans="1:3" hidden="1">
      <c r="A348" s="79" t="s">
        <v>47</v>
      </c>
      <c r="B348" s="79"/>
      <c r="C348" s="79"/>
    </row>
    <row r="349" spans="1:3" hidden="1">
      <c r="A349" s="18" t="s">
        <v>53</v>
      </c>
      <c r="B349" s="104" t="s">
        <v>18</v>
      </c>
      <c r="C349" s="15" t="s">
        <v>106</v>
      </c>
    </row>
    <row r="350" spans="1:3" hidden="1">
      <c r="A350" s="308" t="s">
        <v>55</v>
      </c>
      <c r="B350" s="309" t="s">
        <v>35</v>
      </c>
      <c r="C350" s="294">
        <f>$C$22</f>
        <v>19000</v>
      </c>
    </row>
    <row r="351" spans="1:3" hidden="1">
      <c r="A351" s="282" t="s">
        <v>32</v>
      </c>
      <c r="B351" s="288" t="s">
        <v>35</v>
      </c>
      <c r="C351" s="295">
        <f>$C$25</f>
        <v>5700</v>
      </c>
    </row>
    <row r="352" spans="1:3" hidden="1">
      <c r="A352" s="282" t="s">
        <v>33</v>
      </c>
      <c r="B352" s="288" t="s">
        <v>35</v>
      </c>
      <c r="C352" s="295">
        <f>$C$30</f>
        <v>10450</v>
      </c>
    </row>
    <row r="353" spans="1:3" hidden="1">
      <c r="A353" s="282" t="s">
        <v>115</v>
      </c>
      <c r="B353" s="288" t="s">
        <v>24</v>
      </c>
      <c r="C353" s="312">
        <f>$B$147</f>
        <v>0.05</v>
      </c>
    </row>
    <row r="354" spans="1:3" hidden="1">
      <c r="A354" s="282" t="s">
        <v>113</v>
      </c>
      <c r="B354" s="288" t="s">
        <v>35</v>
      </c>
      <c r="C354" s="295">
        <f>$C$161</f>
        <v>1397.4817981248184</v>
      </c>
    </row>
    <row r="355" spans="1:3" hidden="1">
      <c r="A355" s="282" t="s">
        <v>116</v>
      </c>
      <c r="B355" s="288" t="s">
        <v>35</v>
      </c>
      <c r="C355" s="295">
        <f>C354*C353</f>
        <v>69.874089906240926</v>
      </c>
    </row>
    <row r="356" spans="1:3" hidden="1">
      <c r="A356" s="282" t="s">
        <v>430</v>
      </c>
      <c r="B356" s="288" t="s">
        <v>35</v>
      </c>
      <c r="C356" s="279">
        <f>C350+C351+C352+C355</f>
        <v>35219.87408990624</v>
      </c>
    </row>
    <row r="357" spans="1:3" hidden="1">
      <c r="A357" s="282" t="s">
        <v>114</v>
      </c>
      <c r="B357" s="288" t="s">
        <v>35</v>
      </c>
      <c r="C357" s="279">
        <f>$C$319+$C$322</f>
        <v>118893.48179812482</v>
      </c>
    </row>
    <row r="358" spans="1:3" hidden="1">
      <c r="A358" s="310" t="s">
        <v>64</v>
      </c>
      <c r="B358" s="283" t="s">
        <v>24</v>
      </c>
      <c r="C358" s="300">
        <f>C356/C357</f>
        <v>0.29623048763689014</v>
      </c>
    </row>
    <row r="359" spans="1:3" hidden="1">
      <c r="A359" s="282" t="s">
        <v>34</v>
      </c>
      <c r="B359" s="288" t="s">
        <v>35</v>
      </c>
      <c r="C359" s="279">
        <f>$C$24</f>
        <v>53846</v>
      </c>
    </row>
    <row r="360" spans="1:3" hidden="1">
      <c r="A360" s="282" t="s">
        <v>117</v>
      </c>
      <c r="B360" s="288" t="s">
        <v>24</v>
      </c>
      <c r="C360" s="312">
        <f>1-$B$147</f>
        <v>0.95</v>
      </c>
    </row>
    <row r="361" spans="1:3" hidden="1">
      <c r="A361" s="282" t="s">
        <v>113</v>
      </c>
      <c r="B361" s="288" t="s">
        <v>35</v>
      </c>
      <c r="C361" s="295">
        <f>$C$161</f>
        <v>1397.4817981248184</v>
      </c>
    </row>
    <row r="362" spans="1:3" hidden="1">
      <c r="A362" s="282" t="s">
        <v>118</v>
      </c>
      <c r="B362" s="288" t="s">
        <v>35</v>
      </c>
      <c r="C362" s="279">
        <f>C360*C361</f>
        <v>1327.6077082185775</v>
      </c>
    </row>
    <row r="363" spans="1:3" hidden="1">
      <c r="A363" s="282" t="s">
        <v>37</v>
      </c>
      <c r="B363" s="288" t="s">
        <v>35</v>
      </c>
      <c r="C363" s="279">
        <f>$C$322</f>
        <v>28500</v>
      </c>
    </row>
    <row r="364" spans="1:3" hidden="1">
      <c r="A364" s="282" t="s">
        <v>65</v>
      </c>
      <c r="B364" s="288" t="s">
        <v>35</v>
      </c>
      <c r="C364" s="279">
        <f>C359+C362+C363</f>
        <v>83673.60770821858</v>
      </c>
    </row>
    <row r="365" spans="1:3" hidden="1">
      <c r="A365" s="282" t="s">
        <v>114</v>
      </c>
      <c r="B365" s="288" t="s">
        <v>35</v>
      </c>
      <c r="C365" s="279">
        <f>$C$319+$C$322</f>
        <v>118893.48179812482</v>
      </c>
    </row>
    <row r="366" spans="1:3" ht="14.65" hidden="1" thickBot="1">
      <c r="A366" s="311" t="s">
        <v>66</v>
      </c>
      <c r="B366" s="284" t="s">
        <v>24</v>
      </c>
      <c r="C366" s="303">
        <f>C364/C365</f>
        <v>0.70376951236310981</v>
      </c>
    </row>
    <row r="367" spans="1:3">
      <c r="A367" s="83"/>
      <c r="B367" s="77"/>
      <c r="C367" s="96"/>
    </row>
    <row r="368" spans="1:3" ht="14.65" thickBot="1">
      <c r="A368" s="79" t="s">
        <v>288</v>
      </c>
    </row>
    <row r="369" spans="1:3" ht="14.65" thickBot="1">
      <c r="A369" s="103" t="s">
        <v>90</v>
      </c>
      <c r="B369" s="102" t="s">
        <v>18</v>
      </c>
      <c r="C369" s="17" t="s">
        <v>91</v>
      </c>
    </row>
    <row r="370" spans="1:3">
      <c r="A370" s="276" t="s">
        <v>276</v>
      </c>
      <c r="B370" s="296" t="s">
        <v>35</v>
      </c>
      <c r="C370" s="286">
        <f>$C$319</f>
        <v>90393.48179812482</v>
      </c>
    </row>
    <row r="371" spans="1:3">
      <c r="A371" s="257" t="s">
        <v>338</v>
      </c>
      <c r="B371" s="278" t="s">
        <v>110</v>
      </c>
      <c r="C371" s="279">
        <f>$C$322</f>
        <v>28500</v>
      </c>
    </row>
    <row r="372" spans="1:3">
      <c r="A372" s="257" t="s">
        <v>339</v>
      </c>
      <c r="B372" s="278" t="s">
        <v>35</v>
      </c>
      <c r="C372" s="279">
        <f>C370+C371</f>
        <v>118893.48179812482</v>
      </c>
    </row>
    <row r="373" spans="1:3">
      <c r="A373" s="257" t="s">
        <v>26</v>
      </c>
      <c r="B373" s="278" t="s">
        <v>24</v>
      </c>
      <c r="C373" s="314">
        <f>A315</f>
        <v>0.62634496250407568</v>
      </c>
    </row>
    <row r="374" spans="1:3">
      <c r="A374" s="253" t="s">
        <v>387</v>
      </c>
      <c r="B374" s="270" t="s">
        <v>35</v>
      </c>
      <c r="C374" s="254">
        <f>C372*C373</f>
        <v>74468.333398825489</v>
      </c>
    </row>
    <row r="375" spans="1:3">
      <c r="A375" s="257" t="s">
        <v>27</v>
      </c>
      <c r="B375" s="278" t="s">
        <v>24</v>
      </c>
      <c r="C375" s="314">
        <f>B315</f>
        <v>0.37365503749592438</v>
      </c>
    </row>
    <row r="376" spans="1:3">
      <c r="A376" s="253" t="s">
        <v>284</v>
      </c>
      <c r="B376" s="270" t="s">
        <v>35</v>
      </c>
      <c r="C376" s="322">
        <f>C372*C375</f>
        <v>44425.148399299331</v>
      </c>
    </row>
    <row r="377" spans="1:3">
      <c r="A377" s="281" t="s">
        <v>355</v>
      </c>
      <c r="B377" s="278" t="s">
        <v>24</v>
      </c>
      <c r="C377" s="318">
        <f>C315</f>
        <v>0.4094383112944317</v>
      </c>
    </row>
    <row r="378" spans="1:3">
      <c r="A378" s="281" t="s">
        <v>421</v>
      </c>
      <c r="B378" s="278" t="s">
        <v>35</v>
      </c>
      <c r="C378" s="289">
        <f>C376*C377</f>
        <v>18189.357739613642</v>
      </c>
    </row>
    <row r="379" spans="1:3">
      <c r="A379" s="281" t="s">
        <v>388</v>
      </c>
      <c r="B379" s="278" t="s">
        <v>24</v>
      </c>
      <c r="C379" s="318">
        <f>1-C377</f>
        <v>0.59056168870556824</v>
      </c>
    </row>
    <row r="380" spans="1:3" ht="14.65" thickBot="1">
      <c r="A380" s="319" t="s">
        <v>340</v>
      </c>
      <c r="B380" s="320" t="s">
        <v>35</v>
      </c>
      <c r="C380" s="321">
        <f>C376*C379</f>
        <v>26235.790659685685</v>
      </c>
    </row>
    <row r="381" spans="1:3">
      <c r="A381" s="77"/>
      <c r="B381" s="77"/>
      <c r="C381" s="117"/>
    </row>
    <row r="382" spans="1:3" ht="14.65" thickBot="1">
      <c r="A382" s="79" t="s">
        <v>133</v>
      </c>
      <c r="B382" s="79"/>
      <c r="C382" s="79"/>
    </row>
    <row r="383" spans="1:3" ht="14.65" thickBot="1">
      <c r="A383" s="103" t="s">
        <v>90</v>
      </c>
      <c r="B383" s="102" t="s">
        <v>18</v>
      </c>
      <c r="C383" s="17" t="s">
        <v>106</v>
      </c>
    </row>
    <row r="384" spans="1:3">
      <c r="A384" s="272" t="s">
        <v>301</v>
      </c>
      <c r="B384" s="296" t="s">
        <v>35</v>
      </c>
      <c r="C384" s="297">
        <f>$C$22</f>
        <v>19000</v>
      </c>
    </row>
    <row r="385" spans="1:3">
      <c r="A385" s="257" t="s">
        <v>329</v>
      </c>
      <c r="B385" s="278" t="s">
        <v>35</v>
      </c>
      <c r="C385" s="295">
        <f>$C$25</f>
        <v>5700</v>
      </c>
    </row>
    <row r="386" spans="1:3">
      <c r="A386" s="257" t="s">
        <v>428</v>
      </c>
      <c r="B386" s="278" t="s">
        <v>35</v>
      </c>
      <c r="C386" s="295">
        <f>$C$30</f>
        <v>10450</v>
      </c>
    </row>
    <row r="387" spans="1:3">
      <c r="A387" s="257" t="s">
        <v>385</v>
      </c>
      <c r="B387" s="278" t="s">
        <v>24</v>
      </c>
      <c r="C387" s="312">
        <f>$B$147</f>
        <v>0.05</v>
      </c>
    </row>
    <row r="388" spans="1:3">
      <c r="A388" s="257" t="s">
        <v>334</v>
      </c>
      <c r="B388" s="278" t="s">
        <v>35</v>
      </c>
      <c r="C388" s="295">
        <f>$C$161</f>
        <v>1397.4817981248184</v>
      </c>
    </row>
    <row r="389" spans="1:3">
      <c r="A389" s="257" t="s">
        <v>429</v>
      </c>
      <c r="B389" s="278" t="s">
        <v>35</v>
      </c>
      <c r="C389" s="295">
        <f>C388*C387</f>
        <v>69.874089906240926</v>
      </c>
    </row>
    <row r="390" spans="1:3">
      <c r="A390" s="281" t="s">
        <v>421</v>
      </c>
      <c r="B390" s="278" t="s">
        <v>35</v>
      </c>
      <c r="C390" s="289">
        <f>$C$378</f>
        <v>18189.357739613642</v>
      </c>
    </row>
    <row r="391" spans="1:3">
      <c r="A391" s="257" t="s">
        <v>341</v>
      </c>
      <c r="B391" s="278" t="s">
        <v>35</v>
      </c>
      <c r="C391" s="279">
        <f>C384+C385+C386+C389-C390</f>
        <v>17030.516350292597</v>
      </c>
    </row>
    <row r="392" spans="1:3">
      <c r="A392" s="257" t="s">
        <v>387</v>
      </c>
      <c r="B392" s="278" t="s">
        <v>35</v>
      </c>
      <c r="C392" s="279">
        <f>$C$374</f>
        <v>74468.333398825489</v>
      </c>
    </row>
    <row r="393" spans="1:3">
      <c r="A393" s="299" t="s">
        <v>389</v>
      </c>
      <c r="B393" s="260" t="s">
        <v>24</v>
      </c>
      <c r="C393" s="300">
        <f>C391/C392</f>
        <v>0.22869474275841928</v>
      </c>
    </row>
    <row r="394" spans="1:3">
      <c r="A394" s="257" t="s">
        <v>366</v>
      </c>
      <c r="B394" s="278" t="s">
        <v>35</v>
      </c>
      <c r="C394" s="279">
        <f>$C$24</f>
        <v>53846</v>
      </c>
    </row>
    <row r="395" spans="1:3">
      <c r="A395" s="257" t="s">
        <v>386</v>
      </c>
      <c r="B395" s="278" t="s">
        <v>24</v>
      </c>
      <c r="C395" s="312">
        <f>1-$B$147</f>
        <v>0.95</v>
      </c>
    </row>
    <row r="396" spans="1:3">
      <c r="A396" s="257" t="s">
        <v>334</v>
      </c>
      <c r="B396" s="278" t="s">
        <v>35</v>
      </c>
      <c r="C396" s="295">
        <f>$C$161</f>
        <v>1397.4817981248184</v>
      </c>
    </row>
    <row r="397" spans="1:3">
      <c r="A397" s="257" t="s">
        <v>356</v>
      </c>
      <c r="B397" s="278" t="s">
        <v>35</v>
      </c>
      <c r="C397" s="279">
        <f>C395*C396</f>
        <v>1327.6077082185775</v>
      </c>
    </row>
    <row r="398" spans="1:3">
      <c r="A398" s="257" t="s">
        <v>338</v>
      </c>
      <c r="B398" s="278" t="s">
        <v>35</v>
      </c>
      <c r="C398" s="279">
        <f>$C$322</f>
        <v>28500</v>
      </c>
    </row>
    <row r="399" spans="1:3">
      <c r="A399" s="281" t="s">
        <v>340</v>
      </c>
      <c r="B399" s="278" t="s">
        <v>35</v>
      </c>
      <c r="C399" s="289">
        <f>$C$380</f>
        <v>26235.790659685685</v>
      </c>
    </row>
    <row r="400" spans="1:3">
      <c r="A400" s="257" t="s">
        <v>342</v>
      </c>
      <c r="B400" s="278" t="s">
        <v>35</v>
      </c>
      <c r="C400" s="279">
        <f>C394+C397+C398-C399</f>
        <v>57437.817048532896</v>
      </c>
    </row>
    <row r="401" spans="1:8">
      <c r="A401" s="257" t="s">
        <v>387</v>
      </c>
      <c r="B401" s="278" t="s">
        <v>35</v>
      </c>
      <c r="C401" s="279">
        <f>$C$374</f>
        <v>74468.333398825489</v>
      </c>
    </row>
    <row r="402" spans="1:8" ht="14.65" thickBot="1">
      <c r="A402" s="301" t="s">
        <v>321</v>
      </c>
      <c r="B402" s="277" t="s">
        <v>24</v>
      </c>
      <c r="C402" s="303">
        <f>C400/C401</f>
        <v>0.77130525724158083</v>
      </c>
    </row>
    <row r="403" spans="1:8">
      <c r="A403" s="77"/>
      <c r="B403" s="77"/>
      <c r="C403" s="117"/>
    </row>
    <row r="404" spans="1:8" ht="14.65" thickBot="1">
      <c r="A404" s="79" t="s">
        <v>135</v>
      </c>
    </row>
    <row r="405" spans="1:8" ht="14.65" thickBot="1">
      <c r="A405" s="419"/>
      <c r="B405" s="1028" t="s">
        <v>262</v>
      </c>
      <c r="C405" s="1029"/>
      <c r="D405" s="1031"/>
      <c r="E405" s="1065" t="s">
        <v>263</v>
      </c>
      <c r="F405" s="1061"/>
      <c r="G405" s="1061"/>
      <c r="H405" s="1009"/>
    </row>
    <row r="406" spans="1:8">
      <c r="A406" s="92" t="s">
        <v>93</v>
      </c>
      <c r="B406" s="377" t="s">
        <v>243</v>
      </c>
      <c r="C406" s="491" t="s">
        <v>341</v>
      </c>
      <c r="D406" s="492" t="s">
        <v>281</v>
      </c>
      <c r="E406" s="1039" t="s">
        <v>269</v>
      </c>
      <c r="F406" s="1040"/>
      <c r="G406" s="1022" t="s">
        <v>282</v>
      </c>
      <c r="H406" s="1023"/>
    </row>
    <row r="407" spans="1:8" ht="14.65" thickBot="1">
      <c r="A407" s="93" t="s">
        <v>18</v>
      </c>
      <c r="B407" s="403" t="s">
        <v>35</v>
      </c>
      <c r="C407" s="154" t="s">
        <v>35</v>
      </c>
      <c r="D407" s="155" t="s">
        <v>35</v>
      </c>
      <c r="E407" s="153" t="s">
        <v>257</v>
      </c>
      <c r="F407" s="423" t="s">
        <v>237</v>
      </c>
      <c r="G407" s="403" t="s">
        <v>71</v>
      </c>
      <c r="H407" s="155" t="s">
        <v>237</v>
      </c>
    </row>
    <row r="408" spans="1:8">
      <c r="A408" s="111" t="s">
        <v>72</v>
      </c>
      <c r="B408" s="459">
        <f>C289</f>
        <v>749.94286897593634</v>
      </c>
      <c r="C408" s="160">
        <f>$C$391</f>
        <v>17030.516350292597</v>
      </c>
      <c r="D408" s="467">
        <f>$C$374</f>
        <v>74468.333398825489</v>
      </c>
      <c r="E408" s="465">
        <f t="shared" ref="E408:E429" si="30">B408/C408*1000000</f>
        <v>44035.239657489998</v>
      </c>
      <c r="F408" s="560">
        <f>E408/1000000</f>
        <v>4.4035239657489997E-2</v>
      </c>
      <c r="G408" s="443">
        <f t="shared" ref="G408:G429" si="31">B408/D408*1000000</f>
        <v>10070.627805775017</v>
      </c>
      <c r="H408" s="460">
        <f>G408/1000000</f>
        <v>1.0070627805775017E-2</v>
      </c>
    </row>
    <row r="409" spans="1:8">
      <c r="A409" s="112" t="s">
        <v>73</v>
      </c>
      <c r="B409" s="461">
        <f>C290</f>
        <v>3.3119321292839343E-2</v>
      </c>
      <c r="C409" s="119">
        <f t="shared" ref="C409:C429" si="32">$C$391</f>
        <v>17030.516350292597</v>
      </c>
      <c r="D409" s="468">
        <f t="shared" ref="D409:D429" si="33">$C$374</f>
        <v>74468.333398825489</v>
      </c>
      <c r="E409" s="331">
        <f t="shared" si="30"/>
        <v>1.9447044711753751</v>
      </c>
      <c r="F409" s="561">
        <f t="shared" ref="F409:F429" si="34">E409/1000000</f>
        <v>1.9447044711753752E-6</v>
      </c>
      <c r="G409" s="444">
        <f t="shared" si="31"/>
        <v>0.4447436887766002</v>
      </c>
      <c r="H409" s="462">
        <f t="shared" ref="H409:H429" si="35">G409/1000000</f>
        <v>4.4474368877660018E-7</v>
      </c>
    </row>
    <row r="410" spans="1:8">
      <c r="A410" s="112" t="s">
        <v>74</v>
      </c>
      <c r="B410" s="461">
        <f t="shared" ref="B410:B423" si="36">C291</f>
        <v>425.3692763447084</v>
      </c>
      <c r="C410" s="119">
        <f t="shared" si="32"/>
        <v>17030.516350292597</v>
      </c>
      <c r="D410" s="468">
        <f t="shared" si="33"/>
        <v>74468.333398825489</v>
      </c>
      <c r="E410" s="331">
        <f t="shared" si="30"/>
        <v>24976.886642512174</v>
      </c>
      <c r="F410" s="561">
        <f t="shared" si="34"/>
        <v>2.4976886642512176E-2</v>
      </c>
      <c r="G410" s="444">
        <f t="shared" si="31"/>
        <v>5712.0826656155205</v>
      </c>
      <c r="H410" s="462">
        <f t="shared" si="35"/>
        <v>5.7120826656155204E-3</v>
      </c>
    </row>
    <row r="411" spans="1:8">
      <c r="A411" s="112" t="s">
        <v>75</v>
      </c>
      <c r="B411" s="461">
        <f t="shared" si="36"/>
        <v>1.3840407025637685E-2</v>
      </c>
      <c r="C411" s="119">
        <f t="shared" si="32"/>
        <v>17030.516350292597</v>
      </c>
      <c r="D411" s="468">
        <f t="shared" si="33"/>
        <v>74468.333398825489</v>
      </c>
      <c r="E411" s="331">
        <f t="shared" si="30"/>
        <v>0.81268275963928105</v>
      </c>
      <c r="F411" s="561">
        <f t="shared" si="34"/>
        <v>8.1268275963928107E-7</v>
      </c>
      <c r="G411" s="444">
        <f t="shared" si="31"/>
        <v>0.18585627465990764</v>
      </c>
      <c r="H411" s="462">
        <f t="shared" si="35"/>
        <v>1.8585627465990765E-7</v>
      </c>
    </row>
    <row r="412" spans="1:8">
      <c r="A412" s="112" t="s">
        <v>76</v>
      </c>
      <c r="B412" s="461">
        <f t="shared" si="36"/>
        <v>0.81088407251271644</v>
      </c>
      <c r="C412" s="119">
        <f t="shared" si="32"/>
        <v>17030.516350292597</v>
      </c>
      <c r="D412" s="468">
        <f t="shared" si="33"/>
        <v>74468.333398825489</v>
      </c>
      <c r="E412" s="331">
        <f t="shared" si="30"/>
        <v>47.613592907814855</v>
      </c>
      <c r="F412" s="561">
        <f t="shared" si="34"/>
        <v>4.7613592907814858E-5</v>
      </c>
      <c r="G412" s="444">
        <f t="shared" si="31"/>
        <v>10.888978381856813</v>
      </c>
      <c r="H412" s="462">
        <f t="shared" si="35"/>
        <v>1.0888978381856813E-5</v>
      </c>
    </row>
    <row r="413" spans="1:8">
      <c r="A413" s="113" t="s">
        <v>77</v>
      </c>
      <c r="B413" s="461">
        <f t="shared" si="36"/>
        <v>4.1285858641199269E-2</v>
      </c>
      <c r="C413" s="119">
        <f t="shared" si="32"/>
        <v>17030.516350292597</v>
      </c>
      <c r="D413" s="468">
        <f t="shared" si="33"/>
        <v>74468.333398825489</v>
      </c>
      <c r="E413" s="331">
        <f t="shared" si="30"/>
        <v>2.4242282378296736</v>
      </c>
      <c r="F413" s="561">
        <f t="shared" si="34"/>
        <v>2.4242282378296737E-6</v>
      </c>
      <c r="G413" s="444">
        <f t="shared" si="31"/>
        <v>0.55440825323815324</v>
      </c>
      <c r="H413" s="462">
        <f t="shared" si="35"/>
        <v>5.5440825323815328E-7</v>
      </c>
    </row>
    <row r="414" spans="1:8">
      <c r="A414" s="113" t="s">
        <v>78</v>
      </c>
      <c r="B414" s="461">
        <f t="shared" si="36"/>
        <v>604.6466249739716</v>
      </c>
      <c r="C414" s="119">
        <f t="shared" si="32"/>
        <v>17030.516350292597</v>
      </c>
      <c r="D414" s="468">
        <f t="shared" si="33"/>
        <v>74468.333398825489</v>
      </c>
      <c r="E414" s="331">
        <f t="shared" si="30"/>
        <v>35503.716536673492</v>
      </c>
      <c r="F414" s="561">
        <f t="shared" si="34"/>
        <v>3.5503716536673495E-2</v>
      </c>
      <c r="G414" s="444">
        <f t="shared" si="31"/>
        <v>8119.5133203223813</v>
      </c>
      <c r="H414" s="462">
        <f t="shared" si="35"/>
        <v>8.1195133203223815E-3</v>
      </c>
    </row>
    <row r="415" spans="1:8">
      <c r="A415" s="113" t="s">
        <v>79</v>
      </c>
      <c r="B415" s="461">
        <f t="shared" si="36"/>
        <v>124.40301527266575</v>
      </c>
      <c r="C415" s="119">
        <f t="shared" si="32"/>
        <v>17030.516350292597</v>
      </c>
      <c r="D415" s="468">
        <f t="shared" si="33"/>
        <v>74468.333398825489</v>
      </c>
      <c r="E415" s="331">
        <f t="shared" si="30"/>
        <v>7304.7118897559685</v>
      </c>
      <c r="F415" s="561">
        <f t="shared" si="34"/>
        <v>7.3047118897559687E-3</v>
      </c>
      <c r="G415" s="444">
        <f t="shared" si="31"/>
        <v>1670.5492065521078</v>
      </c>
      <c r="H415" s="462">
        <f t="shared" si="35"/>
        <v>1.6705492065521078E-3</v>
      </c>
    </row>
    <row r="416" spans="1:8">
      <c r="A416" s="113" t="s">
        <v>80</v>
      </c>
      <c r="B416" s="461">
        <f t="shared" si="36"/>
        <v>183.84549225215687</v>
      </c>
      <c r="C416" s="119">
        <f t="shared" si="32"/>
        <v>17030.516350292597</v>
      </c>
      <c r="D416" s="468">
        <f t="shared" si="33"/>
        <v>74468.333398825489</v>
      </c>
      <c r="E416" s="331">
        <f t="shared" si="30"/>
        <v>10795.06272568173</v>
      </c>
      <c r="F416" s="561">
        <f t="shared" si="34"/>
        <v>1.0795062725681729E-2</v>
      </c>
      <c r="G416" s="444">
        <f t="shared" si="31"/>
        <v>2468.7740931107837</v>
      </c>
      <c r="H416" s="462">
        <f t="shared" si="35"/>
        <v>2.4687740931107838E-3</v>
      </c>
    </row>
    <row r="417" spans="1:8">
      <c r="A417" s="113" t="s">
        <v>81</v>
      </c>
      <c r="B417" s="461">
        <f t="shared" si="36"/>
        <v>98.977330136495794</v>
      </c>
      <c r="C417" s="119">
        <f t="shared" si="32"/>
        <v>17030.516350292597</v>
      </c>
      <c r="D417" s="468">
        <f t="shared" si="33"/>
        <v>74468.333398825489</v>
      </c>
      <c r="E417" s="331">
        <f t="shared" si="30"/>
        <v>5811.763313611762</v>
      </c>
      <c r="F417" s="561">
        <f t="shared" si="34"/>
        <v>5.8117633136117617E-3</v>
      </c>
      <c r="G417" s="444">
        <f t="shared" si="31"/>
        <v>1329.1197159792603</v>
      </c>
      <c r="H417" s="462">
        <f t="shared" si="35"/>
        <v>1.3291197159792602E-3</v>
      </c>
    </row>
    <row r="418" spans="1:8">
      <c r="A418" s="113" t="s">
        <v>82</v>
      </c>
      <c r="B418" s="461">
        <f t="shared" si="36"/>
        <v>0.77887980604109552</v>
      </c>
      <c r="C418" s="119">
        <f t="shared" si="32"/>
        <v>17030.516350292597</v>
      </c>
      <c r="D418" s="468">
        <f t="shared" si="33"/>
        <v>74468.333398825489</v>
      </c>
      <c r="E418" s="331">
        <f t="shared" si="30"/>
        <v>45.734362365807762</v>
      </c>
      <c r="F418" s="561">
        <f t="shared" si="34"/>
        <v>4.5734362365807763E-5</v>
      </c>
      <c r="G418" s="444">
        <f t="shared" si="31"/>
        <v>10.459208236468738</v>
      </c>
      <c r="H418" s="462">
        <f t="shared" si="35"/>
        <v>1.0459208236468737E-5</v>
      </c>
    </row>
    <row r="419" spans="1:8">
      <c r="A419" s="113" t="s">
        <v>213</v>
      </c>
      <c r="B419" s="461">
        <f t="shared" si="36"/>
        <v>1341.8616375144429</v>
      </c>
      <c r="C419" s="119">
        <f t="shared" si="32"/>
        <v>17030.516350292597</v>
      </c>
      <c r="D419" s="468">
        <f t="shared" si="33"/>
        <v>74468.333398825489</v>
      </c>
      <c r="E419" s="331">
        <f t="shared" si="30"/>
        <v>78791.600319939127</v>
      </c>
      <c r="F419" s="561">
        <f t="shared" si="34"/>
        <v>7.879160031993912E-2</v>
      </c>
      <c r="G419" s="444">
        <f t="shared" si="31"/>
        <v>18019.224766692667</v>
      </c>
      <c r="H419" s="462">
        <f t="shared" si="35"/>
        <v>1.8019224766692668E-2</v>
      </c>
    </row>
    <row r="420" spans="1:8">
      <c r="A420" s="113" t="s">
        <v>96</v>
      </c>
      <c r="B420" s="461">
        <f t="shared" si="36"/>
        <v>3222.9719387755099</v>
      </c>
      <c r="C420" s="119">
        <f t="shared" si="32"/>
        <v>17030.516350292597</v>
      </c>
      <c r="D420" s="468">
        <f t="shared" si="33"/>
        <v>74468.333398825489</v>
      </c>
      <c r="E420" s="331">
        <f t="shared" si="30"/>
        <v>189246.87146788341</v>
      </c>
      <c r="F420" s="561">
        <f t="shared" si="34"/>
        <v>0.18924687146788341</v>
      </c>
      <c r="G420" s="444">
        <f t="shared" si="31"/>
        <v>43279.764588183229</v>
      </c>
      <c r="H420" s="462">
        <f t="shared" si="35"/>
        <v>4.327976458818323E-2</v>
      </c>
    </row>
    <row r="421" spans="1:8">
      <c r="A421" s="113" t="s">
        <v>97</v>
      </c>
      <c r="B421" s="461">
        <f t="shared" si="36"/>
        <v>4564.8335762899524</v>
      </c>
      <c r="C421" s="119">
        <f t="shared" si="32"/>
        <v>17030.516350292597</v>
      </c>
      <c r="D421" s="468">
        <f t="shared" si="33"/>
        <v>74468.333398825489</v>
      </c>
      <c r="E421" s="331">
        <f t="shared" si="30"/>
        <v>268038.47178782255</v>
      </c>
      <c r="F421" s="561">
        <f t="shared" si="34"/>
        <v>0.26803847178782253</v>
      </c>
      <c r="G421" s="444">
        <f t="shared" si="31"/>
        <v>61298.989354875892</v>
      </c>
      <c r="H421" s="462">
        <f t="shared" si="35"/>
        <v>6.1298989354875891E-2</v>
      </c>
    </row>
    <row r="422" spans="1:8">
      <c r="A422" s="113" t="s">
        <v>84</v>
      </c>
      <c r="B422" s="461">
        <f t="shared" si="36"/>
        <v>0.47237390936340629</v>
      </c>
      <c r="C422" s="119">
        <f t="shared" si="32"/>
        <v>17030.516350292597</v>
      </c>
      <c r="D422" s="468">
        <f t="shared" si="33"/>
        <v>74468.333398825489</v>
      </c>
      <c r="E422" s="331">
        <f t="shared" si="30"/>
        <v>27.736910593159468</v>
      </c>
      <c r="F422" s="561">
        <f t="shared" si="34"/>
        <v>2.7736910593159469E-5</v>
      </c>
      <c r="G422" s="444">
        <f t="shared" si="31"/>
        <v>6.3432856330158787</v>
      </c>
      <c r="H422" s="462">
        <f t="shared" si="35"/>
        <v>6.3432856330158782E-6</v>
      </c>
    </row>
    <row r="423" spans="1:8">
      <c r="A423" s="113" t="s">
        <v>249</v>
      </c>
      <c r="B423" s="461">
        <f t="shared" si="36"/>
        <v>0</v>
      </c>
      <c r="C423" s="119">
        <f t="shared" si="32"/>
        <v>17030.516350292597</v>
      </c>
      <c r="D423" s="468">
        <f t="shared" si="33"/>
        <v>74468.333398825489</v>
      </c>
      <c r="E423" s="331">
        <f t="shared" si="30"/>
        <v>0</v>
      </c>
      <c r="F423" s="561">
        <f t="shared" si="34"/>
        <v>0</v>
      </c>
      <c r="G423" s="444">
        <f t="shared" si="31"/>
        <v>0</v>
      </c>
      <c r="H423" s="462">
        <f t="shared" si="35"/>
        <v>0</v>
      </c>
    </row>
    <row r="424" spans="1:8">
      <c r="A424" s="113" t="s">
        <v>250</v>
      </c>
      <c r="B424" s="461">
        <f t="shared" ref="B424:B429" si="37">C305</f>
        <v>0</v>
      </c>
      <c r="C424" s="119">
        <f t="shared" si="32"/>
        <v>17030.516350292597</v>
      </c>
      <c r="D424" s="468">
        <f t="shared" si="33"/>
        <v>74468.333398825489</v>
      </c>
      <c r="E424" s="331">
        <f t="shared" si="30"/>
        <v>0</v>
      </c>
      <c r="F424" s="561">
        <f t="shared" si="34"/>
        <v>0</v>
      </c>
      <c r="G424" s="444">
        <f t="shared" si="31"/>
        <v>0</v>
      </c>
      <c r="H424" s="462">
        <f t="shared" si="35"/>
        <v>0</v>
      </c>
    </row>
    <row r="425" spans="1:8">
      <c r="A425" s="113" t="s">
        <v>251</v>
      </c>
      <c r="B425" s="461">
        <f t="shared" si="37"/>
        <v>0</v>
      </c>
      <c r="C425" s="119">
        <f t="shared" si="32"/>
        <v>17030.516350292597</v>
      </c>
      <c r="D425" s="468">
        <f t="shared" si="33"/>
        <v>74468.333398825489</v>
      </c>
      <c r="E425" s="331">
        <f t="shared" si="30"/>
        <v>0</v>
      </c>
      <c r="F425" s="561">
        <f t="shared" si="34"/>
        <v>0</v>
      </c>
      <c r="G425" s="444">
        <f t="shared" si="31"/>
        <v>0</v>
      </c>
      <c r="H425" s="462">
        <f t="shared" si="35"/>
        <v>0</v>
      </c>
    </row>
    <row r="426" spans="1:8">
      <c r="A426" s="394" t="s">
        <v>238</v>
      </c>
      <c r="B426" s="461">
        <f t="shared" si="37"/>
        <v>0</v>
      </c>
      <c r="C426" s="119">
        <f t="shared" si="32"/>
        <v>17030.516350292597</v>
      </c>
      <c r="D426" s="468">
        <f t="shared" si="33"/>
        <v>74468.333398825489</v>
      </c>
      <c r="E426" s="331">
        <f t="shared" si="30"/>
        <v>0</v>
      </c>
      <c r="F426" s="561">
        <f t="shared" si="34"/>
        <v>0</v>
      </c>
      <c r="G426" s="444">
        <f t="shared" si="31"/>
        <v>0</v>
      </c>
      <c r="H426" s="462">
        <f t="shared" si="35"/>
        <v>0</v>
      </c>
    </row>
    <row r="427" spans="1:8">
      <c r="A427" s="394" t="s">
        <v>239</v>
      </c>
      <c r="B427" s="461">
        <f t="shared" si="37"/>
        <v>0</v>
      </c>
      <c r="C427" s="119">
        <f t="shared" si="32"/>
        <v>17030.516350292597</v>
      </c>
      <c r="D427" s="468">
        <f t="shared" si="33"/>
        <v>74468.333398825489</v>
      </c>
      <c r="E427" s="331">
        <f t="shared" si="30"/>
        <v>0</v>
      </c>
      <c r="F427" s="561">
        <f t="shared" si="34"/>
        <v>0</v>
      </c>
      <c r="G427" s="444">
        <f t="shared" si="31"/>
        <v>0</v>
      </c>
      <c r="H427" s="462">
        <f t="shared" si="35"/>
        <v>0</v>
      </c>
    </row>
    <row r="428" spans="1:8">
      <c r="A428" s="394" t="s">
        <v>248</v>
      </c>
      <c r="B428" s="461">
        <f t="shared" si="37"/>
        <v>0</v>
      </c>
      <c r="C428" s="119">
        <f t="shared" si="32"/>
        <v>17030.516350292597</v>
      </c>
      <c r="D428" s="468">
        <f t="shared" si="33"/>
        <v>74468.333398825489</v>
      </c>
      <c r="E428" s="331">
        <f t="shared" si="30"/>
        <v>0</v>
      </c>
      <c r="F428" s="561">
        <f>E428/1000000</f>
        <v>0</v>
      </c>
      <c r="G428" s="444">
        <f t="shared" si="31"/>
        <v>0</v>
      </c>
      <c r="H428" s="462">
        <f>G428/1000000</f>
        <v>0</v>
      </c>
    </row>
    <row r="429" spans="1:8" ht="14.65" thickBot="1">
      <c r="A429" s="114" t="s">
        <v>86</v>
      </c>
      <c r="B429" s="463">
        <f t="shared" si="37"/>
        <v>1.0780087253250059</v>
      </c>
      <c r="C429" s="135">
        <f t="shared" si="32"/>
        <v>17030.516350292597</v>
      </c>
      <c r="D429" s="469">
        <f t="shared" si="33"/>
        <v>74468.333398825489</v>
      </c>
      <c r="E429" s="466">
        <f t="shared" si="30"/>
        <v>63.298651852472162</v>
      </c>
      <c r="F429" s="562">
        <f t="shared" si="34"/>
        <v>6.3298651852472163E-5</v>
      </c>
      <c r="G429" s="445">
        <f t="shared" si="31"/>
        <v>14.476068902355861</v>
      </c>
      <c r="H429" s="464">
        <f t="shared" si="35"/>
        <v>1.4476068902355862E-5</v>
      </c>
    </row>
    <row r="430" spans="1:8">
      <c r="A430" s="145"/>
      <c r="B430" s="146"/>
      <c r="C430" s="96"/>
      <c r="D430" s="96"/>
      <c r="E430" s="96"/>
      <c r="F430" s="95"/>
    </row>
    <row r="431" spans="1:8" ht="14.65" thickBot="1">
      <c r="A431" s="79" t="s">
        <v>137</v>
      </c>
    </row>
    <row r="432" spans="1:8" ht="14.65" thickBot="1">
      <c r="A432" s="419"/>
      <c r="B432" s="1028" t="s">
        <v>262</v>
      </c>
      <c r="C432" s="1029"/>
      <c r="D432" s="1031"/>
      <c r="E432" s="1065" t="s">
        <v>263</v>
      </c>
      <c r="F432" s="1061"/>
      <c r="G432" s="1061"/>
      <c r="H432" s="1009"/>
    </row>
    <row r="433" spans="1:8">
      <c r="A433" s="92" t="s">
        <v>93</v>
      </c>
      <c r="B433" s="377" t="s">
        <v>256</v>
      </c>
      <c r="C433" s="491" t="s">
        <v>421</v>
      </c>
      <c r="D433" s="492" t="s">
        <v>284</v>
      </c>
      <c r="E433" s="1039" t="s">
        <v>269</v>
      </c>
      <c r="F433" s="1040"/>
      <c r="G433" s="1022" t="s">
        <v>242</v>
      </c>
      <c r="H433" s="1023"/>
    </row>
    <row r="434" spans="1:8" ht="14.65" thickBot="1">
      <c r="A434" s="93" t="s">
        <v>18</v>
      </c>
      <c r="B434" s="403" t="s">
        <v>35</v>
      </c>
      <c r="C434" s="154" t="s">
        <v>35</v>
      </c>
      <c r="D434" s="155" t="s">
        <v>35</v>
      </c>
      <c r="E434" s="153" t="s">
        <v>257</v>
      </c>
      <c r="F434" s="423" t="s">
        <v>237</v>
      </c>
      <c r="G434" s="403" t="s">
        <v>71</v>
      </c>
      <c r="H434" s="155" t="s">
        <v>237</v>
      </c>
    </row>
    <row r="435" spans="1:8">
      <c r="A435" s="148" t="s">
        <v>72</v>
      </c>
      <c r="B435" s="459">
        <f>D289</f>
        <v>430.90513102406356</v>
      </c>
      <c r="C435" s="160">
        <f>$C$378</f>
        <v>18189.357739613642</v>
      </c>
      <c r="D435" s="467">
        <f>$C$376</f>
        <v>44425.148399299331</v>
      </c>
      <c r="E435" s="443">
        <f t="shared" ref="E435:E456" si="38">B435/C435*1000000</f>
        <v>23689.958556679438</v>
      </c>
      <c r="F435" s="560">
        <f>E435/1000000</f>
        <v>2.3689958556679439E-2</v>
      </c>
      <c r="G435" s="443">
        <f t="shared" ref="G435:G456" si="39">B435/D435*1000000</f>
        <v>9699.5766260819018</v>
      </c>
      <c r="H435" s="460">
        <f>G435/1000000</f>
        <v>9.6995766260819013E-3</v>
      </c>
    </row>
    <row r="436" spans="1:8">
      <c r="A436" s="149" t="s">
        <v>73</v>
      </c>
      <c r="B436" s="461">
        <f>D290</f>
        <v>0.38008067870716067</v>
      </c>
      <c r="C436" s="119">
        <f t="shared" ref="C436:C456" si="40">$C$378</f>
        <v>18189.357739613642</v>
      </c>
      <c r="D436" s="468">
        <f t="shared" ref="D436:D456" si="41">$C$376</f>
        <v>44425.148399299331</v>
      </c>
      <c r="E436" s="444">
        <f t="shared" si="38"/>
        <v>20.895772360307316</v>
      </c>
      <c r="F436" s="561">
        <f t="shared" ref="F436:F456" si="42">E436/1000000</f>
        <v>2.0895772360307315E-5</v>
      </c>
      <c r="G436" s="444">
        <f t="shared" si="39"/>
        <v>8.5555297483970882</v>
      </c>
      <c r="H436" s="462">
        <f t="shared" ref="H436:H456" si="43">G436/1000000</f>
        <v>8.5555297483970878E-6</v>
      </c>
    </row>
    <row r="437" spans="1:8">
      <c r="A437" s="149" t="s">
        <v>74</v>
      </c>
      <c r="B437" s="461">
        <f t="shared" ref="B437:B451" si="44">D291</f>
        <v>2262.8031236552915</v>
      </c>
      <c r="C437" s="119">
        <f t="shared" si="40"/>
        <v>18189.357739613642</v>
      </c>
      <c r="D437" s="468">
        <f t="shared" si="41"/>
        <v>44425.148399299331</v>
      </c>
      <c r="E437" s="444">
        <f t="shared" si="38"/>
        <v>124402.58507463691</v>
      </c>
      <c r="F437" s="561">
        <f t="shared" si="42"/>
        <v>0.1244025850746369</v>
      </c>
      <c r="G437" s="444">
        <f t="shared" si="39"/>
        <v>50935.184353621211</v>
      </c>
      <c r="H437" s="462">
        <f t="shared" si="43"/>
        <v>5.093518435362121E-2</v>
      </c>
    </row>
    <row r="438" spans="1:8">
      <c r="A438" s="149" t="s">
        <v>75</v>
      </c>
      <c r="B438" s="461">
        <f t="shared" si="44"/>
        <v>4.2159592974362316E-2</v>
      </c>
      <c r="C438" s="119">
        <f t="shared" si="40"/>
        <v>18189.357739613642</v>
      </c>
      <c r="D438" s="468">
        <f t="shared" si="41"/>
        <v>44425.148399299331</v>
      </c>
      <c r="E438" s="444">
        <f t="shared" si="38"/>
        <v>2.3178164714714011</v>
      </c>
      <c r="F438" s="561">
        <f t="shared" si="42"/>
        <v>2.3178164714714011E-6</v>
      </c>
      <c r="G438" s="444">
        <f t="shared" si="39"/>
        <v>0.94900286196966877</v>
      </c>
      <c r="H438" s="462">
        <f t="shared" si="43"/>
        <v>9.4900286196966875E-7</v>
      </c>
    </row>
    <row r="439" spans="1:8">
      <c r="A439" s="149" t="s">
        <v>76</v>
      </c>
      <c r="B439" s="461">
        <f t="shared" si="44"/>
        <v>1.1984159274872836</v>
      </c>
      <c r="C439" s="119">
        <f t="shared" si="40"/>
        <v>18189.357739613642</v>
      </c>
      <c r="D439" s="468">
        <f t="shared" si="41"/>
        <v>44425.148399299331</v>
      </c>
      <c r="E439" s="444">
        <f t="shared" si="38"/>
        <v>65.885554874613135</v>
      </c>
      <c r="F439" s="561">
        <f t="shared" si="42"/>
        <v>6.5885554874613132E-5</v>
      </c>
      <c r="G439" s="444">
        <f t="shared" si="39"/>
        <v>26.976070326558212</v>
      </c>
      <c r="H439" s="462">
        <f t="shared" si="43"/>
        <v>2.697607032655821E-5</v>
      </c>
    </row>
    <row r="440" spans="1:8">
      <c r="A440" s="150" t="s">
        <v>77</v>
      </c>
      <c r="B440" s="461">
        <f t="shared" si="44"/>
        <v>17.630714141358801</v>
      </c>
      <c r="C440" s="119">
        <f t="shared" si="40"/>
        <v>18189.357739613642</v>
      </c>
      <c r="D440" s="468">
        <f t="shared" si="41"/>
        <v>44425.148399299331</v>
      </c>
      <c r="E440" s="444">
        <f t="shared" si="38"/>
        <v>969.28733788999034</v>
      </c>
      <c r="F440" s="561">
        <f t="shared" si="42"/>
        <v>9.6928733788999039E-4</v>
      </c>
      <c r="G440" s="444">
        <f t="shared" si="39"/>
        <v>396.86337078475287</v>
      </c>
      <c r="H440" s="462">
        <f t="shared" si="43"/>
        <v>3.9686337078475285E-4</v>
      </c>
    </row>
    <row r="441" spans="1:8">
      <c r="A441" s="150" t="s">
        <v>78</v>
      </c>
      <c r="B441" s="461">
        <f t="shared" si="44"/>
        <v>616.48237502602831</v>
      </c>
      <c r="C441" s="119">
        <f t="shared" si="40"/>
        <v>18189.357739613642</v>
      </c>
      <c r="D441" s="468">
        <f t="shared" si="41"/>
        <v>44425.148399299331</v>
      </c>
      <c r="E441" s="444">
        <f t="shared" si="38"/>
        <v>33892.476240841861</v>
      </c>
      <c r="F441" s="561">
        <f t="shared" si="42"/>
        <v>3.3892476240841858E-2</v>
      </c>
      <c r="G441" s="444">
        <f t="shared" si="39"/>
        <v>13876.878237636936</v>
      </c>
      <c r="H441" s="462">
        <f t="shared" si="43"/>
        <v>1.3876878237636937E-2</v>
      </c>
    </row>
    <row r="442" spans="1:8">
      <c r="A442" s="150" t="s">
        <v>79</v>
      </c>
      <c r="B442" s="461">
        <f t="shared" si="44"/>
        <v>43.293684727334266</v>
      </c>
      <c r="C442" s="119">
        <f t="shared" si="40"/>
        <v>18189.357739613642</v>
      </c>
      <c r="D442" s="468">
        <f t="shared" si="41"/>
        <v>44425.148399299331</v>
      </c>
      <c r="E442" s="444">
        <f t="shared" si="38"/>
        <v>2380.1656631914625</v>
      </c>
      <c r="F442" s="561">
        <f t="shared" si="42"/>
        <v>2.3801656631914623E-3</v>
      </c>
      <c r="G442" s="444">
        <f t="shared" si="39"/>
        <v>974.53100973810342</v>
      </c>
      <c r="H442" s="462">
        <f t="shared" si="43"/>
        <v>9.7453100973810339E-4</v>
      </c>
    </row>
    <row r="443" spans="1:8">
      <c r="A443" s="150" t="s">
        <v>80</v>
      </c>
      <c r="B443" s="461">
        <f t="shared" si="44"/>
        <v>59.897207747843126</v>
      </c>
      <c r="C443" s="119">
        <f t="shared" si="40"/>
        <v>18189.357739613642</v>
      </c>
      <c r="D443" s="468">
        <f t="shared" si="41"/>
        <v>44425.148399299331</v>
      </c>
      <c r="E443" s="444">
        <f t="shared" si="38"/>
        <v>3292.9809070386341</v>
      </c>
      <c r="F443" s="561">
        <f t="shared" si="42"/>
        <v>3.2929809070386339E-3</v>
      </c>
      <c r="G443" s="444">
        <f t="shared" si="39"/>
        <v>1348.2725417027041</v>
      </c>
      <c r="H443" s="462">
        <f t="shared" si="43"/>
        <v>1.3482725417027041E-3</v>
      </c>
    </row>
    <row r="444" spans="1:8">
      <c r="A444" s="150" t="s">
        <v>81</v>
      </c>
      <c r="B444" s="461">
        <f t="shared" si="44"/>
        <v>21.645369863504222</v>
      </c>
      <c r="C444" s="119">
        <f t="shared" si="40"/>
        <v>18189.357739613642</v>
      </c>
      <c r="D444" s="468">
        <f t="shared" si="41"/>
        <v>44425.148399299331</v>
      </c>
      <c r="E444" s="444">
        <f t="shared" si="38"/>
        <v>1190.0018776564009</v>
      </c>
      <c r="F444" s="561">
        <f t="shared" si="42"/>
        <v>1.1900018776564009E-3</v>
      </c>
      <c r="G444" s="444">
        <f t="shared" si="39"/>
        <v>487.23235922483963</v>
      </c>
      <c r="H444" s="462">
        <f t="shared" si="43"/>
        <v>4.8723235922483964E-4</v>
      </c>
    </row>
    <row r="445" spans="1:8">
      <c r="A445" s="150" t="s">
        <v>82</v>
      </c>
      <c r="B445" s="461">
        <f t="shared" si="44"/>
        <v>1.0543201939589044</v>
      </c>
      <c r="C445" s="119">
        <f t="shared" si="40"/>
        <v>18189.357739613642</v>
      </c>
      <c r="D445" s="468">
        <f t="shared" si="41"/>
        <v>44425.148399299331</v>
      </c>
      <c r="E445" s="444">
        <f t="shared" si="38"/>
        <v>57.963574583106698</v>
      </c>
      <c r="F445" s="561">
        <f t="shared" si="42"/>
        <v>5.7963574583106701E-5</v>
      </c>
      <c r="G445" s="444">
        <f t="shared" si="39"/>
        <v>23.732508093896048</v>
      </c>
      <c r="H445" s="462">
        <f t="shared" si="43"/>
        <v>2.3732508093896047E-5</v>
      </c>
    </row>
    <row r="446" spans="1:8">
      <c r="A446" s="150" t="s">
        <v>213</v>
      </c>
      <c r="B446" s="461">
        <f t="shared" si="44"/>
        <v>229.52336248555733</v>
      </c>
      <c r="C446" s="119">
        <f t="shared" si="40"/>
        <v>18189.357739613642</v>
      </c>
      <c r="D446" s="468">
        <f t="shared" si="41"/>
        <v>44425.148399299331</v>
      </c>
      <c r="E446" s="444">
        <f t="shared" si="38"/>
        <v>12618.552329953382</v>
      </c>
      <c r="F446" s="561">
        <f t="shared" si="42"/>
        <v>1.2618552329953382E-2</v>
      </c>
      <c r="G446" s="444">
        <f t="shared" si="39"/>
        <v>5166.5187569565296</v>
      </c>
      <c r="H446" s="462">
        <f t="shared" si="43"/>
        <v>5.1665187569565297E-3</v>
      </c>
    </row>
    <row r="447" spans="1:8">
      <c r="A447" s="150" t="s">
        <v>96</v>
      </c>
      <c r="B447" s="461">
        <f t="shared" si="44"/>
        <v>82.640306122448976</v>
      </c>
      <c r="C447" s="119">
        <f t="shared" si="40"/>
        <v>18189.357739613642</v>
      </c>
      <c r="D447" s="468">
        <f t="shared" si="41"/>
        <v>44425.148399299331</v>
      </c>
      <c r="E447" s="444">
        <f t="shared" si="38"/>
        <v>4543.332827110823</v>
      </c>
      <c r="F447" s="561">
        <f t="shared" si="42"/>
        <v>4.5433328271108232E-3</v>
      </c>
      <c r="G447" s="444">
        <f t="shared" si="39"/>
        <v>1860.2145203808113</v>
      </c>
      <c r="H447" s="462">
        <f t="shared" si="43"/>
        <v>1.8602145203808114E-3</v>
      </c>
    </row>
    <row r="448" spans="1:8">
      <c r="A448" s="150" t="s">
        <v>97</v>
      </c>
      <c r="B448" s="461">
        <f t="shared" si="44"/>
        <v>312.16366860800628</v>
      </c>
      <c r="C448" s="119">
        <f t="shared" si="40"/>
        <v>18189.357739613642</v>
      </c>
      <c r="D448" s="468">
        <f t="shared" si="41"/>
        <v>44425.148399299331</v>
      </c>
      <c r="E448" s="444">
        <f t="shared" si="38"/>
        <v>17161.885157064204</v>
      </c>
      <c r="F448" s="561">
        <f t="shared" si="42"/>
        <v>1.7161885157064204E-2</v>
      </c>
      <c r="G448" s="444">
        <f t="shared" si="39"/>
        <v>7026.73327733734</v>
      </c>
      <c r="H448" s="462">
        <f t="shared" si="43"/>
        <v>7.02673327733734E-3</v>
      </c>
    </row>
    <row r="449" spans="1:8">
      <c r="A449" s="150" t="s">
        <v>84</v>
      </c>
      <c r="B449" s="461">
        <f t="shared" si="44"/>
        <v>1.5770260906365936</v>
      </c>
      <c r="C449" s="119">
        <f t="shared" si="40"/>
        <v>18189.357739613642</v>
      </c>
      <c r="D449" s="468">
        <f t="shared" si="41"/>
        <v>44425.148399299331</v>
      </c>
      <c r="E449" s="444">
        <f t="shared" si="38"/>
        <v>86.700482403623937</v>
      </c>
      <c r="F449" s="561">
        <f t="shared" si="42"/>
        <v>8.670048240362393E-5</v>
      </c>
      <c r="G449" s="444">
        <f t="shared" si="39"/>
        <v>35.49849910375238</v>
      </c>
      <c r="H449" s="462">
        <f t="shared" si="43"/>
        <v>3.5498499103752378E-5</v>
      </c>
    </row>
    <row r="450" spans="1:8">
      <c r="A450" s="150" t="s">
        <v>249</v>
      </c>
      <c r="B450" s="461">
        <f t="shared" si="44"/>
        <v>248.5959</v>
      </c>
      <c r="C450" s="119">
        <f t="shared" si="40"/>
        <v>18189.357739613642</v>
      </c>
      <c r="D450" s="468">
        <f t="shared" si="41"/>
        <v>44425.148399299331</v>
      </c>
      <c r="E450" s="444">
        <f t="shared" si="38"/>
        <v>13667.107083093764</v>
      </c>
      <c r="F450" s="561">
        <f t="shared" si="42"/>
        <v>1.3667107083093764E-2</v>
      </c>
      <c r="G450" s="444">
        <f t="shared" si="39"/>
        <v>5595.8372443820772</v>
      </c>
      <c r="H450" s="462">
        <f t="shared" si="43"/>
        <v>5.5958372443820773E-3</v>
      </c>
    </row>
    <row r="451" spans="1:8">
      <c r="A451" s="150" t="s">
        <v>250</v>
      </c>
      <c r="B451" s="461">
        <f t="shared" si="44"/>
        <v>1861.2244897959183</v>
      </c>
      <c r="C451" s="119">
        <f t="shared" si="40"/>
        <v>18189.357739613642</v>
      </c>
      <c r="D451" s="468">
        <f t="shared" si="41"/>
        <v>44425.148399299331</v>
      </c>
      <c r="E451" s="444">
        <f t="shared" si="38"/>
        <v>102324.9152850766</v>
      </c>
      <c r="F451" s="561">
        <f t="shared" si="42"/>
        <v>0.1023249152850766</v>
      </c>
      <c r="G451" s="444">
        <f t="shared" si="39"/>
        <v>41895.740517667538</v>
      </c>
      <c r="H451" s="462">
        <f t="shared" si="43"/>
        <v>4.1895740517667542E-2</v>
      </c>
    </row>
    <row r="452" spans="1:8">
      <c r="A452" s="150" t="s">
        <v>251</v>
      </c>
      <c r="B452" s="461">
        <f>D306</f>
        <v>2109.8203897959183</v>
      </c>
      <c r="C452" s="119">
        <f t="shared" si="40"/>
        <v>18189.357739613642</v>
      </c>
      <c r="D452" s="468">
        <f t="shared" si="41"/>
        <v>44425.148399299331</v>
      </c>
      <c r="E452" s="444">
        <f t="shared" si="38"/>
        <v>115992.02236817036</v>
      </c>
      <c r="F452" s="561">
        <f t="shared" si="42"/>
        <v>0.11599202236817037</v>
      </c>
      <c r="G452" s="444">
        <f t="shared" si="39"/>
        <v>47491.577762049616</v>
      </c>
      <c r="H452" s="462">
        <f t="shared" si="43"/>
        <v>4.7491577762049618E-2</v>
      </c>
    </row>
    <row r="453" spans="1:8">
      <c r="A453" s="151" t="s">
        <v>238</v>
      </c>
      <c r="B453" s="461">
        <f>D307</f>
        <v>6329.461169387755</v>
      </c>
      <c r="C453" s="119">
        <f t="shared" si="40"/>
        <v>18189.357739613642</v>
      </c>
      <c r="D453" s="468">
        <f t="shared" si="41"/>
        <v>44425.148399299331</v>
      </c>
      <c r="E453" s="444">
        <f t="shared" si="38"/>
        <v>347976.06710451108</v>
      </c>
      <c r="F453" s="561">
        <f t="shared" si="42"/>
        <v>0.34797606710451107</v>
      </c>
      <c r="G453" s="444">
        <f t="shared" si="39"/>
        <v>142474.73328614884</v>
      </c>
      <c r="H453" s="462">
        <f t="shared" si="43"/>
        <v>0.14247473328614885</v>
      </c>
    </row>
    <row r="454" spans="1:8">
      <c r="A454" s="151" t="s">
        <v>239</v>
      </c>
      <c r="B454" s="461">
        <f>D308</f>
        <v>8966.7366566326527</v>
      </c>
      <c r="C454" s="119">
        <f t="shared" si="40"/>
        <v>18189.357739613642</v>
      </c>
      <c r="D454" s="468">
        <f t="shared" si="41"/>
        <v>44425.148399299331</v>
      </c>
      <c r="E454" s="444">
        <f t="shared" si="38"/>
        <v>492966.09506472404</v>
      </c>
      <c r="F454" s="561">
        <f t="shared" si="42"/>
        <v>0.49296609506472405</v>
      </c>
      <c r="G454" s="444">
        <f t="shared" si="39"/>
        <v>201839.20548871087</v>
      </c>
      <c r="H454" s="462">
        <f t="shared" si="43"/>
        <v>0.20183920548871087</v>
      </c>
    </row>
    <row r="455" spans="1:8">
      <c r="A455" s="151" t="s">
        <v>248</v>
      </c>
      <c r="B455" s="461">
        <f>D309</f>
        <v>28.666293294868073</v>
      </c>
      <c r="C455" s="119">
        <f t="shared" si="40"/>
        <v>18189.357739613642</v>
      </c>
      <c r="D455" s="468">
        <f t="shared" si="41"/>
        <v>44425.148399299331</v>
      </c>
      <c r="E455" s="444">
        <f t="shared" si="38"/>
        <v>1575.9926054143884</v>
      </c>
      <c r="F455" s="561">
        <f>E455/1000000</f>
        <v>1.5759926054143883E-3</v>
      </c>
      <c r="G455" s="444">
        <f t="shared" si="39"/>
        <v>645.27175097337874</v>
      </c>
      <c r="H455" s="462">
        <f>G455/1000000</f>
        <v>6.4527175097337875E-4</v>
      </c>
    </row>
    <row r="456" spans="1:8" ht="14.65" thickBot="1">
      <c r="A456" s="152" t="s">
        <v>86</v>
      </c>
      <c r="B456" s="463">
        <f>D310</f>
        <v>48.157991274674998</v>
      </c>
      <c r="C456" s="135">
        <f t="shared" si="40"/>
        <v>18189.357739613642</v>
      </c>
      <c r="D456" s="469">
        <f t="shared" si="41"/>
        <v>44425.148399299331</v>
      </c>
      <c r="E456" s="445">
        <f t="shared" si="38"/>
        <v>2647.5916282516259</v>
      </c>
      <c r="F456" s="562">
        <f t="shared" si="42"/>
        <v>2.647591628251626E-3</v>
      </c>
      <c r="G456" s="445">
        <f t="shared" si="39"/>
        <v>1084.0254452686206</v>
      </c>
      <c r="H456" s="464">
        <f t="shared" si="43"/>
        <v>1.0840254452686205E-3</v>
      </c>
    </row>
    <row r="457" spans="1:8">
      <c r="D457" s="654"/>
    </row>
    <row r="458" spans="1:8">
      <c r="A458" s="1" t="s">
        <v>138</v>
      </c>
      <c r="B458" s="1"/>
      <c r="C458" s="79"/>
      <c r="D458" s="79"/>
    </row>
    <row r="459" spans="1:8" ht="14.65" thickBot="1">
      <c r="A459" s="79" t="s">
        <v>358</v>
      </c>
      <c r="B459" s="79"/>
      <c r="C459" s="79"/>
    </row>
    <row r="460" spans="1:8">
      <c r="A460" s="2"/>
      <c r="B460" s="369" t="s">
        <v>43</v>
      </c>
    </row>
    <row r="461" spans="1:8" ht="14.65" thickBot="1">
      <c r="A461" s="5"/>
      <c r="B461" s="319" t="s">
        <v>35</v>
      </c>
    </row>
    <row r="462" spans="1:8" ht="14.65" thickBot="1">
      <c r="A462" s="9" t="s">
        <v>347</v>
      </c>
      <c r="B462" s="627">
        <f>B9</f>
        <v>17500</v>
      </c>
    </row>
    <row r="464" spans="1:8" ht="14.65" thickBot="1">
      <c r="A464" s="120" t="s">
        <v>304</v>
      </c>
      <c r="B464" s="79"/>
      <c r="C464" s="79"/>
    </row>
    <row r="465" spans="1:3" ht="14.65" thickBot="1">
      <c r="A465" s="519"/>
      <c r="B465" s="171" t="s">
        <v>263</v>
      </c>
      <c r="C465" s="9" t="s">
        <v>262</v>
      </c>
    </row>
    <row r="466" spans="1:3">
      <c r="A466" s="115"/>
      <c r="B466" s="624" t="s">
        <v>43</v>
      </c>
      <c r="C466" s="336" t="s">
        <v>43</v>
      </c>
    </row>
    <row r="467" spans="1:3" ht="14.65" thickBot="1">
      <c r="A467" s="133" t="s">
        <v>18</v>
      </c>
      <c r="B467" s="233" t="s">
        <v>70</v>
      </c>
      <c r="C467" s="73" t="s">
        <v>35</v>
      </c>
    </row>
    <row r="468" spans="1:3">
      <c r="A468" s="231" t="s">
        <v>72</v>
      </c>
      <c r="B468" s="413">
        <v>47700</v>
      </c>
      <c r="C468" s="531">
        <f>$B$462*B468/1000000</f>
        <v>834.75</v>
      </c>
    </row>
    <row r="469" spans="1:3">
      <c r="A469" s="232" t="s">
        <v>73</v>
      </c>
      <c r="B469" s="625">
        <v>31</v>
      </c>
      <c r="C469" s="472">
        <f t="shared" ref="C469:C482" si="45">$B$462*B469/1000000</f>
        <v>0.54249999999999998</v>
      </c>
    </row>
    <row r="470" spans="1:3">
      <c r="A470" s="232" t="s">
        <v>74</v>
      </c>
      <c r="B470" s="625">
        <v>85425</v>
      </c>
      <c r="C470" s="472">
        <f t="shared" si="45"/>
        <v>1494.9375</v>
      </c>
    </row>
    <row r="471" spans="1:3">
      <c r="A471" s="232" t="s">
        <v>75</v>
      </c>
      <c r="B471" s="625">
        <v>2.2000000000000002</v>
      </c>
      <c r="C471" s="472">
        <f t="shared" si="45"/>
        <v>3.85E-2</v>
      </c>
    </row>
    <row r="472" spans="1:3">
      <c r="A472" s="232" t="s">
        <v>76</v>
      </c>
      <c r="B472" s="625">
        <v>91</v>
      </c>
      <c r="C472" s="472">
        <f t="shared" si="45"/>
        <v>1.5925</v>
      </c>
    </row>
    <row r="473" spans="1:3">
      <c r="A473" s="232" t="s">
        <v>77</v>
      </c>
      <c r="B473" s="625">
        <v>663</v>
      </c>
      <c r="C473" s="472">
        <f t="shared" si="45"/>
        <v>11.602499999999999</v>
      </c>
    </row>
    <row r="474" spans="1:3">
      <c r="A474" s="232" t="s">
        <v>78</v>
      </c>
      <c r="B474" s="625">
        <v>109000</v>
      </c>
      <c r="C474" s="472">
        <f t="shared" si="45"/>
        <v>1907.5</v>
      </c>
    </row>
    <row r="475" spans="1:3">
      <c r="A475" s="232" t="s">
        <v>79</v>
      </c>
      <c r="B475" s="625">
        <v>9375</v>
      </c>
      <c r="C475" s="472">
        <f t="shared" si="45"/>
        <v>164.0625</v>
      </c>
    </row>
    <row r="476" spans="1:3">
      <c r="A476" s="232" t="s">
        <v>80</v>
      </c>
      <c r="B476" s="625">
        <v>12191.833333333334</v>
      </c>
      <c r="C476" s="472">
        <f t="shared" si="45"/>
        <v>213.35708333333335</v>
      </c>
    </row>
    <row r="477" spans="1:3">
      <c r="A477" s="232" t="s">
        <v>81</v>
      </c>
      <c r="B477" s="625">
        <v>2530</v>
      </c>
      <c r="C477" s="472">
        <f t="shared" si="45"/>
        <v>44.274999999999999</v>
      </c>
    </row>
    <row r="478" spans="1:3">
      <c r="A478" s="232" t="s">
        <v>82</v>
      </c>
      <c r="B478" s="625">
        <v>64.5</v>
      </c>
      <c r="C478" s="472">
        <f t="shared" si="45"/>
        <v>1.1287499999999999</v>
      </c>
    </row>
    <row r="479" spans="1:3">
      <c r="A479" s="232" t="s">
        <v>83</v>
      </c>
      <c r="B479" s="625">
        <v>70700</v>
      </c>
      <c r="C479" s="472">
        <f t="shared" si="45"/>
        <v>1237.25</v>
      </c>
    </row>
    <row r="480" spans="1:3">
      <c r="A480" s="232" t="s">
        <v>84</v>
      </c>
      <c r="B480" s="625">
        <v>117</v>
      </c>
      <c r="C480" s="472">
        <f t="shared" si="45"/>
        <v>2.0474999999999999</v>
      </c>
    </row>
    <row r="481" spans="1:7">
      <c r="A481" s="232" t="s">
        <v>85</v>
      </c>
      <c r="B481" s="625">
        <v>5857.8888888888887</v>
      </c>
      <c r="C481" s="472">
        <f t="shared" si="45"/>
        <v>102.51305555555555</v>
      </c>
    </row>
    <row r="482" spans="1:7" ht="14.65" thickBot="1">
      <c r="A482" s="233" t="s">
        <v>86</v>
      </c>
      <c r="B482" s="626">
        <v>2260</v>
      </c>
      <c r="C482" s="756">
        <f t="shared" si="45"/>
        <v>39.549999999999997</v>
      </c>
    </row>
    <row r="484" spans="1:7" ht="14.65" thickBot="1">
      <c r="A484" s="79" t="s">
        <v>362</v>
      </c>
    </row>
    <row r="485" spans="1:7" ht="14.65" thickBot="1">
      <c r="A485" s="419"/>
      <c r="B485" s="1019" t="s">
        <v>262</v>
      </c>
      <c r="C485" s="1021"/>
      <c r="D485" s="1021"/>
      <c r="E485" s="1020"/>
      <c r="F485" s="1019" t="s">
        <v>263</v>
      </c>
      <c r="G485" s="1020"/>
    </row>
    <row r="486" spans="1:7">
      <c r="A486" s="92" t="s">
        <v>93</v>
      </c>
      <c r="B486" s="266" t="s">
        <v>136</v>
      </c>
      <c r="C486" s="274" t="s">
        <v>141</v>
      </c>
      <c r="D486" s="274" t="s">
        <v>142</v>
      </c>
      <c r="E486" s="324" t="s">
        <v>143</v>
      </c>
      <c r="F486" s="1022" t="s">
        <v>95</v>
      </c>
      <c r="G486" s="1023"/>
    </row>
    <row r="487" spans="1:7" ht="14.65" thickBot="1">
      <c r="A487" s="93" t="s">
        <v>297</v>
      </c>
      <c r="B487" s="153" t="s">
        <v>35</v>
      </c>
      <c r="C487" s="154" t="s">
        <v>35</v>
      </c>
      <c r="D487" s="154" t="s">
        <v>35</v>
      </c>
      <c r="E487" s="423" t="s">
        <v>35</v>
      </c>
      <c r="F487" s="403" t="s">
        <v>257</v>
      </c>
      <c r="G487" s="155" t="s">
        <v>237</v>
      </c>
    </row>
    <row r="488" spans="1:7">
      <c r="A488" s="148" t="s">
        <v>72</v>
      </c>
      <c r="B488" s="459">
        <f>B408</f>
        <v>749.94286897593634</v>
      </c>
      <c r="C488" s="160">
        <f>C468</f>
        <v>834.75</v>
      </c>
      <c r="D488" s="141">
        <f>B488+C488</f>
        <v>1584.6928689759363</v>
      </c>
      <c r="E488" s="501">
        <f>$C$391+$B$462</f>
        <v>34530.516350292601</v>
      </c>
      <c r="F488" s="443">
        <f t="shared" ref="F488:F504" si="46">D488/E488*1000000</f>
        <v>45892.533227714332</v>
      </c>
      <c r="G488" s="460">
        <f>F488/1000000</f>
        <v>4.5892533227714333E-2</v>
      </c>
    </row>
    <row r="489" spans="1:7">
      <c r="A489" s="149" t="s">
        <v>73</v>
      </c>
      <c r="B489" s="461">
        <f>B409</f>
        <v>3.3119321292839343E-2</v>
      </c>
      <c r="C489" s="119">
        <f>C469</f>
        <v>0.54249999999999998</v>
      </c>
      <c r="D489" s="89">
        <f t="shared" ref="D489:D504" si="47">B489+C489</f>
        <v>0.57561932129283933</v>
      </c>
      <c r="E489" s="502">
        <f>$C$391+$B$462</f>
        <v>34530.516350292601</v>
      </c>
      <c r="F489" s="444">
        <f t="shared" si="46"/>
        <v>16.66987297419784</v>
      </c>
      <c r="G489" s="462">
        <f t="shared" ref="G489:G504" si="48">F489/1000000</f>
        <v>1.6669872974197839E-5</v>
      </c>
    </row>
    <row r="490" spans="1:7">
      <c r="A490" s="149" t="s">
        <v>74</v>
      </c>
      <c r="B490" s="461">
        <f t="shared" ref="B490:B498" si="49">B410</f>
        <v>425.3692763447084</v>
      </c>
      <c r="C490" s="119">
        <f t="shared" ref="C490:C497" si="50">C470</f>
        <v>1494.9375</v>
      </c>
      <c r="D490" s="89">
        <f t="shared" si="47"/>
        <v>1920.3067763447084</v>
      </c>
      <c r="E490" s="502">
        <f t="shared" ref="E490:E503" si="51">$C$391+$B$462</f>
        <v>34530.516350292601</v>
      </c>
      <c r="F490" s="444">
        <f t="shared" si="46"/>
        <v>55611.875503519259</v>
      </c>
      <c r="G490" s="462">
        <f t="shared" si="48"/>
        <v>5.5611875503519259E-2</v>
      </c>
    </row>
    <row r="491" spans="1:7">
      <c r="A491" s="149" t="s">
        <v>75</v>
      </c>
      <c r="B491" s="461">
        <f t="shared" si="49"/>
        <v>1.3840407025637685E-2</v>
      </c>
      <c r="C491" s="119">
        <f t="shared" si="50"/>
        <v>3.85E-2</v>
      </c>
      <c r="D491" s="89">
        <f t="shared" si="47"/>
        <v>5.2340407025637685E-2</v>
      </c>
      <c r="E491" s="502">
        <f t="shared" si="51"/>
        <v>34530.516350292601</v>
      </c>
      <c r="F491" s="444">
        <f t="shared" si="46"/>
        <v>1.5157724980036151</v>
      </c>
      <c r="G491" s="462">
        <f t="shared" si="48"/>
        <v>1.5157724980036151E-6</v>
      </c>
    </row>
    <row r="492" spans="1:7">
      <c r="A492" s="149" t="s">
        <v>76</v>
      </c>
      <c r="B492" s="461">
        <f t="shared" si="49"/>
        <v>0.81088407251271644</v>
      </c>
      <c r="C492" s="119">
        <f t="shared" si="50"/>
        <v>1.5925</v>
      </c>
      <c r="D492" s="89">
        <f t="shared" si="47"/>
        <v>2.4033840725127167</v>
      </c>
      <c r="E492" s="502">
        <f t="shared" si="51"/>
        <v>34530.516350292601</v>
      </c>
      <c r="F492" s="444">
        <f t="shared" si="46"/>
        <v>69.601741489520222</v>
      </c>
      <c r="G492" s="462">
        <f t="shared" si="48"/>
        <v>6.9601741489520229E-5</v>
      </c>
    </row>
    <row r="493" spans="1:7">
      <c r="A493" s="150" t="s">
        <v>77</v>
      </c>
      <c r="B493" s="461">
        <f t="shared" si="49"/>
        <v>4.1285858641199269E-2</v>
      </c>
      <c r="C493" s="119">
        <f t="shared" si="50"/>
        <v>11.602499999999999</v>
      </c>
      <c r="D493" s="89">
        <f t="shared" si="47"/>
        <v>11.643785858641198</v>
      </c>
      <c r="E493" s="502">
        <f t="shared" si="51"/>
        <v>34530.516350292601</v>
      </c>
      <c r="F493" s="444">
        <f t="shared" si="46"/>
        <v>337.202772774133</v>
      </c>
      <c r="G493" s="462">
        <f t="shared" si="48"/>
        <v>3.3720277277413298E-4</v>
      </c>
    </row>
    <row r="494" spans="1:7">
      <c r="A494" s="150" t="s">
        <v>78</v>
      </c>
      <c r="B494" s="461">
        <f t="shared" si="49"/>
        <v>604.6466249739716</v>
      </c>
      <c r="C494" s="119">
        <f t="shared" si="50"/>
        <v>1907.5</v>
      </c>
      <c r="D494" s="89">
        <f t="shared" si="47"/>
        <v>2512.1466249739715</v>
      </c>
      <c r="E494" s="502">
        <f t="shared" si="51"/>
        <v>34530.516350292601</v>
      </c>
      <c r="F494" s="444">
        <f t="shared" si="46"/>
        <v>72751.493186191074</v>
      </c>
      <c r="G494" s="462">
        <f t="shared" si="48"/>
        <v>7.2751493186191077E-2</v>
      </c>
    </row>
    <row r="495" spans="1:7">
      <c r="A495" s="150" t="s">
        <v>79</v>
      </c>
      <c r="B495" s="461">
        <f t="shared" si="49"/>
        <v>124.40301527266575</v>
      </c>
      <c r="C495" s="119">
        <f t="shared" si="50"/>
        <v>164.0625</v>
      </c>
      <c r="D495" s="89">
        <f t="shared" si="47"/>
        <v>288.46551527266575</v>
      </c>
      <c r="E495" s="502">
        <f t="shared" si="51"/>
        <v>34530.516350292601</v>
      </c>
      <c r="F495" s="444">
        <f t="shared" si="46"/>
        <v>8353.9299657829015</v>
      </c>
      <c r="G495" s="462">
        <f t="shared" si="48"/>
        <v>8.3539299657829011E-3</v>
      </c>
    </row>
    <row r="496" spans="1:7">
      <c r="A496" s="150" t="s">
        <v>80</v>
      </c>
      <c r="B496" s="461">
        <f t="shared" si="49"/>
        <v>183.84549225215687</v>
      </c>
      <c r="C496" s="119">
        <f t="shared" si="50"/>
        <v>213.35708333333335</v>
      </c>
      <c r="D496" s="89">
        <f t="shared" si="47"/>
        <v>397.20257558549019</v>
      </c>
      <c r="E496" s="502">
        <f t="shared" si="51"/>
        <v>34530.516350292601</v>
      </c>
      <c r="F496" s="444">
        <f t="shared" si="46"/>
        <v>11502.943412606235</v>
      </c>
      <c r="G496" s="462">
        <f t="shared" si="48"/>
        <v>1.1502943412606235E-2</v>
      </c>
    </row>
    <row r="497" spans="1:7">
      <c r="A497" s="150" t="s">
        <v>81</v>
      </c>
      <c r="B497" s="461">
        <f t="shared" si="49"/>
        <v>98.977330136495794</v>
      </c>
      <c r="C497" s="119">
        <f t="shared" si="50"/>
        <v>44.274999999999999</v>
      </c>
      <c r="D497" s="89">
        <f t="shared" si="47"/>
        <v>143.2523301364958</v>
      </c>
      <c r="E497" s="502">
        <f t="shared" si="51"/>
        <v>34530.516350292601</v>
      </c>
      <c r="F497" s="444">
        <f t="shared" si="46"/>
        <v>4148.5719090696984</v>
      </c>
      <c r="G497" s="462">
        <f t="shared" si="48"/>
        <v>4.1485719090696982E-3</v>
      </c>
    </row>
    <row r="498" spans="1:7">
      <c r="A498" s="150" t="s">
        <v>82</v>
      </c>
      <c r="B498" s="461">
        <f t="shared" si="49"/>
        <v>0.77887980604109552</v>
      </c>
      <c r="C498" s="119">
        <f>C478</f>
        <v>1.1287499999999999</v>
      </c>
      <c r="D498" s="89">
        <f t="shared" si="47"/>
        <v>1.9076298060410954</v>
      </c>
      <c r="E498" s="502">
        <f t="shared" si="51"/>
        <v>34530.516350292601</v>
      </c>
      <c r="F498" s="444">
        <f t="shared" si="46"/>
        <v>55.244751821527011</v>
      </c>
      <c r="G498" s="462">
        <f t="shared" si="48"/>
        <v>5.5244751821527013E-5</v>
      </c>
    </row>
    <row r="499" spans="1:7">
      <c r="A499" s="150" t="s">
        <v>213</v>
      </c>
      <c r="B499" s="461">
        <f>B419</f>
        <v>1341.8616375144429</v>
      </c>
      <c r="C499" s="119">
        <f>C479</f>
        <v>1237.25</v>
      </c>
      <c r="D499" s="89">
        <f t="shared" si="47"/>
        <v>2579.1116375144429</v>
      </c>
      <c r="E499" s="502">
        <f t="shared" si="51"/>
        <v>34530.516350292601</v>
      </c>
      <c r="F499" s="444">
        <f t="shared" si="46"/>
        <v>74690.792670193841</v>
      </c>
      <c r="G499" s="462">
        <f t="shared" si="48"/>
        <v>7.4690792670193837E-2</v>
      </c>
    </row>
    <row r="500" spans="1:7">
      <c r="A500" s="150" t="s">
        <v>96</v>
      </c>
      <c r="B500" s="461">
        <f>B420</f>
        <v>3222.9719387755099</v>
      </c>
      <c r="C500" s="119">
        <v>0</v>
      </c>
      <c r="D500" s="89">
        <f t="shared" si="47"/>
        <v>3222.9719387755099</v>
      </c>
      <c r="E500" s="502">
        <f t="shared" si="51"/>
        <v>34530.516350292601</v>
      </c>
      <c r="F500" s="444">
        <f t="shared" si="46"/>
        <v>93336.917006403222</v>
      </c>
      <c r="G500" s="462">
        <f t="shared" si="48"/>
        <v>9.3336917006403217E-2</v>
      </c>
    </row>
    <row r="501" spans="1:7">
      <c r="A501" s="582" t="s">
        <v>97</v>
      </c>
      <c r="B501" s="461">
        <f>B421</f>
        <v>4564.8335762899524</v>
      </c>
      <c r="C501" s="119">
        <f>C499+C500</f>
        <v>1237.25</v>
      </c>
      <c r="D501" s="89">
        <f t="shared" si="47"/>
        <v>5802.0835762899524</v>
      </c>
      <c r="E501" s="502">
        <f t="shared" si="51"/>
        <v>34530.516350292601</v>
      </c>
      <c r="F501" s="480">
        <f t="shared" si="46"/>
        <v>168027.70967659706</v>
      </c>
      <c r="G501" s="583">
        <f t="shared" si="48"/>
        <v>0.16802770967659705</v>
      </c>
    </row>
    <row r="502" spans="1:7">
      <c r="A502" s="186" t="s">
        <v>84</v>
      </c>
      <c r="B502" s="461">
        <f>B422</f>
        <v>0.47237390936340629</v>
      </c>
      <c r="C502" s="119">
        <f>C480</f>
        <v>2.0474999999999999</v>
      </c>
      <c r="D502" s="89">
        <f t="shared" si="47"/>
        <v>2.5198739093634064</v>
      </c>
      <c r="E502" s="502">
        <f t="shared" si="51"/>
        <v>34530.516350292601</v>
      </c>
      <c r="F502" s="444">
        <f t="shared" si="46"/>
        <v>72.975274502144927</v>
      </c>
      <c r="G502" s="462">
        <f t="shared" si="48"/>
        <v>7.2975274502144931E-5</v>
      </c>
    </row>
    <row r="503" spans="1:7">
      <c r="A503" s="150" t="s">
        <v>85</v>
      </c>
      <c r="B503" s="461">
        <f t="shared" ref="B503" si="52">B423</f>
        <v>0</v>
      </c>
      <c r="C503" s="119">
        <f>C481</f>
        <v>102.51305555555555</v>
      </c>
      <c r="D503" s="89">
        <f t="shared" si="47"/>
        <v>102.51305555555555</v>
      </c>
      <c r="E503" s="502">
        <f t="shared" si="51"/>
        <v>34530.516350292601</v>
      </c>
      <c r="F503" s="444">
        <f t="shared" si="46"/>
        <v>2968.766945608877</v>
      </c>
      <c r="G503" s="462">
        <f t="shared" si="48"/>
        <v>2.9687669456088771E-3</v>
      </c>
    </row>
    <row r="504" spans="1:7" ht="14.65" thickBot="1">
      <c r="A504" s="152" t="s">
        <v>86</v>
      </c>
      <c r="B504" s="463">
        <f>B429</f>
        <v>1.0780087253250059</v>
      </c>
      <c r="C504" s="135">
        <f>C482</f>
        <v>39.549999999999997</v>
      </c>
      <c r="D504" s="94">
        <f t="shared" si="47"/>
        <v>40.628008725325003</v>
      </c>
      <c r="E504" s="503">
        <f>$C$391+$B$462</f>
        <v>34530.516350292601</v>
      </c>
      <c r="F504" s="445">
        <f t="shared" si="46"/>
        <v>1176.5827163769225</v>
      </c>
      <c r="G504" s="464">
        <f t="shared" si="48"/>
        <v>1.1765827163769224E-3</v>
      </c>
    </row>
    <row r="506" spans="1:7">
      <c r="A506" s="329" t="s">
        <v>144</v>
      </c>
      <c r="B506" s="329"/>
      <c r="C506" s="329"/>
      <c r="D506" s="329"/>
      <c r="E506" s="329"/>
    </row>
    <row r="507" spans="1:7">
      <c r="A507" s="329" t="s">
        <v>315</v>
      </c>
      <c r="B507" s="329"/>
      <c r="C507" s="329"/>
      <c r="D507" s="329"/>
      <c r="E507" s="329"/>
    </row>
    <row r="508" spans="1:7">
      <c r="A508" s="329" t="s">
        <v>312</v>
      </c>
      <c r="B508" s="329"/>
      <c r="C508" s="329"/>
      <c r="D508" s="329"/>
      <c r="E508" s="329"/>
    </row>
    <row r="510" spans="1:7" hidden="1">
      <c r="A510" s="329" t="s">
        <v>145</v>
      </c>
    </row>
    <row r="511" spans="1:7" hidden="1">
      <c r="A511" s="388" t="s">
        <v>93</v>
      </c>
      <c r="B511" s="323" t="s">
        <v>146</v>
      </c>
      <c r="C511" s="324" t="s">
        <v>147</v>
      </c>
      <c r="D511" s="1077" t="s">
        <v>95</v>
      </c>
      <c r="E511" s="1078"/>
    </row>
    <row r="512" spans="1:7" ht="14.65" hidden="1" thickBot="1">
      <c r="A512" s="220"/>
      <c r="B512" s="403" t="s">
        <v>35</v>
      </c>
      <c r="C512" s="423" t="s">
        <v>35</v>
      </c>
      <c r="D512" s="403" t="s">
        <v>70</v>
      </c>
      <c r="E512" s="155" t="s">
        <v>237</v>
      </c>
    </row>
    <row r="513" spans="1:5" hidden="1">
      <c r="A513" s="477" t="s">
        <v>148</v>
      </c>
      <c r="B513" s="159">
        <f>B501</f>
        <v>4564.8335762899524</v>
      </c>
      <c r="C513" s="501">
        <f>$C$391</f>
        <v>17030.516350292597</v>
      </c>
      <c r="D513" s="227">
        <f>B513/C513*1000000</f>
        <v>268038.47178782255</v>
      </c>
      <c r="E513" s="475">
        <f>D513/1000000</f>
        <v>0.26803847178782253</v>
      </c>
    </row>
    <row r="514" spans="1:5" hidden="1">
      <c r="A514" s="150" t="s">
        <v>149</v>
      </c>
      <c r="B514" s="161">
        <f>C501</f>
        <v>1237.25</v>
      </c>
      <c r="C514" s="502">
        <f>$B$462</f>
        <v>17500</v>
      </c>
      <c r="D514" s="229">
        <f>B514/C514*1000000</f>
        <v>70700</v>
      </c>
      <c r="E514" s="476">
        <f>D514/1000000</f>
        <v>7.0699999999999999E-2</v>
      </c>
    </row>
    <row r="515" spans="1:5" hidden="1">
      <c r="A515" s="478" t="s">
        <v>150</v>
      </c>
      <c r="B515" s="480">
        <f>C515*31/98</f>
        <v>0</v>
      </c>
      <c r="C515" s="587">
        <v>0</v>
      </c>
      <c r="D515" s="229" t="s">
        <v>237</v>
      </c>
      <c r="E515" s="476" t="s">
        <v>237</v>
      </c>
    </row>
    <row r="516" spans="1:5" ht="14.65" hidden="1" thickBot="1">
      <c r="A516" s="479" t="s">
        <v>306</v>
      </c>
      <c r="B516" s="162">
        <f>SUM($B$513:$B$515)</f>
        <v>5802.0835762899524</v>
      </c>
      <c r="C516" s="503">
        <f>SUM($C$513:$C$515)</f>
        <v>34530.516350292601</v>
      </c>
      <c r="D516" s="588">
        <f>B516/C516*1000000</f>
        <v>168027.70967659706</v>
      </c>
      <c r="E516" s="584">
        <f>D516/1000000</f>
        <v>0.16802770967659705</v>
      </c>
    </row>
    <row r="517" spans="1:5" hidden="1"/>
    <row r="518" spans="1:5" hidden="1">
      <c r="A518" s="79" t="s">
        <v>151</v>
      </c>
    </row>
    <row r="519" spans="1:5" ht="14.65" hidden="1" thickBot="1">
      <c r="A519" s="139"/>
      <c r="B519" s="102" t="s">
        <v>18</v>
      </c>
      <c r="C519" s="17" t="s">
        <v>106</v>
      </c>
    </row>
    <row r="520" spans="1:5" hidden="1">
      <c r="A520" s="332" t="s">
        <v>438</v>
      </c>
      <c r="B520" s="55" t="s">
        <v>35</v>
      </c>
      <c r="C520" s="334">
        <f>$C$515</f>
        <v>0</v>
      </c>
    </row>
    <row r="521" spans="1:5" ht="14.65" hidden="1" thickBot="1">
      <c r="A521" s="333" t="s">
        <v>152</v>
      </c>
      <c r="B521" s="381" t="s">
        <v>35</v>
      </c>
      <c r="C521" s="335">
        <f>C520/75%*25%</f>
        <v>0</v>
      </c>
      <c r="D521" s="99"/>
    </row>
    <row r="522" spans="1:5" hidden="1"/>
    <row r="523" spans="1:5">
      <c r="A523" s="329" t="s">
        <v>316</v>
      </c>
    </row>
    <row r="524" spans="1:5">
      <c r="A524" s="329" t="s">
        <v>317</v>
      </c>
    </row>
    <row r="525" spans="1:5">
      <c r="A525" s="329"/>
    </row>
    <row r="526" spans="1:5" ht="14.65" thickBot="1">
      <c r="A526" s="329" t="s">
        <v>310</v>
      </c>
    </row>
    <row r="527" spans="1:5">
      <c r="A527" s="664" t="s">
        <v>64</v>
      </c>
      <c r="B527" s="665" t="s">
        <v>24</v>
      </c>
      <c r="C527" s="666">
        <v>0.45</v>
      </c>
    </row>
    <row r="528" spans="1:5" ht="14.65" thickBot="1">
      <c r="A528" s="667" t="s">
        <v>66</v>
      </c>
      <c r="B528" s="284" t="s">
        <v>24</v>
      </c>
      <c r="C528" s="663">
        <v>0.55000000000000004</v>
      </c>
    </row>
    <row r="529" spans="1:4">
      <c r="A529" s="329"/>
    </row>
    <row r="530" spans="1:4" ht="14.65" thickBot="1">
      <c r="A530" s="329" t="s">
        <v>363</v>
      </c>
    </row>
    <row r="531" spans="1:4" ht="14.65" thickBot="1">
      <c r="A531" s="103"/>
      <c r="B531" s="102" t="s">
        <v>18</v>
      </c>
      <c r="C531" s="17" t="s">
        <v>106</v>
      </c>
    </row>
    <row r="532" spans="1:4">
      <c r="A532" s="272" t="s">
        <v>341</v>
      </c>
      <c r="B532" s="298" t="s">
        <v>35</v>
      </c>
      <c r="C532" s="669">
        <f>$C$391</f>
        <v>17030.516350292597</v>
      </c>
    </row>
    <row r="533" spans="1:4">
      <c r="A533" s="257" t="s">
        <v>343</v>
      </c>
      <c r="B533" s="346" t="s">
        <v>35</v>
      </c>
      <c r="C533" s="347">
        <f>$B$462</f>
        <v>17500</v>
      </c>
    </row>
    <row r="534" spans="1:4" ht="14.65" thickBot="1">
      <c r="A534" s="360" t="s">
        <v>309</v>
      </c>
      <c r="B534" s="320" t="s">
        <v>35</v>
      </c>
      <c r="C534" s="668">
        <f>C532+C533</f>
        <v>34530.516350292601</v>
      </c>
    </row>
    <row r="535" spans="1:4">
      <c r="A535" s="276" t="s">
        <v>345</v>
      </c>
      <c r="B535" s="296" t="s">
        <v>35</v>
      </c>
      <c r="C535" s="342">
        <f>C534/C527*C528</f>
        <v>42203.964428135405</v>
      </c>
    </row>
    <row r="536" spans="1:4" ht="14.65" thickBot="1">
      <c r="A536" s="360" t="s">
        <v>342</v>
      </c>
      <c r="B536" s="320" t="s">
        <v>35</v>
      </c>
      <c r="C536" s="668">
        <f>$C$400</f>
        <v>57437.817048532896</v>
      </c>
    </row>
    <row r="538" spans="1:4">
      <c r="A538" s="674" t="s">
        <v>313</v>
      </c>
      <c r="B538" s="329"/>
      <c r="C538" s="329"/>
      <c r="D538" s="329"/>
    </row>
    <row r="540" spans="1:4" ht="14.65" thickBot="1">
      <c r="A540" s="79" t="s">
        <v>289</v>
      </c>
    </row>
    <row r="541" spans="1:4" ht="14.65" thickBot="1">
      <c r="A541" s="103" t="s">
        <v>53</v>
      </c>
      <c r="B541" s="102" t="s">
        <v>18</v>
      </c>
      <c r="C541" s="17" t="s">
        <v>106</v>
      </c>
    </row>
    <row r="542" spans="1:4">
      <c r="A542" s="336" t="s">
        <v>9</v>
      </c>
      <c r="B542" s="269" t="s">
        <v>35</v>
      </c>
      <c r="C542" s="328">
        <f>$C$374</f>
        <v>74468.333398825489</v>
      </c>
    </row>
    <row r="543" spans="1:4" ht="14.65" thickBot="1">
      <c r="A543" s="672" t="s">
        <v>343</v>
      </c>
      <c r="B543" s="351" t="s">
        <v>35</v>
      </c>
      <c r="C543" s="673">
        <f>B462</f>
        <v>17500</v>
      </c>
    </row>
    <row r="545" spans="1:3" ht="14.65" thickBot="1">
      <c r="A545" s="79" t="s">
        <v>290</v>
      </c>
    </row>
    <row r="546" spans="1:3" ht="14.65" thickBot="1">
      <c r="A546" s="103" t="s">
        <v>90</v>
      </c>
      <c r="B546" s="102" t="s">
        <v>18</v>
      </c>
      <c r="C546" s="17" t="s">
        <v>91</v>
      </c>
    </row>
    <row r="547" spans="1:3">
      <c r="A547" s="276" t="s">
        <v>9</v>
      </c>
      <c r="B547" s="296" t="s">
        <v>35</v>
      </c>
      <c r="C547" s="286">
        <f>$C$374</f>
        <v>74468.333398825489</v>
      </c>
    </row>
    <row r="548" spans="1:3">
      <c r="A548" s="276" t="s">
        <v>343</v>
      </c>
      <c r="B548" s="341" t="s">
        <v>35</v>
      </c>
      <c r="C548" s="342">
        <f>B462</f>
        <v>17500</v>
      </c>
    </row>
    <row r="549" spans="1:3" ht="14.65" thickBot="1">
      <c r="A549" s="255" t="s">
        <v>305</v>
      </c>
      <c r="B549" s="271" t="s">
        <v>35</v>
      </c>
      <c r="C549" s="256">
        <f>SUM(C547:C548)</f>
        <v>91968.333398825489</v>
      </c>
    </row>
    <row r="551" spans="1:3" ht="14.65" thickBot="1">
      <c r="A551" s="79" t="s">
        <v>307</v>
      </c>
      <c r="B551" s="79"/>
      <c r="C551" s="79"/>
    </row>
    <row r="552" spans="1:3" ht="14.65" thickBot="1">
      <c r="A552" s="191" t="s">
        <v>90</v>
      </c>
      <c r="B552" s="192" t="s">
        <v>18</v>
      </c>
      <c r="C552" s="193" t="s">
        <v>106</v>
      </c>
    </row>
    <row r="553" spans="1:3">
      <c r="A553" s="272" t="s">
        <v>341</v>
      </c>
      <c r="B553" s="298" t="s">
        <v>35</v>
      </c>
      <c r="C553" s="294">
        <f>$C$391</f>
        <v>17030.516350292597</v>
      </c>
    </row>
    <row r="554" spans="1:3">
      <c r="A554" s="257" t="s">
        <v>343</v>
      </c>
      <c r="B554" s="346" t="s">
        <v>35</v>
      </c>
      <c r="C554" s="347">
        <f>B462</f>
        <v>17500</v>
      </c>
    </row>
    <row r="555" spans="1:3">
      <c r="A555" s="257" t="s">
        <v>309</v>
      </c>
      <c r="B555" s="278" t="s">
        <v>35</v>
      </c>
      <c r="C555" s="279">
        <f>C553+C554</f>
        <v>34530.516350292601</v>
      </c>
    </row>
    <row r="556" spans="1:3">
      <c r="A556" s="257" t="s">
        <v>305</v>
      </c>
      <c r="B556" s="278" t="s">
        <v>35</v>
      </c>
      <c r="C556" s="279">
        <f>$C$549</f>
        <v>91968.333398825489</v>
      </c>
    </row>
    <row r="557" spans="1:3">
      <c r="A557" s="299" t="s">
        <v>64</v>
      </c>
      <c r="B557" s="260" t="s">
        <v>24</v>
      </c>
      <c r="C557" s="300">
        <f>C555/C556</f>
        <v>0.37546093393417501</v>
      </c>
    </row>
    <row r="558" spans="1:3">
      <c r="A558" s="257" t="s">
        <v>342</v>
      </c>
      <c r="B558" s="278" t="s">
        <v>35</v>
      </c>
      <c r="C558" s="279">
        <f>$C$400</f>
        <v>57437.817048532896</v>
      </c>
    </row>
    <row r="559" spans="1:3">
      <c r="A559" s="257" t="s">
        <v>345</v>
      </c>
      <c r="B559" s="278" t="s">
        <v>35</v>
      </c>
      <c r="C559" s="279">
        <f>C558</f>
        <v>57437.817048532896</v>
      </c>
    </row>
    <row r="560" spans="1:3">
      <c r="A560" s="257" t="s">
        <v>305</v>
      </c>
      <c r="B560" s="278" t="s">
        <v>35</v>
      </c>
      <c r="C560" s="279">
        <f>$C$549</f>
        <v>91968.333398825489</v>
      </c>
    </row>
    <row r="561" spans="1:8" ht="14.65" thickBot="1">
      <c r="A561" s="301" t="s">
        <v>66</v>
      </c>
      <c r="B561" s="277" t="s">
        <v>24</v>
      </c>
      <c r="C561" s="303">
        <f>C559/C560</f>
        <v>0.62453906606582499</v>
      </c>
    </row>
    <row r="563" spans="1:8" ht="14.65" thickBot="1">
      <c r="A563" s="79" t="s">
        <v>308</v>
      </c>
    </row>
    <row r="564" spans="1:8" ht="14.65" thickBot="1">
      <c r="A564" s="482"/>
      <c r="B564" s="515" t="s">
        <v>262</v>
      </c>
      <c r="C564" s="516"/>
      <c r="D564" s="516"/>
      <c r="E564" s="516"/>
      <c r="F564" s="517"/>
      <c r="G564" s="1028" t="s">
        <v>263</v>
      </c>
      <c r="H564" s="1031"/>
    </row>
    <row r="565" spans="1:8">
      <c r="A565" s="219" t="s">
        <v>93</v>
      </c>
      <c r="B565" s="377" t="s">
        <v>136</v>
      </c>
      <c r="C565" s="421" t="s">
        <v>141</v>
      </c>
      <c r="D565" s="421" t="s">
        <v>153</v>
      </c>
      <c r="E565" s="421" t="s">
        <v>142</v>
      </c>
      <c r="F565" s="418" t="s">
        <v>309</v>
      </c>
      <c r="G565" s="1026" t="s">
        <v>95</v>
      </c>
      <c r="H565" s="1027"/>
    </row>
    <row r="566" spans="1:8" ht="14.65" thickBot="1">
      <c r="A566" s="220"/>
      <c r="B566" s="586" t="s">
        <v>35</v>
      </c>
      <c r="C566" s="349" t="s">
        <v>35</v>
      </c>
      <c r="D566" s="349" t="s">
        <v>35</v>
      </c>
      <c r="E566" s="349" t="s">
        <v>35</v>
      </c>
      <c r="F566" s="522" t="s">
        <v>35</v>
      </c>
      <c r="G566" s="403" t="s">
        <v>257</v>
      </c>
      <c r="H566" s="155" t="s">
        <v>237</v>
      </c>
    </row>
    <row r="567" spans="1:8">
      <c r="A567" s="148" t="s">
        <v>72</v>
      </c>
      <c r="B567" s="590">
        <f>B488</f>
        <v>749.94286897593634</v>
      </c>
      <c r="C567" s="591">
        <f>C488</f>
        <v>834.75</v>
      </c>
      <c r="D567" s="591">
        <v>0</v>
      </c>
      <c r="E567" s="591">
        <f>B567+C567+D567</f>
        <v>1584.6928689759363</v>
      </c>
      <c r="F567" s="661">
        <f>$C$555</f>
        <v>34530.516350292601</v>
      </c>
      <c r="G567" s="557">
        <f>E567/F567*1000000</f>
        <v>45892.533227714332</v>
      </c>
      <c r="H567" s="460">
        <f>G567/1000000</f>
        <v>4.5892533227714333E-2</v>
      </c>
    </row>
    <row r="568" spans="1:8">
      <c r="A568" s="149" t="s">
        <v>73</v>
      </c>
      <c r="B568" s="592">
        <f>B489</f>
        <v>3.3119321292839343E-2</v>
      </c>
      <c r="C568" s="364">
        <f>C489</f>
        <v>0.54249999999999998</v>
      </c>
      <c r="D568" s="364">
        <v>0</v>
      </c>
      <c r="E568" s="364">
        <f t="shared" ref="E568:E581" si="53">B568+C568+D568</f>
        <v>0.57561932129283933</v>
      </c>
      <c r="F568" s="658">
        <f t="shared" ref="F568:F581" si="54">$C$555</f>
        <v>34530.516350292601</v>
      </c>
      <c r="G568" s="558">
        <f t="shared" ref="G568:G580" si="55">E568/F568*1000000</f>
        <v>16.66987297419784</v>
      </c>
      <c r="H568" s="462">
        <f t="shared" ref="H568:H581" si="56">G568/1000000</f>
        <v>1.6669872974197839E-5</v>
      </c>
    </row>
    <row r="569" spans="1:8">
      <c r="A569" s="149" t="s">
        <v>74</v>
      </c>
      <c r="B569" s="592">
        <f t="shared" ref="B569:C576" si="57">B490</f>
        <v>425.3692763447084</v>
      </c>
      <c r="C569" s="364">
        <f t="shared" si="57"/>
        <v>1494.9375</v>
      </c>
      <c r="D569" s="364">
        <v>0</v>
      </c>
      <c r="E569" s="364">
        <f t="shared" si="53"/>
        <v>1920.3067763447084</v>
      </c>
      <c r="F569" s="658">
        <f t="shared" si="54"/>
        <v>34530.516350292601</v>
      </c>
      <c r="G569" s="558">
        <f t="shared" si="55"/>
        <v>55611.875503519259</v>
      </c>
      <c r="H569" s="462">
        <f t="shared" si="56"/>
        <v>5.5611875503519259E-2</v>
      </c>
    </row>
    <row r="570" spans="1:8">
      <c r="A570" s="149" t="s">
        <v>75</v>
      </c>
      <c r="B570" s="592">
        <f t="shared" si="57"/>
        <v>1.3840407025637685E-2</v>
      </c>
      <c r="C570" s="364">
        <f t="shared" si="57"/>
        <v>3.85E-2</v>
      </c>
      <c r="D570" s="364">
        <v>0</v>
      </c>
      <c r="E570" s="364">
        <f t="shared" si="53"/>
        <v>5.2340407025637685E-2</v>
      </c>
      <c r="F570" s="658">
        <f t="shared" si="54"/>
        <v>34530.516350292601</v>
      </c>
      <c r="G570" s="558">
        <f t="shared" si="55"/>
        <v>1.5157724980036151</v>
      </c>
      <c r="H570" s="462">
        <f t="shared" si="56"/>
        <v>1.5157724980036151E-6</v>
      </c>
    </row>
    <row r="571" spans="1:8">
      <c r="A571" s="149" t="s">
        <v>76</v>
      </c>
      <c r="B571" s="592">
        <f t="shared" si="57"/>
        <v>0.81088407251271644</v>
      </c>
      <c r="C571" s="364">
        <f t="shared" si="57"/>
        <v>1.5925</v>
      </c>
      <c r="D571" s="364">
        <v>0</v>
      </c>
      <c r="E571" s="364">
        <f t="shared" si="53"/>
        <v>2.4033840725127167</v>
      </c>
      <c r="F571" s="658">
        <f t="shared" si="54"/>
        <v>34530.516350292601</v>
      </c>
      <c r="G571" s="558">
        <f t="shared" si="55"/>
        <v>69.601741489520222</v>
      </c>
      <c r="H571" s="462">
        <f t="shared" si="56"/>
        <v>6.9601741489520229E-5</v>
      </c>
    </row>
    <row r="572" spans="1:8">
      <c r="A572" s="150" t="s">
        <v>77</v>
      </c>
      <c r="B572" s="592">
        <f t="shared" si="57"/>
        <v>4.1285858641199269E-2</v>
      </c>
      <c r="C572" s="364">
        <f t="shared" si="57"/>
        <v>11.602499999999999</v>
      </c>
      <c r="D572" s="364">
        <v>0</v>
      </c>
      <c r="E572" s="364">
        <f t="shared" si="53"/>
        <v>11.643785858641198</v>
      </c>
      <c r="F572" s="658">
        <f t="shared" si="54"/>
        <v>34530.516350292601</v>
      </c>
      <c r="G572" s="558">
        <f t="shared" si="55"/>
        <v>337.202772774133</v>
      </c>
      <c r="H572" s="462">
        <f t="shared" si="56"/>
        <v>3.3720277277413298E-4</v>
      </c>
    </row>
    <row r="573" spans="1:8">
      <c r="A573" s="150" t="s">
        <v>78</v>
      </c>
      <c r="B573" s="592">
        <f t="shared" si="57"/>
        <v>604.6466249739716</v>
      </c>
      <c r="C573" s="364">
        <f t="shared" si="57"/>
        <v>1907.5</v>
      </c>
      <c r="D573" s="364">
        <v>0</v>
      </c>
      <c r="E573" s="364">
        <f t="shared" si="53"/>
        <v>2512.1466249739715</v>
      </c>
      <c r="F573" s="658">
        <f t="shared" si="54"/>
        <v>34530.516350292601</v>
      </c>
      <c r="G573" s="558">
        <f t="shared" si="55"/>
        <v>72751.493186191074</v>
      </c>
      <c r="H573" s="462">
        <f t="shared" si="56"/>
        <v>7.2751493186191077E-2</v>
      </c>
    </row>
    <row r="574" spans="1:8">
      <c r="A574" s="150" t="s">
        <v>79</v>
      </c>
      <c r="B574" s="592">
        <f t="shared" si="57"/>
        <v>124.40301527266575</v>
      </c>
      <c r="C574" s="364">
        <f t="shared" si="57"/>
        <v>164.0625</v>
      </c>
      <c r="D574" s="364">
        <v>0</v>
      </c>
      <c r="E574" s="364">
        <f t="shared" si="53"/>
        <v>288.46551527266575</v>
      </c>
      <c r="F574" s="658">
        <f t="shared" si="54"/>
        <v>34530.516350292601</v>
      </c>
      <c r="G574" s="558">
        <f t="shared" si="55"/>
        <v>8353.9299657829015</v>
      </c>
      <c r="H574" s="462">
        <f t="shared" si="56"/>
        <v>8.3539299657829011E-3</v>
      </c>
    </row>
    <row r="575" spans="1:8">
      <c r="A575" s="150" t="s">
        <v>80</v>
      </c>
      <c r="B575" s="592">
        <f t="shared" si="57"/>
        <v>183.84549225215687</v>
      </c>
      <c r="C575" s="364">
        <f t="shared" si="57"/>
        <v>213.35708333333335</v>
      </c>
      <c r="D575" s="364">
        <v>0</v>
      </c>
      <c r="E575" s="364">
        <f t="shared" si="53"/>
        <v>397.20257558549019</v>
      </c>
      <c r="F575" s="658">
        <f t="shared" si="54"/>
        <v>34530.516350292601</v>
      </c>
      <c r="G575" s="558">
        <f t="shared" si="55"/>
        <v>11502.943412606235</v>
      </c>
      <c r="H575" s="462">
        <f t="shared" si="56"/>
        <v>1.1502943412606235E-2</v>
      </c>
    </row>
    <row r="576" spans="1:8">
      <c r="A576" s="150" t="s">
        <v>81</v>
      </c>
      <c r="B576" s="592">
        <f t="shared" si="57"/>
        <v>98.977330136495794</v>
      </c>
      <c r="C576" s="364">
        <f t="shared" si="57"/>
        <v>44.274999999999999</v>
      </c>
      <c r="D576" s="364">
        <v>0</v>
      </c>
      <c r="E576" s="364">
        <f t="shared" si="53"/>
        <v>143.2523301364958</v>
      </c>
      <c r="F576" s="658">
        <f t="shared" si="54"/>
        <v>34530.516350292601</v>
      </c>
      <c r="G576" s="558">
        <f t="shared" si="55"/>
        <v>4148.5719090696984</v>
      </c>
      <c r="H576" s="462">
        <f t="shared" si="56"/>
        <v>4.1485719090696982E-3</v>
      </c>
    </row>
    <row r="577" spans="1:8">
      <c r="A577" s="150" t="s">
        <v>82</v>
      </c>
      <c r="B577" s="592">
        <f>B498</f>
        <v>0.77887980604109552</v>
      </c>
      <c r="C577" s="364">
        <f>C498</f>
        <v>1.1287499999999999</v>
      </c>
      <c r="D577" s="364">
        <v>0</v>
      </c>
      <c r="E577" s="364">
        <f t="shared" si="53"/>
        <v>1.9076298060410954</v>
      </c>
      <c r="F577" s="658">
        <f t="shared" si="54"/>
        <v>34530.516350292601</v>
      </c>
      <c r="G577" s="558">
        <f t="shared" si="55"/>
        <v>55.244751821527011</v>
      </c>
      <c r="H577" s="462">
        <f t="shared" si="56"/>
        <v>5.5244751821527013E-5</v>
      </c>
    </row>
    <row r="578" spans="1:8">
      <c r="A578" s="350" t="s">
        <v>154</v>
      </c>
      <c r="B578" s="592">
        <f>B501</f>
        <v>4564.8335762899524</v>
      </c>
      <c r="C578" s="364">
        <f>C501</f>
        <v>1237.25</v>
      </c>
      <c r="D578" s="364">
        <v>0</v>
      </c>
      <c r="E578" s="364">
        <f t="shared" si="53"/>
        <v>5802.0835762899524</v>
      </c>
      <c r="F578" s="658">
        <f t="shared" si="54"/>
        <v>34530.516350292601</v>
      </c>
      <c r="G578" s="597">
        <f t="shared" si="55"/>
        <v>168027.70967659706</v>
      </c>
      <c r="H578" s="583">
        <f t="shared" si="56"/>
        <v>0.16802770967659705</v>
      </c>
    </row>
    <row r="579" spans="1:8">
      <c r="A579" s="398" t="s">
        <v>84</v>
      </c>
      <c r="B579" s="592">
        <f t="shared" ref="B579:C581" si="58">B502</f>
        <v>0.47237390936340629</v>
      </c>
      <c r="C579" s="364">
        <f t="shared" si="58"/>
        <v>2.0474999999999999</v>
      </c>
      <c r="D579" s="364">
        <v>0</v>
      </c>
      <c r="E579" s="364">
        <f t="shared" si="53"/>
        <v>2.5198739093634064</v>
      </c>
      <c r="F579" s="658">
        <f t="shared" si="54"/>
        <v>34530.516350292601</v>
      </c>
      <c r="G579" s="558">
        <f t="shared" si="55"/>
        <v>72.975274502144927</v>
      </c>
      <c r="H579" s="462">
        <f t="shared" si="56"/>
        <v>7.2975274502144931E-5</v>
      </c>
    </row>
    <row r="580" spans="1:8">
      <c r="A580" s="398" t="s">
        <v>85</v>
      </c>
      <c r="B580" s="592">
        <f t="shared" si="58"/>
        <v>0</v>
      </c>
      <c r="C580" s="364">
        <f t="shared" si="58"/>
        <v>102.51305555555555</v>
      </c>
      <c r="D580" s="364">
        <v>0</v>
      </c>
      <c r="E580" s="364">
        <f t="shared" si="53"/>
        <v>102.51305555555555</v>
      </c>
      <c r="F580" s="658">
        <f t="shared" si="54"/>
        <v>34530.516350292601</v>
      </c>
      <c r="G580" s="558">
        <f t="shared" si="55"/>
        <v>2968.766945608877</v>
      </c>
      <c r="H580" s="462">
        <f t="shared" si="56"/>
        <v>2.9687669456088771E-3</v>
      </c>
    </row>
    <row r="581" spans="1:8" ht="14.65" thickBot="1">
      <c r="A581" s="152" t="s">
        <v>86</v>
      </c>
      <c r="B581" s="659">
        <f t="shared" si="58"/>
        <v>1.0780087253250059</v>
      </c>
      <c r="C581" s="379">
        <f t="shared" si="58"/>
        <v>39.549999999999997</v>
      </c>
      <c r="D581" s="379">
        <v>0</v>
      </c>
      <c r="E581" s="379">
        <f t="shared" si="53"/>
        <v>40.628008725325003</v>
      </c>
      <c r="F581" s="660">
        <f t="shared" si="54"/>
        <v>34530.516350292601</v>
      </c>
      <c r="G581" s="559">
        <f>E581/F581*1000000</f>
        <v>1176.5827163769225</v>
      </c>
      <c r="H581" s="464">
        <f t="shared" si="56"/>
        <v>1.1765827163769224E-3</v>
      </c>
    </row>
    <row r="583" spans="1:8">
      <c r="A583" s="1" t="s">
        <v>155</v>
      </c>
      <c r="B583" s="1"/>
      <c r="C583" s="1"/>
    </row>
    <row r="584" spans="1:8" ht="14.65" thickBot="1">
      <c r="A584" s="79" t="s">
        <v>291</v>
      </c>
    </row>
    <row r="585" spans="1:8" ht="14.65" thickBot="1">
      <c r="A585" s="16" t="s">
        <v>53</v>
      </c>
      <c r="B585" s="17" t="s">
        <v>18</v>
      </c>
      <c r="C585" s="249" t="s">
        <v>106</v>
      </c>
    </row>
    <row r="586" spans="1:8" ht="14.65" thickBot="1">
      <c r="A586" s="611" t="s">
        <v>305</v>
      </c>
      <c r="B586" s="612" t="s">
        <v>35</v>
      </c>
      <c r="C586" s="613">
        <f>$C$549</f>
        <v>91968.333398825489</v>
      </c>
    </row>
    <row r="587" spans="1:8">
      <c r="A587" s="78"/>
      <c r="B587" s="685"/>
      <c r="C587" s="686"/>
    </row>
    <row r="588" spans="1:8">
      <c r="A588" s="329" t="s">
        <v>319</v>
      </c>
      <c r="B588" s="685"/>
      <c r="C588" s="686"/>
    </row>
    <row r="590" spans="1:8" ht="14.65" thickBot="1">
      <c r="A590" s="79" t="s">
        <v>292</v>
      </c>
    </row>
    <row r="591" spans="1:8" ht="14.65" thickBot="1">
      <c r="A591" s="191" t="s">
        <v>90</v>
      </c>
      <c r="B591" s="192" t="s">
        <v>18</v>
      </c>
      <c r="C591" s="193" t="s">
        <v>91</v>
      </c>
    </row>
    <row r="592" spans="1:8">
      <c r="A592" s="703" t="s">
        <v>314</v>
      </c>
      <c r="B592" s="692" t="s">
        <v>35</v>
      </c>
      <c r="C592" s="730">
        <f>$C$555</f>
        <v>34530.516350292601</v>
      </c>
    </row>
    <row r="593" spans="1:5">
      <c r="A593" s="232" t="s">
        <v>320</v>
      </c>
      <c r="B593" s="178" t="s">
        <v>237</v>
      </c>
      <c r="C593" s="722">
        <v>0.95</v>
      </c>
    </row>
    <row r="594" spans="1:5">
      <c r="A594" s="720" t="s">
        <v>390</v>
      </c>
      <c r="B594" s="178" t="s">
        <v>35</v>
      </c>
      <c r="C594" s="718">
        <f>C592/C593</f>
        <v>36347.911947676424</v>
      </c>
    </row>
    <row r="595" spans="1:5">
      <c r="A595" s="232" t="s">
        <v>321</v>
      </c>
      <c r="B595" s="178" t="s">
        <v>237</v>
      </c>
      <c r="C595" s="722">
        <f>100%-C593</f>
        <v>5.0000000000000044E-2</v>
      </c>
    </row>
    <row r="596" spans="1:5">
      <c r="A596" s="232" t="s">
        <v>348</v>
      </c>
      <c r="B596" s="178" t="s">
        <v>35</v>
      </c>
      <c r="C596" s="84">
        <f>C594*C595</f>
        <v>1817.3955973838229</v>
      </c>
    </row>
    <row r="597" spans="1:5" ht="14.65" thickBot="1">
      <c r="A597" s="680" t="s">
        <v>391</v>
      </c>
      <c r="B597" s="6" t="s">
        <v>35</v>
      </c>
      <c r="C597" s="671">
        <f>$C$559-C596</f>
        <v>55620.421451149072</v>
      </c>
    </row>
    <row r="599" spans="1:5" ht="14.65" thickBot="1">
      <c r="A599" s="1" t="s">
        <v>235</v>
      </c>
      <c r="B599" s="1"/>
      <c r="C599" s="1"/>
      <c r="D599" s="79"/>
      <c r="E599" s="79"/>
    </row>
    <row r="600" spans="1:5" ht="14.65" hidden="1" thickBot="1">
      <c r="A600" s="212"/>
      <c r="B600" s="16" t="s">
        <v>140</v>
      </c>
      <c r="C600" s="101"/>
      <c r="D600" s="101"/>
      <c r="E600" s="17"/>
    </row>
    <row r="601" spans="1:5" ht="14.65" hidden="1" thickBot="1">
      <c r="A601" s="487" t="s">
        <v>67</v>
      </c>
      <c r="B601" s="385" t="s">
        <v>228</v>
      </c>
      <c r="C601" s="19" t="s">
        <v>229</v>
      </c>
      <c r="D601" s="504" t="s">
        <v>230</v>
      </c>
      <c r="E601" s="18" t="s">
        <v>298</v>
      </c>
    </row>
    <row r="602" spans="1:5" ht="14.65" hidden="1" thickBot="1">
      <c r="A602" s="133" t="s">
        <v>18</v>
      </c>
      <c r="B602" s="23" t="s">
        <v>35</v>
      </c>
      <c r="C602" s="7" t="s">
        <v>35</v>
      </c>
      <c r="D602" s="422" t="s">
        <v>35</v>
      </c>
      <c r="E602" s="73" t="s">
        <v>35</v>
      </c>
    </row>
    <row r="603" spans="1:5" ht="14.65" hidden="1" thickBot="1">
      <c r="A603" s="134" t="s">
        <v>223</v>
      </c>
      <c r="B603" s="241">
        <f>C471</f>
        <v>3.85E-2</v>
      </c>
      <c r="C603" s="1079">
        <f>H69</f>
        <v>1.4195289257064293E-2</v>
      </c>
      <c r="D603" s="1080"/>
      <c r="E603" s="507">
        <f>SUM(B603:D603)</f>
        <v>5.2695289257064293E-2</v>
      </c>
    </row>
    <row r="604" spans="1:5" ht="14.65" hidden="1" thickBot="1">
      <c r="A604" s="73" t="s">
        <v>226</v>
      </c>
      <c r="B604" s="240">
        <f>C480</f>
        <v>2.0474999999999999</v>
      </c>
      <c r="C604" s="1081">
        <f>H78</f>
        <v>0.4723739093634064</v>
      </c>
      <c r="D604" s="1082"/>
      <c r="E604" s="508">
        <f>SUM(B604:D604)</f>
        <v>2.5198739093634064</v>
      </c>
    </row>
    <row r="605" spans="1:5" ht="14.65" hidden="1" thickBot="1"/>
    <row r="606" spans="1:5" ht="14.65" thickBot="1">
      <c r="A606" s="512"/>
      <c r="B606" s="249" t="s">
        <v>18</v>
      </c>
      <c r="C606" s="249" t="s">
        <v>234</v>
      </c>
    </row>
    <row r="607" spans="1:5">
      <c r="A607" s="134" t="s">
        <v>392</v>
      </c>
      <c r="B607" s="509" t="s">
        <v>24</v>
      </c>
      <c r="C607" s="248">
        <f>H578*2.291</f>
        <v>0.38495148286908382</v>
      </c>
    </row>
    <row r="608" spans="1:5">
      <c r="A608" s="68" t="s">
        <v>324</v>
      </c>
      <c r="B608" s="510" t="s">
        <v>35</v>
      </c>
      <c r="C608" s="244">
        <f>$C$555</f>
        <v>34530.516350292601</v>
      </c>
    </row>
    <row r="609" spans="1:4">
      <c r="A609" s="68" t="s">
        <v>349</v>
      </c>
      <c r="B609" s="510" t="s">
        <v>35</v>
      </c>
      <c r="C609" s="245">
        <f>C608*C607</f>
        <v>13292.573473280281</v>
      </c>
    </row>
    <row r="610" spans="1:4">
      <c r="A610" s="68" t="s">
        <v>350</v>
      </c>
      <c r="B610" s="510" t="s">
        <v>35</v>
      </c>
      <c r="C610" s="246">
        <f>E570</f>
        <v>5.2340407025637685E-2</v>
      </c>
    </row>
    <row r="611" spans="1:4" ht="14.65" thickBot="1">
      <c r="A611" s="73" t="s">
        <v>351</v>
      </c>
      <c r="B611" s="511" t="s">
        <v>236</v>
      </c>
      <c r="C611" s="247">
        <f>C610/C609*1000000</f>
        <v>3.9375676298384494</v>
      </c>
    </row>
    <row r="612" spans="1:4" ht="14.65" thickBot="1">
      <c r="A612" s="329"/>
    </row>
    <row r="613" spans="1:4" ht="14.65" thickBot="1">
      <c r="A613" s="212"/>
      <c r="B613" s="1010" t="s">
        <v>216</v>
      </c>
      <c r="C613" s="1005" t="s">
        <v>165</v>
      </c>
      <c r="D613" s="1012"/>
    </row>
    <row r="614" spans="1:4">
      <c r="A614" s="487" t="s">
        <v>67</v>
      </c>
      <c r="B614" s="1011"/>
      <c r="C614" s="3" t="s">
        <v>166</v>
      </c>
      <c r="D614" s="15" t="s">
        <v>167</v>
      </c>
    </row>
    <row r="615" spans="1:4" ht="14.65" thickBot="1">
      <c r="A615" s="133" t="s">
        <v>18</v>
      </c>
      <c r="B615" s="610" t="s">
        <v>241</v>
      </c>
      <c r="C615" s="6" t="s">
        <v>70</v>
      </c>
      <c r="D615" s="24" t="s">
        <v>70</v>
      </c>
    </row>
    <row r="616" spans="1:4">
      <c r="A616" s="134" t="s">
        <v>222</v>
      </c>
      <c r="B616" s="684">
        <f>G568</f>
        <v>16.66987297419784</v>
      </c>
      <c r="C616" s="484">
        <f>Rohdaten!$F$12</f>
        <v>40</v>
      </c>
      <c r="D616" s="110">
        <f>Rohdaten!$H$12</f>
        <v>40</v>
      </c>
    </row>
    <row r="617" spans="1:4">
      <c r="A617" s="68" t="s">
        <v>223</v>
      </c>
      <c r="B617" s="607">
        <f>C611</f>
        <v>3.9375676298384494</v>
      </c>
      <c r="C617" s="105" t="str">
        <f>Rohdaten!$F$14</f>
        <v>50mg/kgP2O5</v>
      </c>
      <c r="D617" s="80" t="str">
        <f>Rohdaten!$H$14</f>
        <v>60mg/kgP2O5</v>
      </c>
    </row>
    <row r="618" spans="1:4">
      <c r="A618" s="68" t="s">
        <v>224</v>
      </c>
      <c r="B618" s="606">
        <f>G572</f>
        <v>337.202772774133</v>
      </c>
      <c r="C618" s="485">
        <f>Rohdaten!$F$16</f>
        <v>900</v>
      </c>
      <c r="D618" s="82">
        <f>Rohdaten!$H$16</f>
        <v>600</v>
      </c>
    </row>
    <row r="619" spans="1:4">
      <c r="A619" s="68" t="s">
        <v>225</v>
      </c>
      <c r="B619" s="606">
        <f>G577</f>
        <v>55.244751821527011</v>
      </c>
      <c r="C619" s="485">
        <f>Rohdaten!$F$21</f>
        <v>80</v>
      </c>
      <c r="D619" s="82">
        <f>Rohdaten!$H$21</f>
        <v>100</v>
      </c>
    </row>
    <row r="620" spans="1:4">
      <c r="A620" s="68" t="s">
        <v>226</v>
      </c>
      <c r="B620" s="607">
        <f>E604/C597*1000000</f>
        <v>45.304833074243952</v>
      </c>
      <c r="C620" s="485">
        <f>Rohdaten!$F$23</f>
        <v>150</v>
      </c>
      <c r="D620" s="82">
        <f>Rohdaten!$H$23</f>
        <v>120</v>
      </c>
    </row>
    <row r="621" spans="1:4" ht="14.65" thickBot="1">
      <c r="A621" s="73" t="s">
        <v>227</v>
      </c>
      <c r="B621" s="608">
        <f>G581</f>
        <v>1176.5827163769225</v>
      </c>
      <c r="C621" s="486">
        <f>Rohdaten!$F$25</f>
        <v>5000</v>
      </c>
      <c r="D621" s="237">
        <f>Rohdaten!$H$25</f>
        <v>1500</v>
      </c>
    </row>
  </sheetData>
  <mergeCells count="44">
    <mergeCell ref="B199:C199"/>
    <mergeCell ref="C63:D63"/>
    <mergeCell ref="E63:I63"/>
    <mergeCell ref="B119:F119"/>
    <mergeCell ref="G119:L119"/>
    <mergeCell ref="B120:B121"/>
    <mergeCell ref="C120:C121"/>
    <mergeCell ref="D120:D121"/>
    <mergeCell ref="E120:E121"/>
    <mergeCell ref="F120:F121"/>
    <mergeCell ref="G120:H121"/>
    <mergeCell ref="I120:L120"/>
    <mergeCell ref="I121:J121"/>
    <mergeCell ref="K121:L121"/>
    <mergeCell ref="B200:C200"/>
    <mergeCell ref="E406:F406"/>
    <mergeCell ref="G406:H406"/>
    <mergeCell ref="B286:B287"/>
    <mergeCell ref="C286:C287"/>
    <mergeCell ref="D286:D287"/>
    <mergeCell ref="E286:E287"/>
    <mergeCell ref="F286:F287"/>
    <mergeCell ref="G286:H287"/>
    <mergeCell ref="B285:F285"/>
    <mergeCell ref="G285:L285"/>
    <mergeCell ref="I286:L286"/>
    <mergeCell ref="I287:J287"/>
    <mergeCell ref="K287:L287"/>
    <mergeCell ref="B405:D405"/>
    <mergeCell ref="E405:H405"/>
    <mergeCell ref="B432:D432"/>
    <mergeCell ref="E432:H432"/>
    <mergeCell ref="E433:F433"/>
    <mergeCell ref="G433:H433"/>
    <mergeCell ref="B485:E485"/>
    <mergeCell ref="F485:G485"/>
    <mergeCell ref="B613:B614"/>
    <mergeCell ref="C613:D613"/>
    <mergeCell ref="F486:G486"/>
    <mergeCell ref="D511:E511"/>
    <mergeCell ref="G564:H564"/>
    <mergeCell ref="G565:H565"/>
    <mergeCell ref="C603:D603"/>
    <mergeCell ref="C604:D604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FC61-6185-4B4E-A19A-4C9A81BBF3FF}">
  <sheetPr codeName="Tabelle27"/>
  <dimension ref="A1:L530"/>
  <sheetViews>
    <sheetView topLeftCell="A463" zoomScale="65" zoomScaleNormal="50" workbookViewId="0">
      <selection activeCell="D259" sqref="D259"/>
    </sheetView>
  </sheetViews>
  <sheetFormatPr baseColWidth="10" defaultColWidth="8.86328125" defaultRowHeight="14.25"/>
  <cols>
    <col min="1" max="1" width="45.9296875" customWidth="1"/>
    <col min="2" max="2" width="34.33203125" customWidth="1"/>
    <col min="3" max="3" width="45.46484375" customWidth="1"/>
    <col min="4" max="4" width="42.19921875" customWidth="1"/>
    <col min="5" max="5" width="31.796875" customWidth="1"/>
    <col min="6" max="6" width="40.9296875" customWidth="1"/>
    <col min="7" max="7" width="26.59765625" customWidth="1"/>
    <col min="8" max="8" width="22.06640625" customWidth="1"/>
    <col min="9" max="9" width="22.33203125" customWidth="1"/>
    <col min="10" max="10" width="18.19921875" customWidth="1"/>
    <col min="11" max="11" width="17.53125" customWidth="1"/>
    <col min="12" max="12" width="16.8632812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4" spans="1:4">
      <c r="A4" s="853"/>
      <c r="B4" t="s">
        <v>613</v>
      </c>
    </row>
    <row r="6" spans="1:4">
      <c r="A6" s="1" t="s">
        <v>41</v>
      </c>
      <c r="B6" s="13"/>
      <c r="C6" s="13"/>
      <c r="D6" s="13"/>
    </row>
    <row r="7" spans="1:4" ht="14.65" thickBot="1">
      <c r="A7" s="79" t="s">
        <v>358</v>
      </c>
      <c r="B7" s="79"/>
      <c r="C7" s="79"/>
      <c r="D7" s="79"/>
    </row>
    <row r="8" spans="1:4">
      <c r="A8" s="218"/>
      <c r="B8" s="166" t="s">
        <v>614</v>
      </c>
      <c r="C8" s="189" t="s">
        <v>632</v>
      </c>
      <c r="D8" s="190" t="s">
        <v>622</v>
      </c>
    </row>
    <row r="9" spans="1:4" ht="14.65" thickBot="1">
      <c r="A9" s="252"/>
      <c r="B9" s="6" t="s">
        <v>35</v>
      </c>
      <c r="C9" s="7" t="s">
        <v>35</v>
      </c>
      <c r="D9" s="24" t="s">
        <v>35</v>
      </c>
    </row>
    <row r="10" spans="1:4" ht="14.65" thickBot="1">
      <c r="A10" s="251" t="s">
        <v>347</v>
      </c>
      <c r="B10" s="264">
        <v>17500</v>
      </c>
      <c r="C10" s="264">
        <v>7000</v>
      </c>
      <c r="D10" s="265">
        <v>12000</v>
      </c>
    </row>
    <row r="11" spans="1:4">
      <c r="A11" s="79"/>
    </row>
    <row r="12" spans="1:4" ht="14.65" thickBot="1">
      <c r="A12" s="79" t="s">
        <v>359</v>
      </c>
    </row>
    <row r="13" spans="1:4" ht="14.65" thickBot="1">
      <c r="A13" s="500"/>
      <c r="B13" s="16" t="s">
        <v>18</v>
      </c>
      <c r="C13" s="17" t="s">
        <v>48</v>
      </c>
    </row>
    <row r="14" spans="1:4">
      <c r="A14" s="498" t="s">
        <v>329</v>
      </c>
      <c r="B14" s="25" t="s">
        <v>21</v>
      </c>
      <c r="C14" s="629">
        <v>0.3</v>
      </c>
    </row>
    <row r="15" spans="1:4">
      <c r="A15" s="415" t="s">
        <v>330</v>
      </c>
      <c r="B15" s="37" t="s">
        <v>22</v>
      </c>
      <c r="C15" s="630">
        <v>0.55000000000000004</v>
      </c>
    </row>
    <row r="16" spans="1:4">
      <c r="A16" s="415" t="s">
        <v>366</v>
      </c>
      <c r="B16" s="37" t="s">
        <v>19</v>
      </c>
      <c r="C16" s="391">
        <v>2.8340000000000001</v>
      </c>
    </row>
    <row r="17" spans="1:3" ht="14.65" thickBot="1">
      <c r="A17" s="417" t="s">
        <v>23</v>
      </c>
      <c r="B17" s="6" t="s">
        <v>237</v>
      </c>
      <c r="C17" s="416">
        <v>1.7</v>
      </c>
    </row>
    <row r="19" spans="1:3">
      <c r="A19" s="79" t="s">
        <v>451</v>
      </c>
    </row>
    <row r="20" spans="1:3">
      <c r="A20" s="5"/>
    </row>
    <row r="21" spans="1:3" ht="14.65" thickBot="1">
      <c r="A21" s="79" t="s">
        <v>264</v>
      </c>
    </row>
    <row r="22" spans="1:3" ht="14.65" thickBot="1">
      <c r="A22" s="191" t="s">
        <v>53</v>
      </c>
      <c r="B22" s="192" t="s">
        <v>18</v>
      </c>
      <c r="C22" s="193" t="s">
        <v>54</v>
      </c>
    </row>
    <row r="23" spans="1:3">
      <c r="A23" s="388" t="s">
        <v>623</v>
      </c>
      <c r="B23" s="323" t="s">
        <v>35</v>
      </c>
      <c r="C23" s="687">
        <f>SEF+D10</f>
        <v>19000</v>
      </c>
    </row>
    <row r="24" spans="1:3" hidden="1">
      <c r="A24" s="679" t="s">
        <v>49</v>
      </c>
      <c r="B24" s="721" t="s">
        <v>21</v>
      </c>
      <c r="C24" s="292">
        <f>$C$14</f>
        <v>0.3</v>
      </c>
    </row>
    <row r="25" spans="1:3">
      <c r="A25" s="679" t="s">
        <v>366</v>
      </c>
      <c r="B25" s="287" t="s">
        <v>35</v>
      </c>
      <c r="C25" s="84">
        <f>C23*WK</f>
        <v>53846</v>
      </c>
    </row>
    <row r="26" spans="1:3">
      <c r="A26" s="232" t="s">
        <v>329</v>
      </c>
      <c r="B26" s="287" t="s">
        <v>35</v>
      </c>
      <c r="C26" s="84">
        <f>C23*SSK</f>
        <v>5700</v>
      </c>
    </row>
    <row r="27" spans="1:3" ht="14.25" hidden="1" customHeight="1">
      <c r="A27" s="232" t="s">
        <v>327</v>
      </c>
      <c r="B27" s="721" t="s">
        <v>22</v>
      </c>
      <c r="C27" s="85">
        <f>$C$15</f>
        <v>0.55000000000000004</v>
      </c>
    </row>
    <row r="28" spans="1:3">
      <c r="A28" s="232" t="s">
        <v>327</v>
      </c>
      <c r="B28" s="721" t="s">
        <v>237</v>
      </c>
      <c r="C28" s="732">
        <f>C26/(C26+C29)</f>
        <v>0.12992637505413598</v>
      </c>
    </row>
    <row r="29" spans="1:3">
      <c r="A29" s="232" t="s">
        <v>367</v>
      </c>
      <c r="B29" s="287" t="s">
        <v>35</v>
      </c>
      <c r="C29" s="753">
        <f>C25-C34</f>
        <v>38171</v>
      </c>
    </row>
    <row r="30" spans="1:3">
      <c r="A30" s="720" t="s">
        <v>331</v>
      </c>
      <c r="B30" s="746" t="s">
        <v>35</v>
      </c>
      <c r="C30" s="754">
        <f>C26+C29</f>
        <v>43871</v>
      </c>
    </row>
    <row r="31" spans="1:3">
      <c r="A31" s="232" t="s">
        <v>428</v>
      </c>
      <c r="B31" s="287" t="s">
        <v>35</v>
      </c>
      <c r="C31" s="84">
        <f>C23*PSK</f>
        <v>10450</v>
      </c>
    </row>
    <row r="32" spans="1:3">
      <c r="A32" s="232" t="s">
        <v>326</v>
      </c>
      <c r="B32" s="287" t="s">
        <v>237</v>
      </c>
      <c r="C32" s="752">
        <v>0.4</v>
      </c>
    </row>
    <row r="33" spans="1:11" ht="14.25" hidden="1" customHeight="1">
      <c r="A33" s="232" t="s">
        <v>426</v>
      </c>
      <c r="B33" s="721" t="s">
        <v>19</v>
      </c>
      <c r="C33" s="292">
        <f>$C$16</f>
        <v>2.8340000000000001</v>
      </c>
    </row>
    <row r="34" spans="1:11">
      <c r="A34" s="232" t="s">
        <v>426</v>
      </c>
      <c r="B34" s="287" t="s">
        <v>35</v>
      </c>
      <c r="C34" s="753">
        <f>C31/C32*(1-C32)</f>
        <v>15675</v>
      </c>
    </row>
    <row r="35" spans="1:11" ht="14.65" thickBot="1">
      <c r="A35" s="680" t="s">
        <v>427</v>
      </c>
      <c r="B35" s="698" t="s">
        <v>35</v>
      </c>
      <c r="C35" s="335">
        <f>C31+C34</f>
        <v>26125</v>
      </c>
    </row>
    <row r="36" spans="1:11">
      <c r="A36" s="83"/>
      <c r="B36" s="77"/>
      <c r="C36" s="95"/>
    </row>
    <row r="37" spans="1:11" ht="14.65" thickBot="1">
      <c r="A37" s="183" t="s">
        <v>644</v>
      </c>
      <c r="B37" s="181"/>
      <c r="C37" s="182"/>
    </row>
    <row r="38" spans="1:11" ht="14.65" thickBot="1">
      <c r="A38" s="773"/>
      <c r="B38" s="177"/>
      <c r="C38" s="846"/>
      <c r="D38" s="217"/>
      <c r="E38" s="1019" t="s">
        <v>263</v>
      </c>
      <c r="F38" s="1020"/>
      <c r="G38" s="1074" t="s">
        <v>262</v>
      </c>
      <c r="H38" s="1075"/>
      <c r="I38" s="1075"/>
      <c r="J38" s="1075"/>
      <c r="K38" s="1076"/>
    </row>
    <row r="39" spans="1:11">
      <c r="A39" s="219" t="s">
        <v>268</v>
      </c>
      <c r="B39" s="848" t="s">
        <v>453</v>
      </c>
      <c r="C39" s="854" t="s">
        <v>454</v>
      </c>
      <c r="D39" s="867" t="s">
        <v>455</v>
      </c>
      <c r="E39" s="188" t="s">
        <v>622</v>
      </c>
      <c r="F39" s="190" t="s">
        <v>632</v>
      </c>
      <c r="G39" s="623" t="s">
        <v>624</v>
      </c>
      <c r="H39" s="267" t="s">
        <v>633</v>
      </c>
      <c r="I39" s="268" t="s">
        <v>623</v>
      </c>
      <c r="J39" s="269" t="s">
        <v>625</v>
      </c>
      <c r="K39" s="492" t="s">
        <v>626</v>
      </c>
    </row>
    <row r="40" spans="1:11" ht="14.65" thickBot="1">
      <c r="A40" s="220" t="s">
        <v>18</v>
      </c>
      <c r="B40" s="859" t="s">
        <v>24</v>
      </c>
      <c r="C40" s="860" t="s">
        <v>24</v>
      </c>
      <c r="D40" s="872" t="s">
        <v>24</v>
      </c>
      <c r="E40" s="23" t="s">
        <v>71</v>
      </c>
      <c r="F40" s="24" t="s">
        <v>71</v>
      </c>
      <c r="G40" s="23" t="s">
        <v>35</v>
      </c>
      <c r="H40" s="7" t="s">
        <v>35</v>
      </c>
      <c r="I40" s="24" t="s">
        <v>35</v>
      </c>
      <c r="J40" s="153" t="s">
        <v>35</v>
      </c>
      <c r="K40" s="155" t="s">
        <v>35</v>
      </c>
    </row>
    <row r="41" spans="1:11">
      <c r="A41" s="184" t="s">
        <v>72</v>
      </c>
      <c r="B41" s="849">
        <f>65.1372719696907%</f>
        <v>0.65137271969690702</v>
      </c>
      <c r="C41" s="855">
        <v>0.9</v>
      </c>
      <c r="D41" s="702">
        <f>B41*C41</f>
        <v>0.58623544772721636</v>
      </c>
      <c r="E41" s="638">
        <v>39002</v>
      </c>
      <c r="F41" s="616">
        <v>101832</v>
      </c>
      <c r="G41" s="228">
        <f t="shared" ref="G41:G55" si="0">$D$10*E41/1000000</f>
        <v>468.024</v>
      </c>
      <c r="H41" s="223">
        <f>$C$10*F41/1000000</f>
        <v>712.82399999999996</v>
      </c>
      <c r="I41" s="136">
        <f>G41+H41</f>
        <v>1180.848</v>
      </c>
      <c r="J41" s="618">
        <f>D41*I41</f>
        <v>692.25495597778797</v>
      </c>
      <c r="K41" s="467">
        <f>I41*(1-D41)</f>
        <v>488.59304402221198</v>
      </c>
    </row>
    <row r="42" spans="1:11">
      <c r="A42" s="185" t="s">
        <v>73</v>
      </c>
      <c r="B42" s="850">
        <f>80.1532461104534%</f>
        <v>0.80153246110453391</v>
      </c>
      <c r="C42" s="856">
        <v>0.9</v>
      </c>
      <c r="D42" s="72">
        <f t="shared" ref="D42:D55" si="1">B42*C42</f>
        <v>0.72137921499408053</v>
      </c>
      <c r="E42" s="638">
        <v>28.6</v>
      </c>
      <c r="F42" s="357">
        <v>10</v>
      </c>
      <c r="G42" s="229">
        <f t="shared" si="0"/>
        <v>0.34320000000000001</v>
      </c>
      <c r="H42" s="224">
        <f t="shared" ref="H42:H55" si="2">$C$10*F42/1000000</f>
        <v>7.0000000000000007E-2</v>
      </c>
      <c r="I42" s="86">
        <f t="shared" ref="I42:I55" si="3">G42+H42</f>
        <v>0.41320000000000001</v>
      </c>
      <c r="J42" s="619">
        <f t="shared" ref="J42:J55" si="4">D42*I42</f>
        <v>0.29807389163555409</v>
      </c>
      <c r="K42" s="468">
        <f t="shared" ref="K42:K55" si="5">I42*(1-D42)</f>
        <v>0.11512610836444592</v>
      </c>
    </row>
    <row r="43" spans="1:11">
      <c r="A43" s="186" t="s">
        <v>74</v>
      </c>
      <c r="B43" s="850">
        <f>15.8237349786312%</f>
        <v>0.15823734978631199</v>
      </c>
      <c r="C43" s="856">
        <v>0.9</v>
      </c>
      <c r="D43" s="72">
        <f t="shared" si="1"/>
        <v>0.14241361480768081</v>
      </c>
      <c r="E43" s="638">
        <v>159000</v>
      </c>
      <c r="F43" s="357">
        <v>111453.2</v>
      </c>
      <c r="G43" s="229">
        <f t="shared" si="0"/>
        <v>1908</v>
      </c>
      <c r="H43" s="224">
        <f t="shared" si="2"/>
        <v>780.17240000000004</v>
      </c>
      <c r="I43" s="86">
        <f t="shared" si="3"/>
        <v>2688.1723999999999</v>
      </c>
      <c r="J43" s="619">
        <f t="shared" si="4"/>
        <v>382.83234871023882</v>
      </c>
      <c r="K43" s="468">
        <f t="shared" si="5"/>
        <v>2305.340051289761</v>
      </c>
    </row>
    <row r="44" spans="1:11">
      <c r="A44" s="186" t="s">
        <v>75</v>
      </c>
      <c r="B44" s="850">
        <f>25.3487308161862%</f>
        <v>0.25348730816186199</v>
      </c>
      <c r="C44" s="856">
        <v>0.9</v>
      </c>
      <c r="D44" s="72">
        <f t="shared" si="1"/>
        <v>0.2281385773456758</v>
      </c>
      <c r="E44" s="638">
        <v>3.5</v>
      </c>
      <c r="F44" s="357">
        <v>2</v>
      </c>
      <c r="G44" s="229">
        <f t="shared" si="0"/>
        <v>4.2000000000000003E-2</v>
      </c>
      <c r="H44" s="224">
        <f t="shared" si="2"/>
        <v>1.4E-2</v>
      </c>
      <c r="I44" s="86">
        <f t="shared" si="3"/>
        <v>5.6000000000000001E-2</v>
      </c>
      <c r="J44" s="619">
        <f t="shared" si="4"/>
        <v>1.2775760331357845E-2</v>
      </c>
      <c r="K44" s="468">
        <f t="shared" si="5"/>
        <v>4.322423966864216E-2</v>
      </c>
    </row>
    <row r="45" spans="1:11">
      <c r="A45" s="186" t="s">
        <v>76</v>
      </c>
      <c r="B45" s="850">
        <f>40.3565456881858%</f>
        <v>0.40356545688185796</v>
      </c>
      <c r="C45" s="856">
        <v>0.9</v>
      </c>
      <c r="D45" s="72">
        <f t="shared" si="1"/>
        <v>0.36320891119367216</v>
      </c>
      <c r="E45" s="638">
        <v>136</v>
      </c>
      <c r="F45" s="357">
        <v>53.9</v>
      </c>
      <c r="G45" s="229">
        <f t="shared" si="0"/>
        <v>1.6319999999999999</v>
      </c>
      <c r="H45" s="224">
        <f t="shared" si="2"/>
        <v>0.37730000000000002</v>
      </c>
      <c r="I45" s="86">
        <f t="shared" si="3"/>
        <v>2.0093000000000001</v>
      </c>
      <c r="J45" s="619">
        <f t="shared" si="4"/>
        <v>0.72979566526144546</v>
      </c>
      <c r="K45" s="468">
        <f t="shared" si="5"/>
        <v>1.2795043347385546</v>
      </c>
    </row>
    <row r="46" spans="1:11">
      <c r="A46" s="186" t="s">
        <v>77</v>
      </c>
      <c r="B46" s="850">
        <f>23.3623011776807%</f>
        <v>0.233623011776807</v>
      </c>
      <c r="C46" s="856">
        <v>0.9</v>
      </c>
      <c r="D46" s="72">
        <f t="shared" si="1"/>
        <v>0.21026071059912629</v>
      </c>
      <c r="E46" s="638">
        <v>656</v>
      </c>
      <c r="F46" s="357">
        <v>1099</v>
      </c>
      <c r="G46" s="229">
        <f t="shared" si="0"/>
        <v>7.8719999999999999</v>
      </c>
      <c r="H46" s="224">
        <f t="shared" si="2"/>
        <v>7.6929999999999996</v>
      </c>
      <c r="I46" s="86">
        <f t="shared" si="3"/>
        <v>15.565</v>
      </c>
      <c r="J46" s="619">
        <f t="shared" si="4"/>
        <v>3.2727079604754006</v>
      </c>
      <c r="K46" s="468">
        <f t="shared" si="5"/>
        <v>12.292292039524598</v>
      </c>
    </row>
    <row r="47" spans="1:11">
      <c r="A47" s="186" t="s">
        <v>78</v>
      </c>
      <c r="B47" s="850">
        <f>50.7850017965906%</f>
        <v>0.50785001796590601</v>
      </c>
      <c r="C47" s="856">
        <v>0.9</v>
      </c>
      <c r="D47" s="72">
        <f t="shared" si="1"/>
        <v>0.45706501616931544</v>
      </c>
      <c r="E47" s="638">
        <v>87577</v>
      </c>
      <c r="F47" s="357">
        <v>24315</v>
      </c>
      <c r="G47" s="229">
        <f t="shared" si="0"/>
        <v>1050.924</v>
      </c>
      <c r="H47" s="224">
        <f t="shared" si="2"/>
        <v>170.20500000000001</v>
      </c>
      <c r="I47" s="86">
        <f t="shared" si="3"/>
        <v>1221.1289999999999</v>
      </c>
      <c r="J47" s="619">
        <f t="shared" si="4"/>
        <v>558.13534612981994</v>
      </c>
      <c r="K47" s="468">
        <f t="shared" si="5"/>
        <v>662.99365387017986</v>
      </c>
    </row>
    <row r="48" spans="1:11">
      <c r="A48" s="186" t="s">
        <v>79</v>
      </c>
      <c r="B48" s="850">
        <f>76.0854782336761%</f>
        <v>0.76085478233676096</v>
      </c>
      <c r="C48" s="856">
        <v>0.9</v>
      </c>
      <c r="D48" s="72">
        <f t="shared" si="1"/>
        <v>0.6847693041030849</v>
      </c>
      <c r="E48" s="638">
        <v>8230</v>
      </c>
      <c r="F48" s="357">
        <v>9848.1</v>
      </c>
      <c r="G48" s="229">
        <f t="shared" si="0"/>
        <v>98.76</v>
      </c>
      <c r="H48" s="224">
        <f t="shared" si="2"/>
        <v>68.936700000000002</v>
      </c>
      <c r="I48" s="86">
        <f t="shared" si="3"/>
        <v>167.69670000000002</v>
      </c>
      <c r="J48" s="619">
        <f t="shared" si="4"/>
        <v>114.83355255938382</v>
      </c>
      <c r="K48" s="468">
        <f t="shared" si="5"/>
        <v>52.86314744061621</v>
      </c>
    </row>
    <row r="49" spans="1:11">
      <c r="A49" s="186" t="s">
        <v>80</v>
      </c>
      <c r="B49" s="850">
        <f>77.3600519043161%</f>
        <v>0.77360051904316096</v>
      </c>
      <c r="C49" s="856">
        <v>0.9</v>
      </c>
      <c r="D49" s="72">
        <f t="shared" si="1"/>
        <v>0.69624046713884491</v>
      </c>
      <c r="E49" s="638">
        <v>12900</v>
      </c>
      <c r="F49" s="357">
        <v>12706.1</v>
      </c>
      <c r="G49" s="229">
        <f t="shared" si="0"/>
        <v>154.80000000000001</v>
      </c>
      <c r="H49" s="224">
        <f t="shared" si="2"/>
        <v>88.942700000000002</v>
      </c>
      <c r="I49" s="86">
        <f t="shared" si="3"/>
        <v>243.74270000000001</v>
      </c>
      <c r="J49" s="619">
        <f t="shared" si="4"/>
        <v>169.70353130968334</v>
      </c>
      <c r="K49" s="468">
        <f t="shared" si="5"/>
        <v>74.039168690316671</v>
      </c>
    </row>
    <row r="50" spans="1:11">
      <c r="A50" s="186" t="s">
        <v>81</v>
      </c>
      <c r="B50" s="850">
        <f>82.0553097688045%</f>
        <v>0.82055309768804507</v>
      </c>
      <c r="C50" s="856">
        <v>0.9</v>
      </c>
      <c r="D50" s="72">
        <f t="shared" si="1"/>
        <v>0.73849778791924059</v>
      </c>
      <c r="E50" s="638">
        <v>8100</v>
      </c>
      <c r="F50" s="357">
        <v>3346.1</v>
      </c>
      <c r="G50" s="229">
        <f t="shared" si="0"/>
        <v>97.2</v>
      </c>
      <c r="H50" s="224">
        <f t="shared" si="2"/>
        <v>23.422699999999999</v>
      </c>
      <c r="I50" s="86">
        <f t="shared" si="3"/>
        <v>120.62270000000001</v>
      </c>
      <c r="J50" s="619">
        <f t="shared" si="4"/>
        <v>89.079597122846195</v>
      </c>
      <c r="K50" s="468">
        <f t="shared" si="5"/>
        <v>31.543102877153821</v>
      </c>
    </row>
    <row r="51" spans="1:11">
      <c r="A51" s="186" t="s">
        <v>82</v>
      </c>
      <c r="B51" s="850">
        <f>43.5768646693799%</f>
        <v>0.435768646693799</v>
      </c>
      <c r="C51" s="856">
        <v>0.9</v>
      </c>
      <c r="D51" s="72">
        <f t="shared" si="1"/>
        <v>0.39219178202441912</v>
      </c>
      <c r="E51" s="638">
        <v>125</v>
      </c>
      <c r="F51" s="357">
        <v>47.6</v>
      </c>
      <c r="G51" s="229">
        <f t="shared" si="0"/>
        <v>1.5</v>
      </c>
      <c r="H51" s="224">
        <f t="shared" si="2"/>
        <v>0.3332</v>
      </c>
      <c r="I51" s="86">
        <f t="shared" si="3"/>
        <v>1.8331999999999999</v>
      </c>
      <c r="J51" s="619">
        <f t="shared" si="4"/>
        <v>0.71896597480716506</v>
      </c>
      <c r="K51" s="468">
        <f t="shared" si="5"/>
        <v>1.1142340251928347</v>
      </c>
    </row>
    <row r="52" spans="1:11">
      <c r="A52" s="186" t="s">
        <v>83</v>
      </c>
      <c r="B52" s="850">
        <f>87.5831413796529%</f>
        <v>0.87583141379652896</v>
      </c>
      <c r="C52" s="856">
        <v>0.9</v>
      </c>
      <c r="D52" s="72">
        <f t="shared" si="1"/>
        <v>0.78824827241687612</v>
      </c>
      <c r="E52" s="638">
        <v>81618</v>
      </c>
      <c r="F52" s="357">
        <v>84567</v>
      </c>
      <c r="G52" s="229">
        <f t="shared" si="0"/>
        <v>979.41600000000005</v>
      </c>
      <c r="H52" s="224">
        <f t="shared" si="2"/>
        <v>591.96900000000005</v>
      </c>
      <c r="I52" s="86">
        <f t="shared" si="3"/>
        <v>1571.3850000000002</v>
      </c>
      <c r="J52" s="619">
        <f t="shared" si="4"/>
        <v>1238.641511551793</v>
      </c>
      <c r="K52" s="468">
        <f t="shared" si="5"/>
        <v>332.74348844820719</v>
      </c>
    </row>
    <row r="53" spans="1:11">
      <c r="A53" s="186" t="s">
        <v>84</v>
      </c>
      <c r="B53" s="850">
        <f>23.0493758838395%</f>
        <v>0.23049375883839499</v>
      </c>
      <c r="C53" s="856">
        <v>0.9</v>
      </c>
      <c r="D53" s="72">
        <f t="shared" si="1"/>
        <v>0.2074443829545555</v>
      </c>
      <c r="E53" s="638">
        <v>124</v>
      </c>
      <c r="F53" s="357">
        <v>80.2</v>
      </c>
      <c r="G53" s="229">
        <f t="shared" si="0"/>
        <v>1.488</v>
      </c>
      <c r="H53" s="224">
        <f t="shared" si="2"/>
        <v>0.56140000000000001</v>
      </c>
      <c r="I53" s="86">
        <f t="shared" si="3"/>
        <v>2.0493999999999999</v>
      </c>
      <c r="J53" s="619">
        <f t="shared" si="4"/>
        <v>0.42513651842706601</v>
      </c>
      <c r="K53" s="468">
        <f t="shared" si="5"/>
        <v>1.624263481572934</v>
      </c>
    </row>
    <row r="54" spans="1:11">
      <c r="A54" s="186" t="s">
        <v>85</v>
      </c>
      <c r="B54" s="850" t="s">
        <v>89</v>
      </c>
      <c r="C54" s="856">
        <v>0.9</v>
      </c>
      <c r="D54" s="72" t="s">
        <v>89</v>
      </c>
      <c r="E54" s="638">
        <v>18900</v>
      </c>
      <c r="F54" s="357">
        <v>3113.7</v>
      </c>
      <c r="G54" s="229">
        <f t="shared" si="0"/>
        <v>226.8</v>
      </c>
      <c r="H54" s="224">
        <f t="shared" si="2"/>
        <v>21.7959</v>
      </c>
      <c r="I54" s="86">
        <f t="shared" si="3"/>
        <v>248.5959</v>
      </c>
      <c r="J54" s="69" t="s">
        <v>89</v>
      </c>
      <c r="K54" s="72" t="s">
        <v>89</v>
      </c>
    </row>
    <row r="55" spans="1:11" ht="14.65" thickBot="1">
      <c r="A55" s="187" t="s">
        <v>86</v>
      </c>
      <c r="B55" s="851">
        <f>43.7894518370706%</f>
        <v>0.43789451837070603</v>
      </c>
      <c r="C55" s="857">
        <v>0.9</v>
      </c>
      <c r="D55" s="76">
        <f t="shared" si="1"/>
        <v>0.39410506653363542</v>
      </c>
      <c r="E55" s="858">
        <v>2353</v>
      </c>
      <c r="F55" s="359">
        <v>1989</v>
      </c>
      <c r="G55" s="230">
        <f t="shared" si="0"/>
        <v>28.236000000000001</v>
      </c>
      <c r="H55" s="225">
        <f t="shared" si="2"/>
        <v>13.923</v>
      </c>
      <c r="I55" s="118">
        <f t="shared" si="3"/>
        <v>42.158999999999999</v>
      </c>
      <c r="J55" s="620">
        <f t="shared" si="4"/>
        <v>16.615075499991534</v>
      </c>
      <c r="K55" s="469">
        <f t="shared" si="5"/>
        <v>25.543924500008465</v>
      </c>
    </row>
    <row r="56" spans="1:11">
      <c r="A56" s="5"/>
    </row>
    <row r="57" spans="1:11" ht="14.65" thickBot="1">
      <c r="A57" s="79" t="s">
        <v>265</v>
      </c>
    </row>
    <row r="58" spans="1:11" ht="14.65" thickBot="1">
      <c r="A58" s="103" t="s">
        <v>90</v>
      </c>
      <c r="B58" s="102" t="s">
        <v>18</v>
      </c>
      <c r="C58" s="17" t="s">
        <v>91</v>
      </c>
    </row>
    <row r="59" spans="1:11">
      <c r="A59" s="272" t="s">
        <v>623</v>
      </c>
      <c r="B59" s="298" t="s">
        <v>35</v>
      </c>
      <c r="C59" s="294">
        <f>KSAnk</f>
        <v>19000</v>
      </c>
    </row>
    <row r="60" spans="1:11">
      <c r="A60" s="815" t="s">
        <v>366</v>
      </c>
      <c r="B60" s="278" t="s">
        <v>35</v>
      </c>
      <c r="C60" s="297">
        <f>C25</f>
        <v>53846</v>
      </c>
    </row>
    <row r="61" spans="1:11">
      <c r="A61" s="257" t="s">
        <v>329</v>
      </c>
      <c r="B61" s="278" t="s">
        <v>35</v>
      </c>
      <c r="C61" s="289">
        <f>C26</f>
        <v>5700</v>
      </c>
    </row>
    <row r="62" spans="1:11">
      <c r="A62" s="257" t="s">
        <v>428</v>
      </c>
      <c r="B62" s="278" t="s">
        <v>35</v>
      </c>
      <c r="C62" s="289">
        <f>C31</f>
        <v>10450</v>
      </c>
    </row>
    <row r="63" spans="1:11" ht="14.65" thickBot="1">
      <c r="A63" s="255" t="s">
        <v>4</v>
      </c>
      <c r="B63" s="271" t="s">
        <v>35</v>
      </c>
      <c r="C63" s="256">
        <f>C59+C60+C61+C62</f>
        <v>88996</v>
      </c>
    </row>
    <row r="64" spans="1:11">
      <c r="A64" s="83"/>
      <c r="B64" s="77"/>
      <c r="C64" s="96"/>
    </row>
    <row r="65" spans="1:12" ht="14.65" thickBot="1">
      <c r="A65" s="79" t="s">
        <v>278</v>
      </c>
      <c r="B65" s="79"/>
      <c r="C65" s="79"/>
    </row>
    <row r="66" spans="1:12" ht="14.65" thickBot="1">
      <c r="A66" s="103" t="s">
        <v>90</v>
      </c>
      <c r="B66" s="102" t="s">
        <v>18</v>
      </c>
      <c r="C66" s="17" t="s">
        <v>91</v>
      </c>
    </row>
    <row r="67" spans="1:12">
      <c r="A67" s="272" t="s">
        <v>623</v>
      </c>
      <c r="B67" s="298" t="s">
        <v>35</v>
      </c>
      <c r="C67" s="294">
        <f>$C$23</f>
        <v>19000</v>
      </c>
    </row>
    <row r="68" spans="1:12">
      <c r="A68" s="257" t="s">
        <v>329</v>
      </c>
      <c r="B68" s="278" t="s">
        <v>35</v>
      </c>
      <c r="C68" s="295">
        <f>C26</f>
        <v>5700</v>
      </c>
    </row>
    <row r="69" spans="1:12">
      <c r="A69" s="257" t="s">
        <v>428</v>
      </c>
      <c r="B69" s="278" t="s">
        <v>35</v>
      </c>
      <c r="C69" s="295">
        <f>C31</f>
        <v>10450</v>
      </c>
    </row>
    <row r="70" spans="1:12">
      <c r="A70" s="257" t="s">
        <v>336</v>
      </c>
      <c r="B70" s="278" t="s">
        <v>35</v>
      </c>
      <c r="C70" s="279">
        <f>C67+C68+C69</f>
        <v>35150</v>
      </c>
    </row>
    <row r="71" spans="1:12">
      <c r="A71" s="257" t="s">
        <v>4</v>
      </c>
      <c r="B71" s="278" t="s">
        <v>35</v>
      </c>
      <c r="C71" s="279">
        <f>$C$63</f>
        <v>88996</v>
      </c>
    </row>
    <row r="72" spans="1:12">
      <c r="A72" s="299" t="s">
        <v>64</v>
      </c>
      <c r="B72" s="260" t="s">
        <v>24</v>
      </c>
      <c r="C72" s="300">
        <f>C70/C71</f>
        <v>0.39496157130657555</v>
      </c>
    </row>
    <row r="73" spans="1:12">
      <c r="A73" s="257" t="s">
        <v>366</v>
      </c>
      <c r="B73" s="278" t="s">
        <v>35</v>
      </c>
      <c r="C73" s="279">
        <f>C25</f>
        <v>53846</v>
      </c>
    </row>
    <row r="74" spans="1:12">
      <c r="A74" s="257" t="s">
        <v>333</v>
      </c>
      <c r="B74" s="278" t="s">
        <v>35</v>
      </c>
      <c r="C74" s="279">
        <f>C73</f>
        <v>53846</v>
      </c>
    </row>
    <row r="75" spans="1:12">
      <c r="A75" s="257" t="s">
        <v>266</v>
      </c>
      <c r="B75" s="278" t="s">
        <v>35</v>
      </c>
      <c r="C75" s="279">
        <f>$C$63</f>
        <v>88996</v>
      </c>
    </row>
    <row r="76" spans="1:12" ht="14.65" thickBot="1">
      <c r="A76" s="301" t="s">
        <v>66</v>
      </c>
      <c r="B76" s="277" t="s">
        <v>24</v>
      </c>
      <c r="C76" s="303">
        <f>C74/C75</f>
        <v>0.60503842869342439</v>
      </c>
    </row>
    <row r="77" spans="1:12">
      <c r="A77" s="83"/>
      <c r="B77" s="77"/>
      <c r="C77" s="96"/>
    </row>
    <row r="78" spans="1:12" ht="14.65" thickBot="1">
      <c r="A78" s="79" t="s">
        <v>92</v>
      </c>
    </row>
    <row r="79" spans="1:12" ht="14.65" thickBot="1">
      <c r="A79" s="419"/>
      <c r="B79" s="1028" t="s">
        <v>262</v>
      </c>
      <c r="C79" s="1029"/>
      <c r="D79" s="1029"/>
      <c r="E79" s="1029"/>
      <c r="F79" s="1030"/>
      <c r="G79" s="1028" t="s">
        <v>263</v>
      </c>
      <c r="H79" s="1029"/>
      <c r="I79" s="1029"/>
      <c r="J79" s="1029"/>
      <c r="K79" s="1029"/>
      <c r="L79" s="1031"/>
    </row>
    <row r="80" spans="1:12">
      <c r="A80" s="420"/>
      <c r="B80" s="1047" t="s">
        <v>270</v>
      </c>
      <c r="C80" s="1051" t="s">
        <v>243</v>
      </c>
      <c r="D80" s="1051" t="s">
        <v>256</v>
      </c>
      <c r="E80" s="1049" t="s">
        <v>336</v>
      </c>
      <c r="F80" s="1052" t="s">
        <v>266</v>
      </c>
      <c r="G80" s="1026" t="s">
        <v>269</v>
      </c>
      <c r="H80" s="1040"/>
      <c r="I80" s="1022" t="s">
        <v>267</v>
      </c>
      <c r="J80" s="1032"/>
      <c r="K80" s="1032"/>
      <c r="L80" s="1023"/>
    </row>
    <row r="81" spans="1:12">
      <c r="A81" s="92" t="s">
        <v>93</v>
      </c>
      <c r="B81" s="1048"/>
      <c r="C81" s="1050"/>
      <c r="D81" s="1050"/>
      <c r="E81" s="1050"/>
      <c r="F81" s="1053"/>
      <c r="G81" s="1033"/>
      <c r="H81" s="1046"/>
      <c r="I81" s="1033" t="s">
        <v>243</v>
      </c>
      <c r="J81" s="1034"/>
      <c r="K81" s="1034" t="s">
        <v>256</v>
      </c>
      <c r="L81" s="1035"/>
    </row>
    <row r="82" spans="1:12" ht="14.65" thickBot="1">
      <c r="A82" s="93" t="s">
        <v>18</v>
      </c>
      <c r="B82" s="153" t="s">
        <v>35</v>
      </c>
      <c r="C82" s="154" t="s">
        <v>35</v>
      </c>
      <c r="D82" s="154" t="s">
        <v>35</v>
      </c>
      <c r="E82" s="154" t="s">
        <v>35</v>
      </c>
      <c r="F82" s="423" t="s">
        <v>35</v>
      </c>
      <c r="G82" s="403" t="s">
        <v>257</v>
      </c>
      <c r="H82" s="423" t="s">
        <v>237</v>
      </c>
      <c r="I82" s="403" t="s">
        <v>70</v>
      </c>
      <c r="J82" s="154" t="s">
        <v>237</v>
      </c>
      <c r="K82" s="154" t="s">
        <v>70</v>
      </c>
      <c r="L82" s="155" t="s">
        <v>237</v>
      </c>
    </row>
    <row r="83" spans="1:12">
      <c r="A83" s="148" t="s">
        <v>72</v>
      </c>
      <c r="B83" s="159">
        <f>I41</f>
        <v>1180.848</v>
      </c>
      <c r="C83" s="428">
        <f>J41</f>
        <v>692.25495597778797</v>
      </c>
      <c r="D83" s="428">
        <f>K41</f>
        <v>488.59304402221198</v>
      </c>
      <c r="E83" s="160">
        <f>$C$70</f>
        <v>35150</v>
      </c>
      <c r="F83" s="467">
        <f>$C$63</f>
        <v>88996</v>
      </c>
      <c r="G83" s="465">
        <f t="shared" ref="G83:G103" si="6">B83/E83*1000000</f>
        <v>33594.537695590327</v>
      </c>
      <c r="H83" s="554">
        <f>G83/1000000</f>
        <v>3.3594537695590329E-2</v>
      </c>
      <c r="I83" s="557">
        <f>C83/F83*1000000</f>
        <v>7778.4951680725871</v>
      </c>
      <c r="J83" s="432">
        <f>I83/1000000</f>
        <v>7.778495168072587E-3</v>
      </c>
      <c r="K83" s="431">
        <f t="shared" ref="K83:K103" si="7">D83/F83*1000000</f>
        <v>5490.056227495752</v>
      </c>
      <c r="L83" s="433">
        <f>K83/1000000</f>
        <v>5.4900562274957524E-3</v>
      </c>
    </row>
    <row r="84" spans="1:12">
      <c r="A84" s="149" t="s">
        <v>73</v>
      </c>
      <c r="B84" s="161">
        <f>I42</f>
        <v>0.41320000000000001</v>
      </c>
      <c r="C84" s="235">
        <f>J42</f>
        <v>0.29807389163555409</v>
      </c>
      <c r="D84" s="235">
        <f>K42</f>
        <v>0.11512610836444592</v>
      </c>
      <c r="E84" s="119">
        <f t="shared" ref="E84:E103" si="8">$C$70</f>
        <v>35150</v>
      </c>
      <c r="F84" s="468">
        <f>$C$63</f>
        <v>88996</v>
      </c>
      <c r="G84" s="331">
        <f>B84/E84*1000000</f>
        <v>11.755334281650072</v>
      </c>
      <c r="H84" s="555">
        <f t="shared" ref="H84:H103" si="9">G84/1000000</f>
        <v>1.1755334281650072E-5</v>
      </c>
      <c r="I84" s="558">
        <f>C84/F84*1000000</f>
        <v>3.3492953799671232</v>
      </c>
      <c r="J84" s="427">
        <f t="shared" ref="J84:J103" si="10">I84/1000000</f>
        <v>3.3492953799671233E-6</v>
      </c>
      <c r="K84" s="426">
        <f t="shared" si="7"/>
        <v>1.2936099191474439</v>
      </c>
      <c r="L84" s="434">
        <f t="shared" ref="L84:L103" si="11">K84/1000000</f>
        <v>1.2936099191474439E-6</v>
      </c>
    </row>
    <row r="85" spans="1:12">
      <c r="A85" s="149" t="s">
        <v>74</v>
      </c>
      <c r="B85" s="161">
        <f>I43</f>
        <v>2688.1723999999999</v>
      </c>
      <c r="C85" s="235">
        <f>J43</f>
        <v>382.83234871023882</v>
      </c>
      <c r="D85" s="235">
        <f>K43</f>
        <v>2305.340051289761</v>
      </c>
      <c r="E85" s="119">
        <f t="shared" si="8"/>
        <v>35150</v>
      </c>
      <c r="F85" s="468">
        <f t="shared" ref="F85:F103" si="12">$C$63</f>
        <v>88996</v>
      </c>
      <c r="G85" s="331">
        <f t="shared" ref="G85:G87" si="13">B85/E85*1000000</f>
        <v>76477.16642958748</v>
      </c>
      <c r="H85" s="555">
        <f t="shared" si="9"/>
        <v>7.6477166429587476E-2</v>
      </c>
      <c r="I85" s="558">
        <f t="shared" ref="I85:I103" si="14">C85/F85*1000000</f>
        <v>4301.6803981104631</v>
      </c>
      <c r="J85" s="427">
        <f t="shared" si="10"/>
        <v>4.3016803981104634E-3</v>
      </c>
      <c r="K85" s="426">
        <f t="shared" si="7"/>
        <v>25903.861423993898</v>
      </c>
      <c r="L85" s="434">
        <f t="shared" si="11"/>
        <v>2.5903861423993899E-2</v>
      </c>
    </row>
    <row r="86" spans="1:12">
      <c r="A86" s="149" t="s">
        <v>75</v>
      </c>
      <c r="B86" s="161">
        <f>I44</f>
        <v>5.6000000000000001E-2</v>
      </c>
      <c r="C86" s="235">
        <f>J44</f>
        <v>1.2775760331357845E-2</v>
      </c>
      <c r="D86" s="235">
        <f>K44</f>
        <v>4.322423966864216E-2</v>
      </c>
      <c r="E86" s="119">
        <f t="shared" si="8"/>
        <v>35150</v>
      </c>
      <c r="F86" s="468">
        <f t="shared" si="12"/>
        <v>88996</v>
      </c>
      <c r="G86" s="331">
        <f t="shared" si="13"/>
        <v>1.5931721194879089</v>
      </c>
      <c r="H86" s="555">
        <f t="shared" si="9"/>
        <v>1.593172119487909E-6</v>
      </c>
      <c r="I86" s="558">
        <f t="shared" si="14"/>
        <v>0.14355432077124641</v>
      </c>
      <c r="J86" s="427">
        <f t="shared" si="10"/>
        <v>1.4355432077124641E-7</v>
      </c>
      <c r="K86" s="426">
        <f t="shared" si="7"/>
        <v>0.48568744290352556</v>
      </c>
      <c r="L86" s="434">
        <f t="shared" si="11"/>
        <v>4.8568744290352553E-7</v>
      </c>
    </row>
    <row r="87" spans="1:12">
      <c r="A87" s="149" t="s">
        <v>76</v>
      </c>
      <c r="B87" s="161">
        <f>I45</f>
        <v>2.0093000000000001</v>
      </c>
      <c r="C87" s="235">
        <f>J45</f>
        <v>0.72979566526144546</v>
      </c>
      <c r="D87" s="235">
        <f>K45</f>
        <v>1.2795043347385546</v>
      </c>
      <c r="E87" s="119">
        <f t="shared" si="8"/>
        <v>35150</v>
      </c>
      <c r="F87" s="468">
        <f t="shared" si="12"/>
        <v>88996</v>
      </c>
      <c r="G87" s="331">
        <f t="shared" si="13"/>
        <v>57.163584637268848</v>
      </c>
      <c r="H87" s="555">
        <f t="shared" si="9"/>
        <v>5.7163584637268849E-5</v>
      </c>
      <c r="I87" s="558">
        <f t="shared" si="14"/>
        <v>8.2003198487734892</v>
      </c>
      <c r="J87" s="427">
        <f t="shared" si="10"/>
        <v>8.2003198487734885E-6</v>
      </c>
      <c r="K87" s="426">
        <f t="shared" si="7"/>
        <v>14.37709936107864</v>
      </c>
      <c r="L87" s="434">
        <f t="shared" si="11"/>
        <v>1.437709936107864E-5</v>
      </c>
    </row>
    <row r="88" spans="1:12">
      <c r="A88" s="150" t="s">
        <v>77</v>
      </c>
      <c r="B88" s="161">
        <f>I46</f>
        <v>15.565</v>
      </c>
      <c r="C88" s="235">
        <f>J46</f>
        <v>3.2727079604754006</v>
      </c>
      <c r="D88" s="235">
        <f>K46</f>
        <v>12.292292039524598</v>
      </c>
      <c r="E88" s="119">
        <f t="shared" si="8"/>
        <v>35150</v>
      </c>
      <c r="F88" s="468">
        <f t="shared" si="12"/>
        <v>88996</v>
      </c>
      <c r="G88" s="331">
        <f t="shared" si="6"/>
        <v>442.81650071123755</v>
      </c>
      <c r="H88" s="555">
        <f t="shared" si="9"/>
        <v>4.4281650071123756E-4</v>
      </c>
      <c r="I88" s="558">
        <f t="shared" si="14"/>
        <v>36.773652304321551</v>
      </c>
      <c r="J88" s="427">
        <f t="shared" si="10"/>
        <v>3.6773652304321549E-5</v>
      </c>
      <c r="K88" s="426">
        <f t="shared" si="7"/>
        <v>138.12184861706817</v>
      </c>
      <c r="L88" s="434">
        <f t="shared" si="11"/>
        <v>1.3812184861706816E-4</v>
      </c>
    </row>
    <row r="89" spans="1:12">
      <c r="A89" s="150" t="s">
        <v>78</v>
      </c>
      <c r="B89" s="161">
        <f>I47</f>
        <v>1221.1289999999999</v>
      </c>
      <c r="C89" s="235">
        <f>J47</f>
        <v>558.13534612981994</v>
      </c>
      <c r="D89" s="235">
        <f>K47</f>
        <v>662.99365387017986</v>
      </c>
      <c r="E89" s="119">
        <f t="shared" si="8"/>
        <v>35150</v>
      </c>
      <c r="F89" s="468">
        <f t="shared" si="12"/>
        <v>88996</v>
      </c>
      <c r="G89" s="331">
        <f t="shared" si="6"/>
        <v>34740.512091038407</v>
      </c>
      <c r="H89" s="555">
        <f t="shared" si="9"/>
        <v>3.4740512091038407E-2</v>
      </c>
      <c r="I89" s="558">
        <f t="shared" si="14"/>
        <v>6271.4655279992348</v>
      </c>
      <c r="J89" s="427">
        <f t="shared" si="10"/>
        <v>6.271465527999235E-3</v>
      </c>
      <c r="K89" s="426">
        <f t="shared" si="7"/>
        <v>7449.701715472379</v>
      </c>
      <c r="L89" s="434">
        <f t="shared" si="11"/>
        <v>7.4497017154723788E-3</v>
      </c>
    </row>
    <row r="90" spans="1:12">
      <c r="A90" s="150" t="s">
        <v>79</v>
      </c>
      <c r="B90" s="161">
        <f>I48</f>
        <v>167.69670000000002</v>
      </c>
      <c r="C90" s="235">
        <f>J48</f>
        <v>114.83355255938382</v>
      </c>
      <c r="D90" s="235">
        <f>K48</f>
        <v>52.86314744061621</v>
      </c>
      <c r="E90" s="119">
        <f t="shared" si="8"/>
        <v>35150</v>
      </c>
      <c r="F90" s="468">
        <f t="shared" si="12"/>
        <v>88996</v>
      </c>
      <c r="G90" s="331">
        <f t="shared" si="6"/>
        <v>4770.8876244665726</v>
      </c>
      <c r="H90" s="555">
        <f t="shared" si="9"/>
        <v>4.7708876244665728E-3</v>
      </c>
      <c r="I90" s="558">
        <f t="shared" si="14"/>
        <v>1290.322627526898</v>
      </c>
      <c r="J90" s="427">
        <f t="shared" si="10"/>
        <v>1.2903226275268981E-3</v>
      </c>
      <c r="K90" s="426">
        <f t="shared" si="7"/>
        <v>593.99464515951513</v>
      </c>
      <c r="L90" s="434">
        <f t="shared" si="11"/>
        <v>5.9399464515951514E-4</v>
      </c>
    </row>
    <row r="91" spans="1:12">
      <c r="A91" s="150" t="s">
        <v>80</v>
      </c>
      <c r="B91" s="161">
        <f>I49</f>
        <v>243.74270000000001</v>
      </c>
      <c r="C91" s="235">
        <f>J49</f>
        <v>169.70353130968334</v>
      </c>
      <c r="D91" s="235">
        <f>K49</f>
        <v>74.039168690316671</v>
      </c>
      <c r="E91" s="119">
        <f t="shared" si="8"/>
        <v>35150</v>
      </c>
      <c r="F91" s="468">
        <f t="shared" si="12"/>
        <v>88996</v>
      </c>
      <c r="G91" s="331">
        <f t="shared" si="6"/>
        <v>6934.358463726885</v>
      </c>
      <c r="H91" s="555">
        <f t="shared" si="9"/>
        <v>6.9343584637268849E-3</v>
      </c>
      <c r="I91" s="558">
        <f t="shared" si="14"/>
        <v>1906.8669525561074</v>
      </c>
      <c r="J91" s="427">
        <f t="shared" si="10"/>
        <v>1.9068669525561075E-3</v>
      </c>
      <c r="K91" s="426">
        <f t="shared" si="7"/>
        <v>831.93816228051446</v>
      </c>
      <c r="L91" s="434">
        <f t="shared" si="11"/>
        <v>8.319381622805145E-4</v>
      </c>
    </row>
    <row r="92" spans="1:12">
      <c r="A92" s="150" t="s">
        <v>81</v>
      </c>
      <c r="B92" s="161">
        <f>I50</f>
        <v>120.62270000000001</v>
      </c>
      <c r="C92" s="235">
        <f>J50</f>
        <v>89.079597122846195</v>
      </c>
      <c r="D92" s="235">
        <f>K50</f>
        <v>31.543102877153821</v>
      </c>
      <c r="E92" s="119">
        <f t="shared" si="8"/>
        <v>35150</v>
      </c>
      <c r="F92" s="468">
        <f t="shared" si="12"/>
        <v>88996</v>
      </c>
      <c r="G92" s="331">
        <f t="shared" si="6"/>
        <v>3431.6557610241825</v>
      </c>
      <c r="H92" s="555">
        <f t="shared" si="9"/>
        <v>3.4316557610241825E-3</v>
      </c>
      <c r="I92" s="558">
        <f t="shared" si="14"/>
        <v>1000.9393357324622</v>
      </c>
      <c r="J92" s="427">
        <f t="shared" si="10"/>
        <v>1.0009393357324622E-3</v>
      </c>
      <c r="K92" s="426">
        <f t="shared" si="7"/>
        <v>354.43281582491147</v>
      </c>
      <c r="L92" s="434">
        <f t="shared" si="11"/>
        <v>3.5443281582491149E-4</v>
      </c>
    </row>
    <row r="93" spans="1:12">
      <c r="A93" s="150" t="s">
        <v>82</v>
      </c>
      <c r="B93" s="161">
        <f>I51</f>
        <v>1.8331999999999999</v>
      </c>
      <c r="C93" s="235">
        <f>J51</f>
        <v>0.71896597480716506</v>
      </c>
      <c r="D93" s="235">
        <f>K51</f>
        <v>1.1142340251928347</v>
      </c>
      <c r="E93" s="119">
        <f t="shared" si="8"/>
        <v>35150</v>
      </c>
      <c r="F93" s="468">
        <f t="shared" si="12"/>
        <v>88996</v>
      </c>
      <c r="G93" s="331">
        <f t="shared" si="6"/>
        <v>52.153627311522044</v>
      </c>
      <c r="H93" s="555">
        <f t="shared" si="9"/>
        <v>5.2153627311522044E-5</v>
      </c>
      <c r="I93" s="558">
        <f t="shared" si="14"/>
        <v>8.0786324644609309</v>
      </c>
      <c r="J93" s="427">
        <f t="shared" si="10"/>
        <v>8.0786324644609317E-6</v>
      </c>
      <c r="K93" s="426">
        <f t="shared" si="7"/>
        <v>12.520046127835348</v>
      </c>
      <c r="L93" s="434">
        <f t="shared" si="11"/>
        <v>1.2520046127835349E-5</v>
      </c>
    </row>
    <row r="94" spans="1:12">
      <c r="A94" s="150" t="s">
        <v>630</v>
      </c>
      <c r="B94" s="161">
        <f>I52</f>
        <v>1571.3850000000002</v>
      </c>
      <c r="C94" s="235">
        <f>J52</f>
        <v>1238.641511551793</v>
      </c>
      <c r="D94" s="235">
        <f>K52</f>
        <v>332.74348844820719</v>
      </c>
      <c r="E94" s="119">
        <f t="shared" si="8"/>
        <v>35150</v>
      </c>
      <c r="F94" s="468">
        <f t="shared" si="12"/>
        <v>88996</v>
      </c>
      <c r="G94" s="331">
        <f t="shared" si="6"/>
        <v>44705.120910384074</v>
      </c>
      <c r="H94" s="555">
        <f t="shared" si="9"/>
        <v>4.4705120910384075E-2</v>
      </c>
      <c r="I94" s="558">
        <f t="shared" si="14"/>
        <v>13917.945880172063</v>
      </c>
      <c r="J94" s="427">
        <f t="shared" si="10"/>
        <v>1.3917945880172063E-2</v>
      </c>
      <c r="K94" s="426">
        <f t="shared" si="7"/>
        <v>3738.8589200436782</v>
      </c>
      <c r="L94" s="434">
        <f t="shared" si="11"/>
        <v>3.7388589200436782E-3</v>
      </c>
    </row>
    <row r="95" spans="1:12">
      <c r="A95" s="150" t="s">
        <v>96</v>
      </c>
      <c r="B95" s="161">
        <f>$C$31*31/98</f>
        <v>3305.612244897959</v>
      </c>
      <c r="C95" s="235">
        <f>$C$31*31/98</f>
        <v>3305.612244897959</v>
      </c>
      <c r="D95" s="235">
        <v>0</v>
      </c>
      <c r="E95" s="119">
        <f t="shared" si="8"/>
        <v>35150</v>
      </c>
      <c r="F95" s="468">
        <f t="shared" si="12"/>
        <v>88996</v>
      </c>
      <c r="G95" s="331">
        <f t="shared" si="6"/>
        <v>94043.022614451183</v>
      </c>
      <c r="H95" s="555">
        <f t="shared" si="9"/>
        <v>9.4043022614451188E-2</v>
      </c>
      <c r="I95" s="558">
        <f t="shared" si="14"/>
        <v>37143.379982223458</v>
      </c>
      <c r="J95" s="427">
        <f t="shared" si="10"/>
        <v>3.7143379982223459E-2</v>
      </c>
      <c r="K95" s="426">
        <f t="shared" si="7"/>
        <v>0</v>
      </c>
      <c r="L95" s="434">
        <f t="shared" si="11"/>
        <v>0</v>
      </c>
    </row>
    <row r="96" spans="1:12">
      <c r="A96" s="150" t="s">
        <v>97</v>
      </c>
      <c r="B96" s="161">
        <f>B94+B95</f>
        <v>4876.9972448979588</v>
      </c>
      <c r="C96" s="235">
        <f>C94+C95</f>
        <v>4544.2537564497525</v>
      </c>
      <c r="D96" s="235">
        <f>D94+D95</f>
        <v>332.74348844820719</v>
      </c>
      <c r="E96" s="119">
        <f t="shared" si="8"/>
        <v>35150</v>
      </c>
      <c r="F96" s="468">
        <f t="shared" si="12"/>
        <v>88996</v>
      </c>
      <c r="G96" s="331">
        <f t="shared" si="6"/>
        <v>138748.14352483524</v>
      </c>
      <c r="H96" s="555">
        <f t="shared" si="9"/>
        <v>0.13874814352483525</v>
      </c>
      <c r="I96" s="558">
        <f t="shared" si="14"/>
        <v>51061.325862395526</v>
      </c>
      <c r="J96" s="427">
        <f t="shared" si="10"/>
        <v>5.1061325862395528E-2</v>
      </c>
      <c r="K96" s="426">
        <f t="shared" si="7"/>
        <v>3738.8589200436782</v>
      </c>
      <c r="L96" s="434">
        <f t="shared" si="11"/>
        <v>3.7388589200436782E-3</v>
      </c>
    </row>
    <row r="97" spans="1:12">
      <c r="A97" s="150" t="s">
        <v>84</v>
      </c>
      <c r="B97" s="161">
        <f>I53</f>
        <v>2.0493999999999999</v>
      </c>
      <c r="C97" s="235">
        <f>J53</f>
        <v>0.42513651842706601</v>
      </c>
      <c r="D97" s="235">
        <f>K53</f>
        <v>1.624263481572934</v>
      </c>
      <c r="E97" s="119">
        <f t="shared" si="8"/>
        <v>35150</v>
      </c>
      <c r="F97" s="468">
        <f t="shared" si="12"/>
        <v>88996</v>
      </c>
      <c r="G97" s="331">
        <f t="shared" si="6"/>
        <v>58.304409672830722</v>
      </c>
      <c r="H97" s="555">
        <f t="shared" si="9"/>
        <v>5.8304409672830723E-5</v>
      </c>
      <c r="I97" s="558">
        <f t="shared" si="14"/>
        <v>4.7770295117428425</v>
      </c>
      <c r="J97" s="427">
        <f t="shared" si="10"/>
        <v>4.7770295117428421E-6</v>
      </c>
      <c r="K97" s="426">
        <f t="shared" si="7"/>
        <v>18.250971746740685</v>
      </c>
      <c r="L97" s="434">
        <f t="shared" si="11"/>
        <v>1.8250971746740685E-5</v>
      </c>
    </row>
    <row r="98" spans="1:12">
      <c r="A98" s="150" t="s">
        <v>631</v>
      </c>
      <c r="B98" s="161">
        <f>I54</f>
        <v>248.5959</v>
      </c>
      <c r="C98" s="235">
        <v>0</v>
      </c>
      <c r="D98" s="235">
        <f>G54</f>
        <v>226.8</v>
      </c>
      <c r="E98" s="119">
        <f t="shared" si="8"/>
        <v>35150</v>
      </c>
      <c r="F98" s="468">
        <f t="shared" si="12"/>
        <v>88996</v>
      </c>
      <c r="G98" s="331">
        <f t="shared" si="6"/>
        <v>7072.4295874822192</v>
      </c>
      <c r="H98" s="555">
        <f t="shared" si="9"/>
        <v>7.072429587482219E-3</v>
      </c>
      <c r="I98" s="558">
        <f t="shared" si="14"/>
        <v>0</v>
      </c>
      <c r="J98" s="427">
        <f t="shared" si="10"/>
        <v>0</v>
      </c>
      <c r="K98" s="426">
        <f t="shared" si="7"/>
        <v>2548.4291428828265</v>
      </c>
      <c r="L98" s="434">
        <f t="shared" si="11"/>
        <v>2.5484291428828263E-3</v>
      </c>
    </row>
    <row r="99" spans="1:12">
      <c r="A99" s="150" t="s">
        <v>250</v>
      </c>
      <c r="B99" s="161">
        <f>$C$26*32/98</f>
        <v>1861.2244897959183</v>
      </c>
      <c r="C99" s="235">
        <v>0</v>
      </c>
      <c r="D99" s="235">
        <f>$C$26*32/98</f>
        <v>1861.2244897959183</v>
      </c>
      <c r="E99" s="119">
        <f t="shared" si="8"/>
        <v>35150</v>
      </c>
      <c r="F99" s="468">
        <f t="shared" si="12"/>
        <v>88996</v>
      </c>
      <c r="G99" s="331">
        <f t="shared" si="6"/>
        <v>52950.910093767234</v>
      </c>
      <c r="H99" s="555">
        <f t="shared" si="9"/>
        <v>5.2950910093767234E-2</v>
      </c>
      <c r="I99" s="558">
        <f t="shared" si="14"/>
        <v>0</v>
      </c>
      <c r="J99" s="427">
        <f t="shared" si="10"/>
        <v>0</v>
      </c>
      <c r="K99" s="426">
        <f t="shared" si="7"/>
        <v>20913.57465274752</v>
      </c>
      <c r="L99" s="434">
        <f t="shared" si="11"/>
        <v>2.091357465274752E-2</v>
      </c>
    </row>
    <row r="100" spans="1:12">
      <c r="A100" s="150" t="s">
        <v>251</v>
      </c>
      <c r="B100" s="161">
        <f>B98+B99</f>
        <v>2109.8203897959183</v>
      </c>
      <c r="C100" s="235">
        <v>0</v>
      </c>
      <c r="D100" s="235">
        <f>D98+D99</f>
        <v>2088.0244897959183</v>
      </c>
      <c r="E100" s="119">
        <f t="shared" si="8"/>
        <v>35150</v>
      </c>
      <c r="F100" s="468">
        <f t="shared" si="12"/>
        <v>88996</v>
      </c>
      <c r="G100" s="331">
        <f t="shared" si="6"/>
        <v>60023.339681249454</v>
      </c>
      <c r="H100" s="555">
        <f t="shared" si="9"/>
        <v>6.0023339681249455E-2</v>
      </c>
      <c r="I100" s="558">
        <f t="shared" si="14"/>
        <v>0</v>
      </c>
      <c r="J100" s="427">
        <f t="shared" si="10"/>
        <v>0</v>
      </c>
      <c r="K100" s="426">
        <f t="shared" si="7"/>
        <v>23462.003795630346</v>
      </c>
      <c r="L100" s="434">
        <f t="shared" si="11"/>
        <v>2.3462003795630345E-2</v>
      </c>
    </row>
    <row r="101" spans="1:12">
      <c r="A101" s="151" t="s">
        <v>238</v>
      </c>
      <c r="B101" s="161">
        <f>B100/32*96</f>
        <v>6329.461169387755</v>
      </c>
      <c r="C101" s="235">
        <v>0</v>
      </c>
      <c r="D101" s="235">
        <f>D100/32*96</f>
        <v>6264.0734693877548</v>
      </c>
      <c r="E101" s="119">
        <f t="shared" si="8"/>
        <v>35150</v>
      </c>
      <c r="F101" s="468">
        <f t="shared" si="12"/>
        <v>88996</v>
      </c>
      <c r="G101" s="331">
        <f t="shared" si="6"/>
        <v>180070.01904374835</v>
      </c>
      <c r="H101" s="555">
        <f t="shared" si="9"/>
        <v>0.18007001904374836</v>
      </c>
      <c r="I101" s="558">
        <f t="shared" si="14"/>
        <v>0</v>
      </c>
      <c r="J101" s="427">
        <f t="shared" si="10"/>
        <v>0</v>
      </c>
      <c r="K101" s="426">
        <f t="shared" si="7"/>
        <v>70386.011386891027</v>
      </c>
      <c r="L101" s="434">
        <f t="shared" si="11"/>
        <v>7.0386011386891031E-2</v>
      </c>
    </row>
    <row r="102" spans="1:12">
      <c r="A102" s="151" t="s">
        <v>239</v>
      </c>
      <c r="B102" s="161">
        <f>B100/32*136</f>
        <v>8966.7366566326527</v>
      </c>
      <c r="C102" s="235">
        <v>0</v>
      </c>
      <c r="D102" s="235">
        <f>D100/32*136</f>
        <v>8874.1040816326531</v>
      </c>
      <c r="E102" s="119">
        <f t="shared" si="8"/>
        <v>35150</v>
      </c>
      <c r="F102" s="468">
        <f t="shared" si="12"/>
        <v>88996</v>
      </c>
      <c r="G102" s="331">
        <f t="shared" si="6"/>
        <v>255099.19364531021</v>
      </c>
      <c r="H102" s="555">
        <f t="shared" si="9"/>
        <v>0.2550991936453102</v>
      </c>
      <c r="I102" s="558">
        <f t="shared" si="14"/>
        <v>0</v>
      </c>
      <c r="J102" s="427">
        <f t="shared" si="10"/>
        <v>0</v>
      </c>
      <c r="K102" s="426">
        <f t="shared" si="7"/>
        <v>99713.516131428987</v>
      </c>
      <c r="L102" s="434">
        <f t="shared" si="11"/>
        <v>9.9713516131428981E-2</v>
      </c>
    </row>
    <row r="103" spans="1:12" ht="14.65" thickBot="1">
      <c r="A103" s="152" t="s">
        <v>86</v>
      </c>
      <c r="B103" s="162">
        <f>I55</f>
        <v>42.158999999999999</v>
      </c>
      <c r="C103" s="236">
        <f>J55</f>
        <v>16.615075499991534</v>
      </c>
      <c r="D103" s="236">
        <f>K55</f>
        <v>25.543924500008465</v>
      </c>
      <c r="E103" s="135">
        <f t="shared" si="8"/>
        <v>35150</v>
      </c>
      <c r="F103" s="469">
        <f t="shared" si="12"/>
        <v>88996</v>
      </c>
      <c r="G103" s="466">
        <f t="shared" si="6"/>
        <v>1199.4025604551921</v>
      </c>
      <c r="H103" s="556">
        <f t="shared" si="9"/>
        <v>1.199402560455192E-3</v>
      </c>
      <c r="I103" s="559">
        <f t="shared" si="14"/>
        <v>186.69463234293153</v>
      </c>
      <c r="J103" s="438">
        <f t="shared" si="10"/>
        <v>1.8669463234293151E-4</v>
      </c>
      <c r="K103" s="437">
        <f t="shared" si="7"/>
        <v>287.02328756358111</v>
      </c>
      <c r="L103" s="439">
        <f t="shared" si="11"/>
        <v>2.8702328756358109E-4</v>
      </c>
    </row>
    <row r="105" spans="1:12">
      <c r="A105" s="1" t="s">
        <v>98</v>
      </c>
      <c r="B105" s="1"/>
      <c r="C105" s="1"/>
    </row>
    <row r="106" spans="1:12" ht="14.65" thickBot="1">
      <c r="A106" s="79" t="s">
        <v>377</v>
      </c>
      <c r="B106" s="79"/>
      <c r="C106" s="79"/>
    </row>
    <row r="107" spans="1:12">
      <c r="A107" s="496" t="s">
        <v>334</v>
      </c>
      <c r="B107" s="493">
        <v>0.05</v>
      </c>
      <c r="C107" s="304" t="s">
        <v>101</v>
      </c>
    </row>
    <row r="108" spans="1:12">
      <c r="A108" s="392" t="s">
        <v>378</v>
      </c>
      <c r="B108" s="494">
        <v>1.86</v>
      </c>
      <c r="C108" s="72" t="s">
        <v>103</v>
      </c>
    </row>
    <row r="109" spans="1:12">
      <c r="A109" s="392" t="s">
        <v>379</v>
      </c>
      <c r="B109" s="494">
        <v>0.997</v>
      </c>
      <c r="C109" s="72" t="s">
        <v>103</v>
      </c>
    </row>
    <row r="110" spans="1:12">
      <c r="A110" s="392" t="s">
        <v>380</v>
      </c>
      <c r="B110" s="494">
        <v>1.0206786471090072</v>
      </c>
      <c r="C110" s="72" t="s">
        <v>103</v>
      </c>
    </row>
    <row r="111" spans="1:12">
      <c r="A111" s="921" t="s">
        <v>475</v>
      </c>
      <c r="B111" s="924">
        <v>0.02</v>
      </c>
      <c r="C111" s="72" t="s">
        <v>25</v>
      </c>
    </row>
    <row r="112" spans="1:12">
      <c r="A112" s="922" t="s">
        <v>646</v>
      </c>
      <c r="B112" s="925">
        <v>0.9</v>
      </c>
      <c r="C112" s="72" t="s">
        <v>237</v>
      </c>
    </row>
    <row r="113" spans="1:3" ht="14.65" thickBot="1">
      <c r="A113" s="233" t="s">
        <v>476</v>
      </c>
      <c r="B113" s="927">
        <f>B111*B112</f>
        <v>1.8000000000000002E-2</v>
      </c>
      <c r="C113" s="76" t="s">
        <v>25</v>
      </c>
    </row>
    <row r="115" spans="1:3" ht="14.65" thickBot="1">
      <c r="A115" s="79" t="s">
        <v>271</v>
      </c>
    </row>
    <row r="116" spans="1:3" ht="14.65" thickBot="1">
      <c r="A116" s="103" t="s">
        <v>53</v>
      </c>
      <c r="B116" s="102" t="s">
        <v>18</v>
      </c>
      <c r="C116" s="17" t="s">
        <v>106</v>
      </c>
    </row>
    <row r="117" spans="1:3">
      <c r="A117" s="243" t="s">
        <v>266</v>
      </c>
      <c r="B117" s="269" t="s">
        <v>35</v>
      </c>
      <c r="C117" s="386">
        <f>C63</f>
        <v>88996</v>
      </c>
    </row>
    <row r="118" spans="1:3">
      <c r="A118" s="392" t="s">
        <v>381</v>
      </c>
      <c r="B118" s="105" t="s">
        <v>108</v>
      </c>
      <c r="C118" s="450">
        <v>1.3</v>
      </c>
    </row>
    <row r="119" spans="1:3">
      <c r="A119" s="257" t="s">
        <v>382</v>
      </c>
      <c r="B119" s="105" t="s">
        <v>110</v>
      </c>
      <c r="C119" s="84">
        <f>C117/C118</f>
        <v>68458.461538461532</v>
      </c>
    </row>
    <row r="120" spans="1:3">
      <c r="A120" s="281" t="s">
        <v>334</v>
      </c>
      <c r="B120" s="305" t="s">
        <v>25</v>
      </c>
      <c r="C120" s="306">
        <f>$B$113</f>
        <v>1.8000000000000002E-2</v>
      </c>
    </row>
    <row r="121" spans="1:3">
      <c r="A121" s="281" t="s">
        <v>383</v>
      </c>
      <c r="B121" s="278" t="s">
        <v>110</v>
      </c>
      <c r="C121" s="289">
        <f>C119*C120</f>
        <v>1232.2523076923078</v>
      </c>
    </row>
    <row r="122" spans="1:3">
      <c r="A122" s="281" t="s">
        <v>384</v>
      </c>
      <c r="B122" s="278" t="s">
        <v>108</v>
      </c>
      <c r="C122" s="307">
        <f>B110</f>
        <v>1.0206786471090072</v>
      </c>
    </row>
    <row r="123" spans="1:3" ht="14.65" thickBot="1">
      <c r="A123" s="255" t="s">
        <v>334</v>
      </c>
      <c r="B123" s="271" t="s">
        <v>35</v>
      </c>
      <c r="C123" s="280">
        <f>C121*C122</f>
        <v>1257.7336183123368</v>
      </c>
    </row>
    <row r="124" spans="1:3">
      <c r="A124" s="83"/>
      <c r="B124" s="77"/>
      <c r="C124" s="96"/>
    </row>
    <row r="125" spans="1:3" ht="14.65" thickBot="1">
      <c r="A125" s="79" t="s">
        <v>373</v>
      </c>
    </row>
    <row r="126" spans="1:3" ht="14.65" thickBot="1">
      <c r="A126" s="905" t="s">
        <v>23</v>
      </c>
      <c r="B126" s="1070">
        <v>1.7</v>
      </c>
      <c r="C126" s="1071"/>
    </row>
    <row r="127" spans="1:3" ht="14.65" thickBot="1">
      <c r="A127" s="2"/>
      <c r="B127" s="1072" t="s">
        <v>120</v>
      </c>
      <c r="C127" s="1073"/>
    </row>
    <row r="128" spans="1:3">
      <c r="A128" s="703" t="s">
        <v>77</v>
      </c>
      <c r="B128" s="880" t="s">
        <v>157</v>
      </c>
      <c r="C128" s="906">
        <v>0.99</v>
      </c>
    </row>
    <row r="129" spans="1:4">
      <c r="A129" s="232" t="s">
        <v>73</v>
      </c>
      <c r="B129" s="881" t="s">
        <v>158</v>
      </c>
      <c r="C129" s="882">
        <v>0.9</v>
      </c>
    </row>
    <row r="130" spans="1:4">
      <c r="A130" s="232" t="s">
        <v>86</v>
      </c>
      <c r="B130" s="881" t="s">
        <v>159</v>
      </c>
      <c r="C130" s="882">
        <v>0.95</v>
      </c>
    </row>
    <row r="131" spans="1:4">
      <c r="A131" s="232" t="s">
        <v>82</v>
      </c>
      <c r="B131" s="881" t="s">
        <v>160</v>
      </c>
      <c r="C131" s="907">
        <v>2.5000000000000001E-2</v>
      </c>
    </row>
    <row r="132" spans="1:4">
      <c r="A132" s="232" t="s">
        <v>72</v>
      </c>
      <c r="B132" s="881" t="s">
        <v>160</v>
      </c>
      <c r="C132" s="907">
        <v>2.5000000000000001E-2</v>
      </c>
    </row>
    <row r="133" spans="1:4">
      <c r="A133" s="232" t="s">
        <v>78</v>
      </c>
      <c r="B133" s="881" t="s">
        <v>160</v>
      </c>
      <c r="C133" s="907">
        <v>2.5000000000000001E-2</v>
      </c>
    </row>
    <row r="134" spans="1:4">
      <c r="A134" s="232" t="s">
        <v>80</v>
      </c>
      <c r="B134" s="881" t="s">
        <v>160</v>
      </c>
      <c r="C134" s="907">
        <v>2.5000000000000001E-2</v>
      </c>
    </row>
    <row r="135" spans="1:4">
      <c r="A135" s="232" t="s">
        <v>83</v>
      </c>
      <c r="B135" s="881" t="s">
        <v>160</v>
      </c>
      <c r="C135" s="907">
        <v>2.5000000000000001E-2</v>
      </c>
    </row>
    <row r="136" spans="1:4">
      <c r="A136" s="232" t="s">
        <v>79</v>
      </c>
      <c r="B136" s="881" t="s">
        <v>160</v>
      </c>
      <c r="C136" s="907">
        <v>2.5000000000000001E-2</v>
      </c>
    </row>
    <row r="137" spans="1:4">
      <c r="A137" s="232" t="s">
        <v>75</v>
      </c>
      <c r="B137" s="881" t="s">
        <v>322</v>
      </c>
      <c r="C137" s="907">
        <v>2.5000000000000001E-2</v>
      </c>
    </row>
    <row r="138" spans="1:4" ht="14.65" thickBot="1">
      <c r="A138" s="233" t="s">
        <v>84</v>
      </c>
      <c r="B138" s="883" t="s">
        <v>323</v>
      </c>
      <c r="C138" s="910">
        <v>2.5000000000000001E-2</v>
      </c>
    </row>
    <row r="139" spans="1:4">
      <c r="A139" s="78"/>
      <c r="B139" s="97"/>
      <c r="C139" s="98"/>
    </row>
    <row r="140" spans="1:4" ht="14.65" thickBot="1">
      <c r="A140" s="79" t="s">
        <v>273</v>
      </c>
    </row>
    <row r="141" spans="1:4">
      <c r="A141" s="18"/>
      <c r="B141" s="266" t="s">
        <v>120</v>
      </c>
      <c r="C141" s="274" t="s">
        <v>243</v>
      </c>
      <c r="D141" s="275" t="s">
        <v>244</v>
      </c>
    </row>
    <row r="142" spans="1:4" ht="14.65" thickBot="1">
      <c r="A142" s="21"/>
      <c r="B142" s="451" t="s">
        <v>24</v>
      </c>
      <c r="C142" s="154" t="s">
        <v>35</v>
      </c>
      <c r="D142" s="155" t="s">
        <v>35</v>
      </c>
    </row>
    <row r="143" spans="1:4">
      <c r="A143" s="184" t="s">
        <v>72</v>
      </c>
      <c r="B143" s="399">
        <f>C132</f>
        <v>2.5000000000000001E-2</v>
      </c>
      <c r="C143" s="428">
        <f>$J$41</f>
        <v>692.25495597778797</v>
      </c>
      <c r="D143" s="122">
        <f>C143*B143</f>
        <v>17.306373899444701</v>
      </c>
    </row>
    <row r="144" spans="1:4">
      <c r="A144" s="185" t="s">
        <v>73</v>
      </c>
      <c r="B144" s="352">
        <f>C129</f>
        <v>0.9</v>
      </c>
      <c r="C144" s="235">
        <f>$J$42</f>
        <v>0.29807389163555409</v>
      </c>
      <c r="D144" s="87">
        <f t="shared" ref="D144:D161" si="15">C144*B144</f>
        <v>0.26826650247199868</v>
      </c>
    </row>
    <row r="145" spans="1:4">
      <c r="A145" s="185" t="s">
        <v>75</v>
      </c>
      <c r="B145" s="400">
        <f>C137</f>
        <v>2.5000000000000001E-2</v>
      </c>
      <c r="C145" s="235">
        <f>J44</f>
        <v>1.2775760331357845E-2</v>
      </c>
      <c r="D145" s="87">
        <f t="shared" si="15"/>
        <v>3.1939400828394615E-4</v>
      </c>
    </row>
    <row r="146" spans="1:4">
      <c r="A146" s="186" t="s">
        <v>77</v>
      </c>
      <c r="B146" s="352">
        <f>C128</f>
        <v>0.99</v>
      </c>
      <c r="C146" s="235">
        <f>$J$46</f>
        <v>3.2727079604754006</v>
      </c>
      <c r="D146" s="87">
        <f t="shared" si="15"/>
        <v>3.2399808808706467</v>
      </c>
    </row>
    <row r="147" spans="1:4">
      <c r="A147" s="186" t="s">
        <v>78</v>
      </c>
      <c r="B147" s="400">
        <f>C133</f>
        <v>2.5000000000000001E-2</v>
      </c>
      <c r="C147" s="235">
        <f>$J$47</f>
        <v>558.13534612981994</v>
      </c>
      <c r="D147" s="87">
        <f t="shared" si="15"/>
        <v>13.953383653245499</v>
      </c>
    </row>
    <row r="148" spans="1:4">
      <c r="A148" s="186" t="s">
        <v>79</v>
      </c>
      <c r="B148" s="400">
        <f>C136</f>
        <v>2.5000000000000001E-2</v>
      </c>
      <c r="C148" s="235">
        <f>$J$48</f>
        <v>114.83355255938382</v>
      </c>
      <c r="D148" s="87">
        <f t="shared" si="15"/>
        <v>2.8708388139845957</v>
      </c>
    </row>
    <row r="149" spans="1:4">
      <c r="A149" s="186" t="s">
        <v>80</v>
      </c>
      <c r="B149" s="400">
        <f>C134</f>
        <v>2.5000000000000001E-2</v>
      </c>
      <c r="C149" s="235">
        <f>$J$49</f>
        <v>169.70353130968334</v>
      </c>
      <c r="D149" s="87">
        <f t="shared" si="15"/>
        <v>4.2425882827420835</v>
      </c>
    </row>
    <row r="150" spans="1:4">
      <c r="A150" s="186" t="s">
        <v>82</v>
      </c>
      <c r="B150" s="400">
        <f>C131</f>
        <v>2.5000000000000001E-2</v>
      </c>
      <c r="C150" s="235">
        <f>$J$51</f>
        <v>0.71896597480716506</v>
      </c>
      <c r="D150" s="87">
        <f t="shared" si="15"/>
        <v>1.7974149370179129E-2</v>
      </c>
    </row>
    <row r="151" spans="1:4">
      <c r="A151" s="186" t="s">
        <v>630</v>
      </c>
      <c r="B151" s="400">
        <f>C135</f>
        <v>2.5000000000000001E-2</v>
      </c>
      <c r="C151" s="235">
        <f>$J$52</f>
        <v>1238.641511551793</v>
      </c>
      <c r="D151" s="87">
        <f t="shared" si="15"/>
        <v>30.966037788794825</v>
      </c>
    </row>
    <row r="152" spans="1:4">
      <c r="A152" s="406" t="s">
        <v>96</v>
      </c>
      <c r="B152" s="400">
        <f>C135</f>
        <v>2.5000000000000001E-2</v>
      </c>
      <c r="C152" s="235">
        <f>$B$95</f>
        <v>3305.612244897959</v>
      </c>
      <c r="D152" s="87">
        <f t="shared" si="15"/>
        <v>82.640306122448976</v>
      </c>
    </row>
    <row r="153" spans="1:4">
      <c r="A153" s="406" t="s">
        <v>274</v>
      </c>
      <c r="B153" s="400">
        <f>C135</f>
        <v>2.5000000000000001E-2</v>
      </c>
      <c r="C153" s="235">
        <f>C151+C152</f>
        <v>4544.2537564497525</v>
      </c>
      <c r="D153" s="87">
        <f t="shared" si="15"/>
        <v>113.60634391124381</v>
      </c>
    </row>
    <row r="154" spans="1:4">
      <c r="A154" s="406" t="s">
        <v>84</v>
      </c>
      <c r="B154" s="400">
        <f>C138</f>
        <v>2.5000000000000001E-2</v>
      </c>
      <c r="C154" s="235">
        <f>J53</f>
        <v>0.42513651842706601</v>
      </c>
      <c r="D154" s="87">
        <f t="shared" si="15"/>
        <v>1.0628412960676651E-2</v>
      </c>
    </row>
    <row r="155" spans="1:4">
      <c r="A155" s="186" t="s">
        <v>631</v>
      </c>
      <c r="B155" s="402">
        <v>1</v>
      </c>
      <c r="C155" s="235">
        <f>B98</f>
        <v>248.5959</v>
      </c>
      <c r="D155" s="87">
        <f t="shared" si="15"/>
        <v>248.5959</v>
      </c>
    </row>
    <row r="156" spans="1:4">
      <c r="A156" s="186" t="s">
        <v>250</v>
      </c>
      <c r="B156" s="396">
        <v>1</v>
      </c>
      <c r="C156" s="235">
        <f>B99</f>
        <v>1861.2244897959183</v>
      </c>
      <c r="D156" s="87">
        <f t="shared" si="15"/>
        <v>1861.2244897959183</v>
      </c>
    </row>
    <row r="157" spans="1:4">
      <c r="A157" s="186" t="s">
        <v>251</v>
      </c>
      <c r="B157" s="397">
        <v>1</v>
      </c>
      <c r="C157" s="573">
        <f>C155+C156</f>
        <v>2109.8203897959183</v>
      </c>
      <c r="D157" s="87">
        <f t="shared" si="15"/>
        <v>2109.8203897959183</v>
      </c>
    </row>
    <row r="158" spans="1:4">
      <c r="A158" s="406" t="s">
        <v>238</v>
      </c>
      <c r="B158" s="397">
        <v>1</v>
      </c>
      <c r="C158" s="573">
        <f>C157/32*96</f>
        <v>6329.461169387755</v>
      </c>
      <c r="D158" s="87">
        <f t="shared" si="15"/>
        <v>6329.461169387755</v>
      </c>
    </row>
    <row r="159" spans="1:4">
      <c r="A159" s="406" t="s">
        <v>239</v>
      </c>
      <c r="B159" s="397">
        <v>1</v>
      </c>
      <c r="C159" s="573">
        <f>C157/32*136</f>
        <v>8966.7366566326527</v>
      </c>
      <c r="D159" s="87">
        <f t="shared" si="15"/>
        <v>8966.7366566326527</v>
      </c>
    </row>
    <row r="160" spans="1:4">
      <c r="A160" s="406" t="s">
        <v>248</v>
      </c>
      <c r="B160" s="396">
        <v>1</v>
      </c>
      <c r="C160" s="235">
        <f>C123*B107*32/78</f>
        <v>25.799663965381267</v>
      </c>
      <c r="D160" s="87">
        <f>C160*B160</f>
        <v>25.799663965381267</v>
      </c>
    </row>
    <row r="161" spans="1:4" ht="14.65" thickBot="1">
      <c r="A161" s="187" t="s">
        <v>86</v>
      </c>
      <c r="B161" s="353">
        <f>C130</f>
        <v>0.95</v>
      </c>
      <c r="C161" s="236">
        <f>$J$55</f>
        <v>16.615075499991534</v>
      </c>
      <c r="D161" s="88">
        <f t="shared" si="15"/>
        <v>15.784321724991957</v>
      </c>
    </row>
    <row r="163" spans="1:4" ht="14.65" thickBot="1">
      <c r="A163" s="79" t="s">
        <v>272</v>
      </c>
      <c r="D163" s="99"/>
    </row>
    <row r="164" spans="1:4" ht="14.65" thickBot="1">
      <c r="A164" s="103" t="s">
        <v>90</v>
      </c>
      <c r="B164" s="102" t="s">
        <v>18</v>
      </c>
      <c r="C164" s="17" t="s">
        <v>91</v>
      </c>
    </row>
    <row r="165" spans="1:4">
      <c r="A165" s="276" t="s">
        <v>4</v>
      </c>
      <c r="B165" s="296" t="s">
        <v>35</v>
      </c>
      <c r="C165" s="286">
        <f>C117</f>
        <v>88996</v>
      </c>
    </row>
    <row r="166" spans="1:4">
      <c r="A166" s="281" t="s">
        <v>334</v>
      </c>
      <c r="B166" s="278" t="s">
        <v>35</v>
      </c>
      <c r="C166" s="289">
        <f>C123</f>
        <v>1257.7336183123368</v>
      </c>
    </row>
    <row r="167" spans="1:4" ht="14.65" thickBot="1">
      <c r="A167" s="255" t="s">
        <v>6</v>
      </c>
      <c r="B167" s="271" t="s">
        <v>35</v>
      </c>
      <c r="C167" s="280">
        <f>C165+C166</f>
        <v>90253.733618312341</v>
      </c>
    </row>
    <row r="168" spans="1:4">
      <c r="B168" s="77"/>
      <c r="C168" s="83"/>
    </row>
    <row r="169" spans="1:4" ht="14.65" thickBot="1">
      <c r="A169" s="79" t="s">
        <v>279</v>
      </c>
      <c r="B169" s="79"/>
      <c r="C169" s="79"/>
      <c r="D169" s="99"/>
    </row>
    <row r="170" spans="1:4" ht="14.65" thickBot="1">
      <c r="A170" s="3" t="s">
        <v>90</v>
      </c>
      <c r="B170" s="14" t="s">
        <v>18</v>
      </c>
      <c r="C170" s="15" t="s">
        <v>91</v>
      </c>
      <c r="D170" s="99"/>
    </row>
    <row r="171" spans="1:4">
      <c r="A171" s="308" t="s">
        <v>623</v>
      </c>
      <c r="B171" s="309" t="s">
        <v>35</v>
      </c>
      <c r="C171" s="294">
        <f>$C$23</f>
        <v>19000</v>
      </c>
      <c r="D171" s="99"/>
    </row>
    <row r="172" spans="1:4">
      <c r="A172" s="282" t="s">
        <v>329</v>
      </c>
      <c r="B172" s="288" t="s">
        <v>35</v>
      </c>
      <c r="C172" s="295">
        <f>$C$26</f>
        <v>5700</v>
      </c>
      <c r="D172" s="99"/>
    </row>
    <row r="173" spans="1:4">
      <c r="A173" s="282" t="s">
        <v>428</v>
      </c>
      <c r="B173" s="288" t="s">
        <v>35</v>
      </c>
      <c r="C173" s="295">
        <f>$C$31</f>
        <v>10450</v>
      </c>
      <c r="D173" s="99"/>
    </row>
    <row r="174" spans="1:4">
      <c r="A174" s="282" t="s">
        <v>385</v>
      </c>
      <c r="B174" s="288" t="s">
        <v>24</v>
      </c>
      <c r="C174" s="312">
        <f>$B$107</f>
        <v>0.05</v>
      </c>
      <c r="D174" s="99"/>
    </row>
    <row r="175" spans="1:4">
      <c r="A175" s="282" t="s">
        <v>334</v>
      </c>
      <c r="B175" s="288" t="s">
        <v>35</v>
      </c>
      <c r="C175" s="295">
        <f>$C$123</f>
        <v>1257.7336183123368</v>
      </c>
      <c r="D175" s="99"/>
    </row>
    <row r="176" spans="1:4">
      <c r="A176" s="282" t="s">
        <v>429</v>
      </c>
      <c r="B176" s="288" t="s">
        <v>35</v>
      </c>
      <c r="C176" s="295">
        <f>C175*C174</f>
        <v>62.886680915616843</v>
      </c>
      <c r="D176" s="99"/>
    </row>
    <row r="177" spans="1:12">
      <c r="A177" s="282" t="s">
        <v>337</v>
      </c>
      <c r="B177" s="288" t="s">
        <v>35</v>
      </c>
      <c r="C177" s="279">
        <f>C171+C172+C173+C176</f>
        <v>35212.886680915617</v>
      </c>
      <c r="D177" s="99"/>
    </row>
    <row r="178" spans="1:12">
      <c r="A178" s="282" t="s">
        <v>276</v>
      </c>
      <c r="B178" s="288" t="s">
        <v>35</v>
      </c>
      <c r="C178" s="289">
        <f>$C$167</f>
        <v>90253.733618312341</v>
      </c>
    </row>
    <row r="179" spans="1:12">
      <c r="A179" s="310" t="s">
        <v>64</v>
      </c>
      <c r="B179" s="283" t="s">
        <v>24</v>
      </c>
      <c r="C179" s="300">
        <f>C177/C178</f>
        <v>0.39015434895837903</v>
      </c>
    </row>
    <row r="180" spans="1:12">
      <c r="A180" s="282" t="s">
        <v>366</v>
      </c>
      <c r="B180" s="288" t="s">
        <v>35</v>
      </c>
      <c r="C180" s="279">
        <f>$C$25</f>
        <v>53846</v>
      </c>
    </row>
    <row r="181" spans="1:12">
      <c r="A181" s="282" t="s">
        <v>386</v>
      </c>
      <c r="B181" s="288" t="s">
        <v>24</v>
      </c>
      <c r="C181" s="312">
        <f>1-$B$107</f>
        <v>0.95</v>
      </c>
    </row>
    <row r="182" spans="1:12">
      <c r="A182" s="282" t="s">
        <v>334</v>
      </c>
      <c r="B182" s="288" t="s">
        <v>35</v>
      </c>
      <c r="C182" s="295">
        <f>$C$123</f>
        <v>1257.7336183123368</v>
      </c>
    </row>
    <row r="183" spans="1:12">
      <c r="A183" s="282" t="s">
        <v>356</v>
      </c>
      <c r="B183" s="288" t="s">
        <v>35</v>
      </c>
      <c r="C183" s="279">
        <f>C181*C182</f>
        <v>1194.84693739672</v>
      </c>
    </row>
    <row r="184" spans="1:12">
      <c r="A184" s="282" t="s">
        <v>335</v>
      </c>
      <c r="B184" s="288" t="s">
        <v>35</v>
      </c>
      <c r="C184" s="279">
        <f>C180+C183</f>
        <v>55040.846937396724</v>
      </c>
    </row>
    <row r="185" spans="1:12">
      <c r="A185" s="282" t="s">
        <v>276</v>
      </c>
      <c r="B185" s="288" t="s">
        <v>35</v>
      </c>
      <c r="C185" s="289">
        <f>$C$167</f>
        <v>90253.733618312341</v>
      </c>
    </row>
    <row r="186" spans="1:12" ht="14.65" thickBot="1">
      <c r="A186" s="311" t="s">
        <v>66</v>
      </c>
      <c r="B186" s="284" t="s">
        <v>24</v>
      </c>
      <c r="C186" s="303">
        <f>C184/C185</f>
        <v>0.60984565104162103</v>
      </c>
    </row>
    <row r="187" spans="1:12">
      <c r="A187" s="83"/>
      <c r="B187" s="77"/>
      <c r="C187" s="96"/>
    </row>
    <row r="188" spans="1:12" ht="14.65" thickBot="1">
      <c r="A188" s="79" t="s">
        <v>124</v>
      </c>
    </row>
    <row r="189" spans="1:12" ht="14.65" thickBot="1">
      <c r="A189" s="419"/>
      <c r="B189" s="1019" t="s">
        <v>262</v>
      </c>
      <c r="C189" s="1021"/>
      <c r="D189" s="1021"/>
      <c r="E189" s="1021"/>
      <c r="F189" s="1020"/>
      <c r="G189" s="1062" t="s">
        <v>263</v>
      </c>
      <c r="H189" s="1063"/>
      <c r="I189" s="1063"/>
      <c r="J189" s="1063"/>
      <c r="K189" s="1063"/>
      <c r="L189" s="1066"/>
    </row>
    <row r="190" spans="1:12">
      <c r="A190" s="452"/>
      <c r="B190" s="1024" t="s">
        <v>275</v>
      </c>
      <c r="C190" s="1041" t="s">
        <v>243</v>
      </c>
      <c r="D190" s="1041" t="s">
        <v>256</v>
      </c>
      <c r="E190" s="1041" t="s">
        <v>337</v>
      </c>
      <c r="F190" s="1041" t="s">
        <v>276</v>
      </c>
      <c r="G190" s="1032" t="s">
        <v>269</v>
      </c>
      <c r="H190" s="1054"/>
      <c r="I190" s="1022" t="s">
        <v>277</v>
      </c>
      <c r="J190" s="1032"/>
      <c r="K190" s="1032"/>
      <c r="L190" s="1023"/>
    </row>
    <row r="191" spans="1:12">
      <c r="A191" s="219" t="s">
        <v>93</v>
      </c>
      <c r="B191" s="1067"/>
      <c r="C191" s="1042"/>
      <c r="D191" s="1042"/>
      <c r="E191" s="1042"/>
      <c r="F191" s="1042"/>
      <c r="G191" s="1034"/>
      <c r="H191" s="1046"/>
      <c r="I191" s="1033" t="s">
        <v>243</v>
      </c>
      <c r="J191" s="1034"/>
      <c r="K191" s="1034" t="s">
        <v>256</v>
      </c>
      <c r="L191" s="1035"/>
    </row>
    <row r="192" spans="1:12" ht="14.65" thickBot="1">
      <c r="A192" s="220" t="s">
        <v>18</v>
      </c>
      <c r="B192" s="403" t="s">
        <v>35</v>
      </c>
      <c r="C192" s="154" t="s">
        <v>35</v>
      </c>
      <c r="D192" s="154" t="s">
        <v>35</v>
      </c>
      <c r="E192" s="154" t="s">
        <v>35</v>
      </c>
      <c r="F192" s="154" t="s">
        <v>35</v>
      </c>
      <c r="G192" s="154" t="s">
        <v>257</v>
      </c>
      <c r="H192" s="423" t="s">
        <v>237</v>
      </c>
      <c r="I192" s="403" t="s">
        <v>70</v>
      </c>
      <c r="J192" s="154" t="s">
        <v>237</v>
      </c>
      <c r="K192" s="154" t="s">
        <v>70</v>
      </c>
      <c r="L192" s="155" t="s">
        <v>237</v>
      </c>
    </row>
    <row r="193" spans="1:12">
      <c r="A193" s="222" t="s">
        <v>72</v>
      </c>
      <c r="B193" s="159">
        <f>B83</f>
        <v>1180.848</v>
      </c>
      <c r="C193" s="429">
        <f>B193-D193</f>
        <v>674.94858207834329</v>
      </c>
      <c r="D193" s="428">
        <f>D83+D143</f>
        <v>505.89941792165666</v>
      </c>
      <c r="E193" s="160">
        <f>$C$177</f>
        <v>35212.886680915617</v>
      </c>
      <c r="F193" s="429">
        <f>$C$167</f>
        <v>90253.733618312341</v>
      </c>
      <c r="G193" s="404">
        <f t="shared" ref="G193:G214" si="16">B193/E193*1000000</f>
        <v>33534.541223511391</v>
      </c>
      <c r="H193" s="560">
        <f>G193/1000000</f>
        <v>3.3534541223511391E-2</v>
      </c>
      <c r="I193" s="557">
        <f t="shared" ref="I193:I214" si="17">C193/F193*1000000</f>
        <v>7478.3452719278675</v>
      </c>
      <c r="J193" s="430">
        <f>I193/1000000</f>
        <v>7.4783452719278673E-3</v>
      </c>
      <c r="K193" s="431">
        <f t="shared" ref="K193:K214" si="18">D193/F193*1000000</f>
        <v>5605.3018267491425</v>
      </c>
      <c r="L193" s="433">
        <f>K193/1000000</f>
        <v>5.6053018267491423E-3</v>
      </c>
    </row>
    <row r="194" spans="1:12">
      <c r="A194" s="149" t="s">
        <v>73</v>
      </c>
      <c r="B194" s="161">
        <f>B84</f>
        <v>0.41320000000000001</v>
      </c>
      <c r="C194" s="424">
        <f t="shared" ref="C194:C214" si="19">B194-D194</f>
        <v>2.9807389163555409E-2</v>
      </c>
      <c r="D194" s="235">
        <f>D84+D144</f>
        <v>0.3833926108364446</v>
      </c>
      <c r="E194" s="119">
        <f t="shared" ref="E194:E214" si="20">$C$177</f>
        <v>35212.886680915617</v>
      </c>
      <c r="F194" s="424">
        <f t="shared" ref="F194:F214" si="21">$C$167</f>
        <v>90253.733618312341</v>
      </c>
      <c r="G194" s="395">
        <f t="shared" si="16"/>
        <v>11.734340434632491</v>
      </c>
      <c r="H194" s="561">
        <f t="shared" ref="H194:H214" si="22">G194/1000000</f>
        <v>1.1734340434632492E-5</v>
      </c>
      <c r="I194" s="558">
        <f t="shared" si="17"/>
        <v>0.33026211735031802</v>
      </c>
      <c r="J194" s="425">
        <f t="shared" ref="J194:J214" si="23">I194/1000000</f>
        <v>3.30262117350318E-7</v>
      </c>
      <c r="K194" s="426">
        <f t="shared" si="18"/>
        <v>4.2479418353797032</v>
      </c>
      <c r="L194" s="434">
        <f t="shared" ref="L194:L214" si="24">K194/1000000</f>
        <v>4.2479418353797035E-6</v>
      </c>
    </row>
    <row r="195" spans="1:12">
      <c r="A195" s="149" t="s">
        <v>74</v>
      </c>
      <c r="B195" s="161">
        <f>B85</f>
        <v>2688.1723999999999</v>
      </c>
      <c r="C195" s="424">
        <f t="shared" si="19"/>
        <v>382.83234871023888</v>
      </c>
      <c r="D195" s="235">
        <f>D85</f>
        <v>2305.340051289761</v>
      </c>
      <c r="E195" s="119">
        <f t="shared" si="20"/>
        <v>35212.886680915617</v>
      </c>
      <c r="F195" s="424">
        <f t="shared" si="21"/>
        <v>90253.733618312341</v>
      </c>
      <c r="G195" s="395">
        <f t="shared" si="16"/>
        <v>76340.5858871807</v>
      </c>
      <c r="H195" s="561">
        <f t="shared" si="22"/>
        <v>7.6340585887180706E-2</v>
      </c>
      <c r="I195" s="558">
        <f t="shared" si="17"/>
        <v>4241.7342015927725</v>
      </c>
      <c r="J195" s="425">
        <f t="shared" si="23"/>
        <v>4.2417342015927725E-3</v>
      </c>
      <c r="K195" s="426">
        <f t="shared" si="18"/>
        <v>25542.877384321429</v>
      </c>
      <c r="L195" s="434">
        <f t="shared" si="24"/>
        <v>2.5542877384321431E-2</v>
      </c>
    </row>
    <row r="196" spans="1:12">
      <c r="A196" s="149" t="s">
        <v>75</v>
      </c>
      <c r="B196" s="161">
        <f>B86</f>
        <v>5.6000000000000001E-2</v>
      </c>
      <c r="C196" s="424">
        <f t="shared" si="19"/>
        <v>1.2456366323073897E-2</v>
      </c>
      <c r="D196" s="235">
        <f>D86+D145</f>
        <v>4.3543633676926104E-2</v>
      </c>
      <c r="E196" s="119">
        <f t="shared" si="20"/>
        <v>35212.886680915617</v>
      </c>
      <c r="F196" s="424">
        <f t="shared" si="21"/>
        <v>90253.733618312341</v>
      </c>
      <c r="G196" s="395">
        <f t="shared" si="16"/>
        <v>1.5903268740063394</v>
      </c>
      <c r="H196" s="561">
        <f t="shared" si="22"/>
        <v>1.5903268740063395E-6</v>
      </c>
      <c r="I196" s="558">
        <f t="shared" si="17"/>
        <v>0.13801496983773001</v>
      </c>
      <c r="J196" s="425">
        <f t="shared" si="23"/>
        <v>1.3801496983773001E-7</v>
      </c>
      <c r="K196" s="426">
        <f t="shared" si="18"/>
        <v>0.48245797632122744</v>
      </c>
      <c r="L196" s="434">
        <f t="shared" si="24"/>
        <v>4.8245797632122746E-7</v>
      </c>
    </row>
    <row r="197" spans="1:12">
      <c r="A197" s="149" t="s">
        <v>76</v>
      </c>
      <c r="B197" s="161">
        <f>B87</f>
        <v>2.0093000000000001</v>
      </c>
      <c r="C197" s="424">
        <f t="shared" si="19"/>
        <v>0.72979566526144546</v>
      </c>
      <c r="D197" s="235">
        <f>D87</f>
        <v>1.2795043347385546</v>
      </c>
      <c r="E197" s="119">
        <f t="shared" si="20"/>
        <v>35212.886680915617</v>
      </c>
      <c r="F197" s="424">
        <f t="shared" si="21"/>
        <v>90253.733618312341</v>
      </c>
      <c r="G197" s="395">
        <f t="shared" si="16"/>
        <v>57.061496213231038</v>
      </c>
      <c r="H197" s="561">
        <f t="shared" si="22"/>
        <v>5.7061496213231035E-5</v>
      </c>
      <c r="I197" s="558">
        <f t="shared" si="17"/>
        <v>8.0860440449786672</v>
      </c>
      <c r="J197" s="425">
        <f t="shared" si="23"/>
        <v>8.0860440449786681E-6</v>
      </c>
      <c r="K197" s="426">
        <f t="shared" si="18"/>
        <v>14.176746860685498</v>
      </c>
      <c r="L197" s="434">
        <f t="shared" si="24"/>
        <v>1.4176746860685497E-5</v>
      </c>
    </row>
    <row r="198" spans="1:12">
      <c r="A198" s="150" t="s">
        <v>77</v>
      </c>
      <c r="B198" s="161">
        <f>B88</f>
        <v>15.565</v>
      </c>
      <c r="C198" s="424">
        <f t="shared" si="19"/>
        <v>3.2727079604754294E-2</v>
      </c>
      <c r="D198" s="235">
        <f>D88+D146</f>
        <v>15.532272920395245</v>
      </c>
      <c r="E198" s="119">
        <f t="shared" si="20"/>
        <v>35212.886680915617</v>
      </c>
      <c r="F198" s="424">
        <f t="shared" si="21"/>
        <v>90253.733618312341</v>
      </c>
      <c r="G198" s="395">
        <f t="shared" si="16"/>
        <v>442.02567489122629</v>
      </c>
      <c r="H198" s="561">
        <f t="shared" si="22"/>
        <v>4.4202567489122626E-4</v>
      </c>
      <c r="I198" s="558">
        <f t="shared" si="17"/>
        <v>0.36261191967036832</v>
      </c>
      <c r="J198" s="425">
        <f t="shared" si="23"/>
        <v>3.6261191967036831E-7</v>
      </c>
      <c r="K198" s="426">
        <f t="shared" si="18"/>
        <v>172.09562749040413</v>
      </c>
      <c r="L198" s="434">
        <f t="shared" si="24"/>
        <v>1.7209562749040413E-4</v>
      </c>
    </row>
    <row r="199" spans="1:12">
      <c r="A199" s="150" t="s">
        <v>78</v>
      </c>
      <c r="B199" s="161">
        <f>B89</f>
        <v>1221.1289999999999</v>
      </c>
      <c r="C199" s="424">
        <f t="shared" si="19"/>
        <v>544.18196247657454</v>
      </c>
      <c r="D199" s="235">
        <f>D89+D147</f>
        <v>676.94703752342537</v>
      </c>
      <c r="E199" s="119">
        <f t="shared" si="20"/>
        <v>35212.886680915617</v>
      </c>
      <c r="F199" s="424">
        <f t="shared" si="21"/>
        <v>90253.733618312341</v>
      </c>
      <c r="G199" s="395">
        <f t="shared" si="16"/>
        <v>34678.469023722988</v>
      </c>
      <c r="H199" s="561">
        <f t="shared" si="22"/>
        <v>3.4678469023722985E-2</v>
      </c>
      <c r="I199" s="558">
        <f t="shared" si="17"/>
        <v>6029.4675982929184</v>
      </c>
      <c r="J199" s="425">
        <f t="shared" si="23"/>
        <v>6.0294675982929188E-3</v>
      </c>
      <c r="K199" s="426">
        <f t="shared" si="18"/>
        <v>7500.487906531037</v>
      </c>
      <c r="L199" s="434">
        <f t="shared" si="24"/>
        <v>7.500487906531037E-3</v>
      </c>
    </row>
    <row r="200" spans="1:12">
      <c r="A200" s="150" t="s">
        <v>79</v>
      </c>
      <c r="B200" s="161">
        <f>B90</f>
        <v>167.69670000000002</v>
      </c>
      <c r="C200" s="424">
        <f t="shared" si="19"/>
        <v>111.96271374539921</v>
      </c>
      <c r="D200" s="235">
        <f>D90+D148</f>
        <v>55.733986254600808</v>
      </c>
      <c r="E200" s="119">
        <f t="shared" si="20"/>
        <v>35212.886680915617</v>
      </c>
      <c r="F200" s="424">
        <f t="shared" si="21"/>
        <v>90253.733618312341</v>
      </c>
      <c r="G200" s="395">
        <f t="shared" si="16"/>
        <v>4762.3672980746242</v>
      </c>
      <c r="H200" s="561">
        <f t="shared" si="22"/>
        <v>4.762367298074624E-3</v>
      </c>
      <c r="I200" s="558">
        <f t="shared" si="17"/>
        <v>1240.5327653135687</v>
      </c>
      <c r="J200" s="425">
        <f t="shared" si="23"/>
        <v>1.2405327653135687E-3</v>
      </c>
      <c r="K200" s="426">
        <f t="shared" si="18"/>
        <v>617.5255473674107</v>
      </c>
      <c r="L200" s="434">
        <f t="shared" si="24"/>
        <v>6.1752554736741068E-4</v>
      </c>
    </row>
    <row r="201" spans="1:12">
      <c r="A201" s="150" t="s">
        <v>80</v>
      </c>
      <c r="B201" s="161">
        <f>B91</f>
        <v>243.74270000000001</v>
      </c>
      <c r="C201" s="424">
        <f t="shared" si="19"/>
        <v>165.46094302694127</v>
      </c>
      <c r="D201" s="235">
        <f>D91+D149</f>
        <v>78.281756973058748</v>
      </c>
      <c r="E201" s="119">
        <f t="shared" si="20"/>
        <v>35212.886680915617</v>
      </c>
      <c r="F201" s="424">
        <f t="shared" si="21"/>
        <v>90253.733618312341</v>
      </c>
      <c r="G201" s="395">
        <f t="shared" si="16"/>
        <v>6921.9743955868762</v>
      </c>
      <c r="H201" s="561">
        <f t="shared" si="22"/>
        <v>6.9219743955868758E-3</v>
      </c>
      <c r="I201" s="558">
        <f t="shared" si="17"/>
        <v>1833.2864070386725</v>
      </c>
      <c r="J201" s="425">
        <f t="shared" si="23"/>
        <v>1.8332864070386725E-3</v>
      </c>
      <c r="K201" s="426">
        <f t="shared" si="18"/>
        <v>867.35200677809405</v>
      </c>
      <c r="L201" s="434">
        <f t="shared" si="24"/>
        <v>8.6735200677809409E-4</v>
      </c>
    </row>
    <row r="202" spans="1:12">
      <c r="A202" s="150" t="s">
        <v>81</v>
      </c>
      <c r="B202" s="161">
        <f>B92+C123*B107*46/78</f>
        <v>157.70971695023559</v>
      </c>
      <c r="C202" s="424">
        <f t="shared" si="19"/>
        <v>126.16661407308177</v>
      </c>
      <c r="D202" s="235">
        <f>D92</f>
        <v>31.543102877153821</v>
      </c>
      <c r="E202" s="119">
        <f t="shared" si="20"/>
        <v>35212.886680915617</v>
      </c>
      <c r="F202" s="424">
        <f t="shared" si="21"/>
        <v>90253.733618312341</v>
      </c>
      <c r="G202" s="395">
        <f t="shared" si="16"/>
        <v>4478.7500206766563</v>
      </c>
      <c r="H202" s="561">
        <f t="shared" si="22"/>
        <v>4.4787500206766567E-3</v>
      </c>
      <c r="I202" s="558">
        <f t="shared" si="17"/>
        <v>1397.9101918004505</v>
      </c>
      <c r="J202" s="425">
        <f t="shared" si="23"/>
        <v>1.3979101918004506E-3</v>
      </c>
      <c r="K202" s="426">
        <f t="shared" si="18"/>
        <v>349.49360666397712</v>
      </c>
      <c r="L202" s="434">
        <f t="shared" si="24"/>
        <v>3.4949360666397712E-4</v>
      </c>
    </row>
    <row r="203" spans="1:12">
      <c r="A203" s="150" t="s">
        <v>82</v>
      </c>
      <c r="B203" s="161">
        <f>B93</f>
        <v>1.8331999999999999</v>
      </c>
      <c r="C203" s="424">
        <f t="shared" si="19"/>
        <v>0.70099182543698624</v>
      </c>
      <c r="D203" s="235">
        <f>D93+D150</f>
        <v>1.1322081745630137</v>
      </c>
      <c r="E203" s="119">
        <f t="shared" si="20"/>
        <v>35212.886680915617</v>
      </c>
      <c r="F203" s="424">
        <f t="shared" si="21"/>
        <v>90253.733618312341</v>
      </c>
      <c r="G203" s="395">
        <f t="shared" si="16"/>
        <v>52.060486168364669</v>
      </c>
      <c r="H203" s="561">
        <f t="shared" si="22"/>
        <v>5.2060486168364667E-5</v>
      </c>
      <c r="I203" s="558">
        <f t="shared" si="17"/>
        <v>7.7669011278970075</v>
      </c>
      <c r="J203" s="425">
        <f t="shared" si="23"/>
        <v>7.7669011278970076E-6</v>
      </c>
      <c r="K203" s="426">
        <f t="shared" si="18"/>
        <v>12.544723959578004</v>
      </c>
      <c r="L203" s="434">
        <f t="shared" si="24"/>
        <v>1.2544723959578005E-5</v>
      </c>
    </row>
    <row r="204" spans="1:12">
      <c r="A204" s="150" t="s">
        <v>630</v>
      </c>
      <c r="B204" s="161">
        <f>B94</f>
        <v>1571.3850000000002</v>
      </c>
      <c r="C204" s="424">
        <f t="shared" si="19"/>
        <v>1207.6754737629981</v>
      </c>
      <c r="D204" s="235">
        <f>D94+D151</f>
        <v>363.70952623700202</v>
      </c>
      <c r="E204" s="119">
        <f t="shared" si="20"/>
        <v>35212.886680915617</v>
      </c>
      <c r="F204" s="424">
        <f t="shared" si="21"/>
        <v>90253.733618312341</v>
      </c>
      <c r="G204" s="395">
        <f t="shared" si="16"/>
        <v>44625.282051972361</v>
      </c>
      <c r="H204" s="561">
        <f t="shared" si="22"/>
        <v>4.4625282051972359E-2</v>
      </c>
      <c r="I204" s="558">
        <f t="shared" si="17"/>
        <v>13380.89212874361</v>
      </c>
      <c r="J204" s="425">
        <f t="shared" si="23"/>
        <v>1.338089212874361E-2</v>
      </c>
      <c r="K204" s="426">
        <f t="shared" si="18"/>
        <v>4029.8557373277013</v>
      </c>
      <c r="L204" s="434">
        <f t="shared" si="24"/>
        <v>4.0298557373277012E-3</v>
      </c>
    </row>
    <row r="205" spans="1:12">
      <c r="A205" s="150" t="s">
        <v>96</v>
      </c>
      <c r="B205" s="161">
        <f>B95</f>
        <v>3305.612244897959</v>
      </c>
      <c r="C205" s="424">
        <f t="shared" si="19"/>
        <v>3222.9719387755099</v>
      </c>
      <c r="D205" s="235">
        <f>D95+D152</f>
        <v>82.640306122448976</v>
      </c>
      <c r="E205" s="119">
        <f t="shared" si="20"/>
        <v>35212.886680915617</v>
      </c>
      <c r="F205" s="424">
        <f t="shared" si="21"/>
        <v>90253.733618312341</v>
      </c>
      <c r="G205" s="395">
        <f t="shared" si="16"/>
        <v>93875.071216172306</v>
      </c>
      <c r="H205" s="561">
        <f t="shared" si="22"/>
        <v>9.3875071216172307E-2</v>
      </c>
      <c r="I205" s="558">
        <f t="shared" si="17"/>
        <v>35710.123111422996</v>
      </c>
      <c r="J205" s="425">
        <f t="shared" si="23"/>
        <v>3.5710123111422999E-2</v>
      </c>
      <c r="K205" s="426">
        <f t="shared" si="18"/>
        <v>915.64418234417928</v>
      </c>
      <c r="L205" s="434">
        <f t="shared" si="24"/>
        <v>9.1564418234417932E-4</v>
      </c>
    </row>
    <row r="206" spans="1:12">
      <c r="A206" s="150" t="s">
        <v>97</v>
      </c>
      <c r="B206" s="161">
        <f>B96</f>
        <v>4876.9972448979588</v>
      </c>
      <c r="C206" s="424">
        <f t="shared" si="19"/>
        <v>4430.6474125385075</v>
      </c>
      <c r="D206" s="235">
        <f>D96+D153</f>
        <v>446.349832359451</v>
      </c>
      <c r="E206" s="119">
        <f t="shared" si="20"/>
        <v>35212.886680915617</v>
      </c>
      <c r="F206" s="424">
        <f t="shared" si="21"/>
        <v>90253.733618312341</v>
      </c>
      <c r="G206" s="395">
        <f t="shared" si="16"/>
        <v>138500.35326814465</v>
      </c>
      <c r="H206" s="561">
        <f t="shared" si="22"/>
        <v>0.13850035326814467</v>
      </c>
      <c r="I206" s="558">
        <f t="shared" si="17"/>
        <v>49091.015240166598</v>
      </c>
      <c r="J206" s="425">
        <f t="shared" si="23"/>
        <v>4.9091015240166597E-2</v>
      </c>
      <c r="K206" s="426">
        <f t="shared" si="18"/>
        <v>4945.4999196718809</v>
      </c>
      <c r="L206" s="434">
        <f t="shared" si="24"/>
        <v>4.9454999196718811E-3</v>
      </c>
    </row>
    <row r="207" spans="1:12">
      <c r="A207" s="150" t="s">
        <v>84</v>
      </c>
      <c r="B207" s="161">
        <f>B97</f>
        <v>2.0493999999999999</v>
      </c>
      <c r="C207" s="424">
        <f t="shared" si="19"/>
        <v>0.4251365184270659</v>
      </c>
      <c r="D207" s="235">
        <f>D97</f>
        <v>1.624263481572934</v>
      </c>
      <c r="E207" s="119">
        <f t="shared" si="20"/>
        <v>35212.886680915617</v>
      </c>
      <c r="F207" s="424">
        <f t="shared" si="21"/>
        <v>90253.733618312341</v>
      </c>
      <c r="G207" s="395">
        <f t="shared" si="16"/>
        <v>58.200283849796286</v>
      </c>
      <c r="H207" s="561">
        <f t="shared" si="22"/>
        <v>5.8200283849796286E-5</v>
      </c>
      <c r="I207" s="558">
        <f t="shared" si="17"/>
        <v>4.7104590733607763</v>
      </c>
      <c r="J207" s="425">
        <f t="shared" si="23"/>
        <v>4.710459073360776E-6</v>
      </c>
      <c r="K207" s="426">
        <f t="shared" si="18"/>
        <v>17.996634781249352</v>
      </c>
      <c r="L207" s="434">
        <f t="shared" si="24"/>
        <v>1.7996634781249353E-5</v>
      </c>
    </row>
    <row r="208" spans="1:12">
      <c r="A208" s="150" t="s">
        <v>631</v>
      </c>
      <c r="B208" s="161">
        <f>B98</f>
        <v>248.5959</v>
      </c>
      <c r="C208" s="424">
        <f t="shared" si="19"/>
        <v>0</v>
      </c>
      <c r="D208" s="235">
        <f>D155</f>
        <v>248.5959</v>
      </c>
      <c r="E208" s="119">
        <f t="shared" si="20"/>
        <v>35212.886680915617</v>
      </c>
      <c r="F208" s="424">
        <f t="shared" si="21"/>
        <v>90253.733618312341</v>
      </c>
      <c r="G208" s="395">
        <f t="shared" si="16"/>
        <v>7059.7989381748675</v>
      </c>
      <c r="H208" s="561">
        <f t="shared" si="22"/>
        <v>7.0597989381748676E-3</v>
      </c>
      <c r="I208" s="558">
        <f t="shared" si="17"/>
        <v>0</v>
      </c>
      <c r="J208" s="425">
        <f t="shared" si="23"/>
        <v>0</v>
      </c>
      <c r="K208" s="426">
        <f t="shared" si="18"/>
        <v>2754.411258500671</v>
      </c>
      <c r="L208" s="434">
        <f t="shared" si="24"/>
        <v>2.754411258500671E-3</v>
      </c>
    </row>
    <row r="209" spans="1:12">
      <c r="A209" s="150" t="s">
        <v>250</v>
      </c>
      <c r="B209" s="161">
        <f>B99</f>
        <v>1861.2244897959183</v>
      </c>
      <c r="C209" s="424">
        <f t="shared" si="19"/>
        <v>0</v>
      </c>
      <c r="D209" s="235">
        <f>D156</f>
        <v>1861.2244897959183</v>
      </c>
      <c r="E209" s="119">
        <f t="shared" si="20"/>
        <v>35212.886680915617</v>
      </c>
      <c r="F209" s="424">
        <f t="shared" si="21"/>
        <v>90253.733618312341</v>
      </c>
      <c r="G209" s="395">
        <f t="shared" si="16"/>
        <v>52856.345083592627</v>
      </c>
      <c r="H209" s="561">
        <f t="shared" si="22"/>
        <v>5.2856345083592625E-2</v>
      </c>
      <c r="I209" s="558">
        <f t="shared" si="17"/>
        <v>0</v>
      </c>
      <c r="J209" s="425">
        <f t="shared" si="23"/>
        <v>0</v>
      </c>
      <c r="K209" s="426">
        <f t="shared" si="18"/>
        <v>20622.132904408496</v>
      </c>
      <c r="L209" s="434">
        <f t="shared" si="24"/>
        <v>2.0622132904408497E-2</v>
      </c>
    </row>
    <row r="210" spans="1:12">
      <c r="A210" s="150" t="s">
        <v>251</v>
      </c>
      <c r="B210" s="161">
        <f>B208+B209</f>
        <v>2109.8203897959183</v>
      </c>
      <c r="C210" s="424">
        <f t="shared" si="19"/>
        <v>0</v>
      </c>
      <c r="D210" s="235">
        <f>D157</f>
        <v>2109.8203897959183</v>
      </c>
      <c r="E210" s="119">
        <f t="shared" si="20"/>
        <v>35212.886680915617</v>
      </c>
      <c r="F210" s="424">
        <f t="shared" si="21"/>
        <v>90253.733618312341</v>
      </c>
      <c r="G210" s="395">
        <f t="shared" si="16"/>
        <v>59916.14402176749</v>
      </c>
      <c r="H210" s="561">
        <f t="shared" si="22"/>
        <v>5.9916144021767488E-2</v>
      </c>
      <c r="I210" s="558">
        <f t="shared" si="17"/>
        <v>0</v>
      </c>
      <c r="J210" s="425">
        <f t="shared" si="23"/>
        <v>0</v>
      </c>
      <c r="K210" s="426">
        <f t="shared" si="18"/>
        <v>23376.544162909169</v>
      </c>
      <c r="L210" s="434">
        <f t="shared" si="24"/>
        <v>2.3376544162909168E-2</v>
      </c>
    </row>
    <row r="211" spans="1:12">
      <c r="A211" s="151" t="s">
        <v>238</v>
      </c>
      <c r="B211" s="161">
        <f>B210/32*96</f>
        <v>6329.461169387755</v>
      </c>
      <c r="C211" s="424">
        <f t="shared" si="19"/>
        <v>0</v>
      </c>
      <c r="D211" s="235">
        <f>D158</f>
        <v>6329.461169387755</v>
      </c>
      <c r="E211" s="119">
        <f t="shared" si="20"/>
        <v>35212.886680915617</v>
      </c>
      <c r="F211" s="424">
        <f t="shared" si="21"/>
        <v>90253.733618312341</v>
      </c>
      <c r="G211" s="395">
        <f t="shared" si="16"/>
        <v>179748.43206530248</v>
      </c>
      <c r="H211" s="561">
        <f t="shared" si="22"/>
        <v>0.17974843206530247</v>
      </c>
      <c r="I211" s="558">
        <f t="shared" si="17"/>
        <v>0</v>
      </c>
      <c r="J211" s="425">
        <f t="shared" si="23"/>
        <v>0</v>
      </c>
      <c r="K211" s="426">
        <f t="shared" si="18"/>
        <v>70129.632488727497</v>
      </c>
      <c r="L211" s="434">
        <f t="shared" si="24"/>
        <v>7.01296324887275E-2</v>
      </c>
    </row>
    <row r="212" spans="1:12">
      <c r="A212" s="151" t="s">
        <v>239</v>
      </c>
      <c r="B212" s="161">
        <f>B210/32*136</f>
        <v>8966.7366566326527</v>
      </c>
      <c r="C212" s="424">
        <f t="shared" si="19"/>
        <v>0</v>
      </c>
      <c r="D212" s="235">
        <f>D159</f>
        <v>8966.7366566326527</v>
      </c>
      <c r="E212" s="119">
        <f t="shared" si="20"/>
        <v>35212.886680915617</v>
      </c>
      <c r="F212" s="424">
        <f t="shared" si="21"/>
        <v>90253.733618312341</v>
      </c>
      <c r="G212" s="395">
        <f t="shared" si="16"/>
        <v>254643.61209251184</v>
      </c>
      <c r="H212" s="561">
        <f t="shared" si="22"/>
        <v>0.25464361209251185</v>
      </c>
      <c r="I212" s="558">
        <f t="shared" si="17"/>
        <v>0</v>
      </c>
      <c r="J212" s="425">
        <f t="shared" si="23"/>
        <v>0</v>
      </c>
      <c r="K212" s="426">
        <f t="shared" si="18"/>
        <v>99350.312692363965</v>
      </c>
      <c r="L212" s="434">
        <f t="shared" si="24"/>
        <v>9.9350312692363968E-2</v>
      </c>
    </row>
    <row r="213" spans="1:12">
      <c r="A213" s="151" t="s">
        <v>248</v>
      </c>
      <c r="B213" s="161">
        <f>C160</f>
        <v>25.799663965381267</v>
      </c>
      <c r="C213" s="424">
        <f>B213-D213</f>
        <v>0</v>
      </c>
      <c r="D213" s="235">
        <f>D160</f>
        <v>25.799663965381267</v>
      </c>
      <c r="E213" s="119">
        <f t="shared" si="20"/>
        <v>35212.886680915617</v>
      </c>
      <c r="F213" s="424">
        <f t="shared" si="21"/>
        <v>90253.733618312341</v>
      </c>
      <c r="G213" s="395">
        <f t="shared" si="16"/>
        <v>732.67676686569268</v>
      </c>
      <c r="H213" s="561">
        <f>G213/1000000</f>
        <v>7.3267676686569272E-4</v>
      </c>
      <c r="I213" s="558">
        <f t="shared" si="17"/>
        <v>0</v>
      </c>
      <c r="J213" s="425">
        <f>I213/1000000</f>
        <v>0</v>
      </c>
      <c r="K213" s="426">
        <f t="shared" si="18"/>
        <v>285.85702697341435</v>
      </c>
      <c r="L213" s="434">
        <f>K213/1000000</f>
        <v>2.8585702697341437E-4</v>
      </c>
    </row>
    <row r="214" spans="1:12" ht="14.65" thickBot="1">
      <c r="A214" s="152" t="s">
        <v>86</v>
      </c>
      <c r="B214" s="162">
        <f>B103</f>
        <v>42.158999999999999</v>
      </c>
      <c r="C214" s="435">
        <f t="shared" si="19"/>
        <v>0.83075377499957881</v>
      </c>
      <c r="D214" s="236">
        <f>D103+D161</f>
        <v>41.32824622500042</v>
      </c>
      <c r="E214" s="135">
        <f t="shared" si="20"/>
        <v>35212.886680915617</v>
      </c>
      <c r="F214" s="435">
        <f t="shared" si="21"/>
        <v>90253.733618312341</v>
      </c>
      <c r="G214" s="405">
        <f t="shared" si="16"/>
        <v>1197.2605478791654</v>
      </c>
      <c r="H214" s="562">
        <f t="shared" si="22"/>
        <v>1.1972605478791653E-3</v>
      </c>
      <c r="I214" s="559">
        <f t="shared" si="17"/>
        <v>9.2046471840475768</v>
      </c>
      <c r="J214" s="436">
        <f t="shared" si="23"/>
        <v>9.2046471840475761E-6</v>
      </c>
      <c r="K214" s="437">
        <f t="shared" si="18"/>
        <v>457.91176240730039</v>
      </c>
      <c r="L214" s="439">
        <f t="shared" si="24"/>
        <v>4.5791176240730041E-4</v>
      </c>
    </row>
    <row r="216" spans="1:12">
      <c r="A216" s="1" t="s">
        <v>125</v>
      </c>
      <c r="B216" s="1"/>
      <c r="C216" s="1"/>
    </row>
    <row r="217" spans="1:12" ht="14.65" thickBot="1">
      <c r="A217" s="816" t="s">
        <v>444</v>
      </c>
    </row>
    <row r="218" spans="1:12" ht="14.65" thickBot="1">
      <c r="A218" s="918" t="s">
        <v>444</v>
      </c>
      <c r="B218" s="101" t="s">
        <v>237</v>
      </c>
      <c r="C218" s="914">
        <f>'P-Ex(Sze.1 SEFoV mit F HS)'!C274</f>
        <v>1.2790628421965582E-2</v>
      </c>
    </row>
    <row r="220" spans="1:12" ht="14.65" thickBot="1">
      <c r="A220" s="79" t="s">
        <v>361</v>
      </c>
    </row>
    <row r="221" spans="1:12" ht="14.65" thickBot="1">
      <c r="A221" s="453" t="s">
        <v>26</v>
      </c>
      <c r="B221" s="454" t="s">
        <v>27</v>
      </c>
      <c r="C221" s="455" t="s">
        <v>28</v>
      </c>
    </row>
    <row r="222" spans="1:12" ht="14.65" thickBot="1">
      <c r="A222" s="456">
        <v>0.62634496250407568</v>
      </c>
      <c r="B222" s="457">
        <v>0.37365503749592438</v>
      </c>
      <c r="C222" s="458">
        <v>0.4094383112944317</v>
      </c>
    </row>
    <row r="224" spans="1:12" ht="14.65" thickBot="1">
      <c r="A224" s="329" t="s">
        <v>647</v>
      </c>
    </row>
    <row r="225" spans="1:3" ht="14.65" thickBot="1">
      <c r="A225" s="913" t="s">
        <v>647</v>
      </c>
      <c r="B225" s="516" t="s">
        <v>237</v>
      </c>
      <c r="C225" s="914">
        <v>1.0435000000000001</v>
      </c>
    </row>
    <row r="227" spans="1:3" ht="14.65" thickBot="1">
      <c r="A227" s="823" t="s">
        <v>577</v>
      </c>
      <c r="B227" s="824"/>
      <c r="C227" s="824"/>
    </row>
    <row r="228" spans="1:3" ht="14.65" thickBot="1">
      <c r="A228" s="891" t="s">
        <v>578</v>
      </c>
      <c r="B228" s="892" t="s">
        <v>579</v>
      </c>
      <c r="C228" s="915" t="s">
        <v>580</v>
      </c>
    </row>
    <row r="229" spans="1:3" ht="14.65" thickBot="1">
      <c r="A229" s="893">
        <f>C262</f>
        <v>0.64192138237093965</v>
      </c>
      <c r="B229" s="894">
        <f>C264</f>
        <v>0.35807861762906024</v>
      </c>
      <c r="C229" s="916">
        <f>TSFE*C225</f>
        <v>0.4272488778357395</v>
      </c>
    </row>
    <row r="231" spans="1:3" ht="14.65" thickBot="1">
      <c r="A231" s="79" t="s">
        <v>287</v>
      </c>
    </row>
    <row r="232" spans="1:3" ht="14.65" thickBot="1">
      <c r="A232" s="103" t="s">
        <v>53</v>
      </c>
      <c r="B232" s="102" t="s">
        <v>18</v>
      </c>
      <c r="C232" s="17" t="s">
        <v>106</v>
      </c>
    </row>
    <row r="233" spans="1:3">
      <c r="A233" s="243" t="s">
        <v>276</v>
      </c>
      <c r="B233" s="269" t="s">
        <v>35</v>
      </c>
      <c r="C233" s="386">
        <f>C167</f>
        <v>90253.733618312341</v>
      </c>
    </row>
    <row r="234" spans="1:3">
      <c r="A234" s="415" t="s">
        <v>338</v>
      </c>
      <c r="B234" s="37" t="s">
        <v>52</v>
      </c>
      <c r="C234" s="631">
        <v>1.5</v>
      </c>
    </row>
    <row r="235" spans="1:3">
      <c r="A235" s="257" t="s">
        <v>623</v>
      </c>
      <c r="B235" s="278" t="s">
        <v>35</v>
      </c>
      <c r="C235" s="279">
        <f>C23</f>
        <v>19000</v>
      </c>
    </row>
    <row r="236" spans="1:3" ht="14.65" thickBot="1">
      <c r="A236" s="255" t="s">
        <v>338</v>
      </c>
      <c r="B236" s="271" t="s">
        <v>35</v>
      </c>
      <c r="C236" s="256">
        <f>WWK*C235</f>
        <v>28500</v>
      </c>
    </row>
    <row r="237" spans="1:3">
      <c r="A237" s="83"/>
      <c r="B237" s="77"/>
      <c r="C237" s="95"/>
    </row>
    <row r="238" spans="1:3" ht="14.65" thickBot="1">
      <c r="A238" s="79" t="s">
        <v>288</v>
      </c>
    </row>
    <row r="239" spans="1:3" ht="14.65" thickBot="1">
      <c r="A239" s="103" t="s">
        <v>90</v>
      </c>
      <c r="B239" s="102" t="s">
        <v>18</v>
      </c>
      <c r="C239" s="17" t="s">
        <v>91</v>
      </c>
    </row>
    <row r="240" spans="1:3">
      <c r="A240" s="276" t="s">
        <v>276</v>
      </c>
      <c r="B240" s="296" t="s">
        <v>35</v>
      </c>
      <c r="C240" s="286">
        <f>$C$233</f>
        <v>90253.733618312341</v>
      </c>
    </row>
    <row r="241" spans="1:3">
      <c r="A241" s="257" t="s">
        <v>338</v>
      </c>
      <c r="B241" s="278" t="s">
        <v>110</v>
      </c>
      <c r="C241" s="279">
        <f>$C$236</f>
        <v>28500</v>
      </c>
    </row>
    <row r="242" spans="1:3">
      <c r="A242" s="655" t="s">
        <v>444</v>
      </c>
      <c r="B242" s="831" t="s">
        <v>237</v>
      </c>
      <c r="C242" s="873">
        <f>C218</f>
        <v>1.2790628421965582E-2</v>
      </c>
    </row>
    <row r="243" spans="1:3">
      <c r="A243" s="655" t="s">
        <v>443</v>
      </c>
      <c r="B243" s="831" t="s">
        <v>35</v>
      </c>
      <c r="C243" s="279">
        <f>(C240+C241)*C242</f>
        <v>1518.9348804329154</v>
      </c>
    </row>
    <row r="244" spans="1:3">
      <c r="A244" s="655" t="s">
        <v>445</v>
      </c>
      <c r="B244" s="831" t="s">
        <v>35</v>
      </c>
      <c r="C244" s="279">
        <f>C240+C241-C243</f>
        <v>117234.79873787942</v>
      </c>
    </row>
    <row r="245" spans="1:3">
      <c r="A245" s="1281" t="s">
        <v>456</v>
      </c>
      <c r="B245" s="1282" t="s">
        <v>24</v>
      </c>
      <c r="C245" s="221">
        <f>A222</f>
        <v>0.62634496250407568</v>
      </c>
    </row>
    <row r="246" spans="1:3">
      <c r="A246" s="1283" t="s">
        <v>387</v>
      </c>
      <c r="B246" s="1284" t="s">
        <v>35</v>
      </c>
      <c r="C246" s="1285">
        <f>C244*C245</f>
        <v>73429.425619649948</v>
      </c>
    </row>
    <row r="247" spans="1:3">
      <c r="A247" s="1286" t="s">
        <v>27</v>
      </c>
      <c r="B247" s="1287" t="s">
        <v>24</v>
      </c>
      <c r="C247" s="221">
        <f>B222</f>
        <v>0.37365503749592438</v>
      </c>
    </row>
    <row r="248" spans="1:3">
      <c r="A248" s="1283" t="s">
        <v>284</v>
      </c>
      <c r="B248" s="1284" t="s">
        <v>35</v>
      </c>
      <c r="C248" s="1288">
        <f>C244*C247</f>
        <v>43805.37311822948</v>
      </c>
    </row>
    <row r="249" spans="1:3">
      <c r="A249" s="1289" t="s">
        <v>355</v>
      </c>
      <c r="B249" s="1287" t="s">
        <v>24</v>
      </c>
      <c r="C249" s="1290">
        <f>C222</f>
        <v>0.4094383112944317</v>
      </c>
    </row>
    <row r="250" spans="1:3">
      <c r="A250" s="1289" t="s">
        <v>421</v>
      </c>
      <c r="B250" s="1287" t="s">
        <v>35</v>
      </c>
      <c r="C250" s="1291">
        <f>C248*C249</f>
        <v>17935.597995150372</v>
      </c>
    </row>
    <row r="251" spans="1:3">
      <c r="A251" s="1289" t="s">
        <v>388</v>
      </c>
      <c r="B251" s="1287" t="s">
        <v>24</v>
      </c>
      <c r="C251" s="1290">
        <f>1-C249</f>
        <v>0.59056168870556824</v>
      </c>
    </row>
    <row r="252" spans="1:3" ht="14.65" thickBot="1">
      <c r="A252" s="319" t="s">
        <v>340</v>
      </c>
      <c r="B252" s="320" t="s">
        <v>35</v>
      </c>
      <c r="C252" s="321">
        <f>C248*C251</f>
        <v>25869.775123079104</v>
      </c>
    </row>
    <row r="254" spans="1:3" ht="14.65" thickBot="1">
      <c r="A254" s="823" t="s">
        <v>464</v>
      </c>
      <c r="B254" s="824"/>
      <c r="C254" s="824"/>
    </row>
    <row r="255" spans="1:3" ht="14.65" thickBot="1">
      <c r="A255" s="825" t="s">
        <v>90</v>
      </c>
      <c r="B255" s="826" t="s">
        <v>18</v>
      </c>
      <c r="C255" s="827" t="s">
        <v>91</v>
      </c>
    </row>
    <row r="256" spans="1:3">
      <c r="A256" s="828" t="s">
        <v>6</v>
      </c>
      <c r="B256" s="829" t="s">
        <v>35</v>
      </c>
      <c r="C256" s="830">
        <f>C167</f>
        <v>90253.733618312341</v>
      </c>
    </row>
    <row r="257" spans="1:3">
      <c r="A257" s="655" t="s">
        <v>338</v>
      </c>
      <c r="B257" s="831" t="s">
        <v>35</v>
      </c>
      <c r="C257" s="832">
        <f>C236</f>
        <v>28500</v>
      </c>
    </row>
    <row r="258" spans="1:3">
      <c r="A258" s="655" t="s">
        <v>339</v>
      </c>
      <c r="B258" s="831" t="s">
        <v>35</v>
      </c>
      <c r="C258" s="832">
        <f>C256+C257</f>
        <v>118753.73361831234</v>
      </c>
    </row>
    <row r="259" spans="1:3">
      <c r="A259" s="655" t="s">
        <v>444</v>
      </c>
      <c r="B259" s="831" t="s">
        <v>237</v>
      </c>
      <c r="C259" s="833">
        <f>C242</f>
        <v>1.2790628421965582E-2</v>
      </c>
    </row>
    <row r="260" spans="1:3">
      <c r="A260" s="655" t="s">
        <v>443</v>
      </c>
      <c r="B260" s="831" t="s">
        <v>35</v>
      </c>
      <c r="C260" s="832">
        <f>C258*C259</f>
        <v>1518.9348804329154</v>
      </c>
    </row>
    <row r="261" spans="1:3">
      <c r="A261" s="655" t="s">
        <v>445</v>
      </c>
      <c r="B261" s="831" t="s">
        <v>35</v>
      </c>
      <c r="C261" s="832">
        <f>C258-C260</f>
        <v>117234.79873787942</v>
      </c>
    </row>
    <row r="262" spans="1:3">
      <c r="A262" s="655" t="s">
        <v>578</v>
      </c>
      <c r="B262" s="831" t="s">
        <v>24</v>
      </c>
      <c r="C262" s="834">
        <f>C263/C261</f>
        <v>0.64192138237093965</v>
      </c>
    </row>
    <row r="263" spans="1:3">
      <c r="A263" s="841" t="s">
        <v>9</v>
      </c>
      <c r="B263" s="835" t="s">
        <v>35</v>
      </c>
      <c r="C263" s="842">
        <f>C261-C265</f>
        <v>75255.524067798455</v>
      </c>
    </row>
    <row r="264" spans="1:3">
      <c r="A264" s="655" t="s">
        <v>579</v>
      </c>
      <c r="B264" s="831" t="s">
        <v>24</v>
      </c>
      <c r="C264" s="834">
        <f>C265/C261</f>
        <v>0.35807861762906024</v>
      </c>
    </row>
    <row r="265" spans="1:3">
      <c r="A265" s="841" t="s">
        <v>11</v>
      </c>
      <c r="B265" s="835" t="s">
        <v>35</v>
      </c>
      <c r="C265" s="843">
        <f>C267/C266</f>
        <v>41979.274670080958</v>
      </c>
    </row>
    <row r="266" spans="1:3">
      <c r="A266" s="655" t="s">
        <v>580</v>
      </c>
      <c r="B266" s="831" t="s">
        <v>24</v>
      </c>
      <c r="C266" s="836">
        <f>C229</f>
        <v>0.4272488778357395</v>
      </c>
    </row>
    <row r="267" spans="1:3">
      <c r="A267" s="655" t="s">
        <v>421</v>
      </c>
      <c r="B267" s="831" t="s">
        <v>35</v>
      </c>
      <c r="C267" s="837">
        <f>C250</f>
        <v>17935.597995150372</v>
      </c>
    </row>
    <row r="268" spans="1:3">
      <c r="A268" s="655" t="s">
        <v>132</v>
      </c>
      <c r="B268" s="831" t="s">
        <v>24</v>
      </c>
      <c r="C268" s="836">
        <f>1-C266</f>
        <v>0.5727511221642605</v>
      </c>
    </row>
    <row r="269" spans="1:3" ht="14.65" thickBot="1">
      <c r="A269" s="821" t="s">
        <v>340</v>
      </c>
      <c r="B269" s="838" t="s">
        <v>35</v>
      </c>
      <c r="C269" s="839">
        <f>C265*C268</f>
        <v>24043.676674930586</v>
      </c>
    </row>
    <row r="271" spans="1:3" ht="14.65" thickBot="1">
      <c r="A271" s="79" t="s">
        <v>133</v>
      </c>
      <c r="B271" s="79"/>
      <c r="C271" s="79"/>
    </row>
    <row r="272" spans="1:3" ht="14.65" thickBot="1">
      <c r="A272" s="103" t="s">
        <v>90</v>
      </c>
      <c r="B272" s="102" t="s">
        <v>18</v>
      </c>
      <c r="C272" s="17" t="s">
        <v>106</v>
      </c>
    </row>
    <row r="273" spans="1:3">
      <c r="A273" s="272" t="s">
        <v>623</v>
      </c>
      <c r="B273" s="296" t="s">
        <v>35</v>
      </c>
      <c r="C273" s="297">
        <f>$C$23</f>
        <v>19000</v>
      </c>
    </row>
    <row r="274" spans="1:3">
      <c r="A274" s="257" t="s">
        <v>329</v>
      </c>
      <c r="B274" s="278" t="s">
        <v>35</v>
      </c>
      <c r="C274" s="295">
        <f>$C$26</f>
        <v>5700</v>
      </c>
    </row>
    <row r="275" spans="1:3">
      <c r="A275" s="257" t="s">
        <v>428</v>
      </c>
      <c r="B275" s="278" t="s">
        <v>35</v>
      </c>
      <c r="C275" s="295">
        <f>$C$31</f>
        <v>10450</v>
      </c>
    </row>
    <row r="276" spans="1:3">
      <c r="A276" s="257" t="s">
        <v>385</v>
      </c>
      <c r="B276" s="278" t="s">
        <v>24</v>
      </c>
      <c r="C276" s="312">
        <f>$B$107</f>
        <v>0.05</v>
      </c>
    </row>
    <row r="277" spans="1:3">
      <c r="A277" s="257" t="s">
        <v>334</v>
      </c>
      <c r="B277" s="278" t="s">
        <v>35</v>
      </c>
      <c r="C277" s="295">
        <f>$C$123</f>
        <v>1257.7336183123368</v>
      </c>
    </row>
    <row r="278" spans="1:3">
      <c r="A278" s="257" t="s">
        <v>429</v>
      </c>
      <c r="B278" s="278" t="s">
        <v>35</v>
      </c>
      <c r="C278" s="295">
        <f>C277*C276</f>
        <v>62.886680915616843</v>
      </c>
    </row>
    <row r="279" spans="1:3">
      <c r="A279" s="281" t="s">
        <v>421</v>
      </c>
      <c r="B279" s="278" t="s">
        <v>35</v>
      </c>
      <c r="C279" s="289">
        <f>C267</f>
        <v>17935.597995150372</v>
      </c>
    </row>
    <row r="280" spans="1:3">
      <c r="A280" s="281" t="s">
        <v>448</v>
      </c>
      <c r="B280" s="278" t="s">
        <v>237</v>
      </c>
      <c r="C280" s="840">
        <f>C229</f>
        <v>0.4272488778357395</v>
      </c>
    </row>
    <row r="281" spans="1:3">
      <c r="A281" s="281" t="s">
        <v>446</v>
      </c>
      <c r="B281" s="278" t="s">
        <v>35</v>
      </c>
      <c r="C281" s="289">
        <f>C243*C280</f>
        <v>648.96322317052625</v>
      </c>
    </row>
    <row r="282" spans="1:3">
      <c r="A282" s="257" t="s">
        <v>341</v>
      </c>
      <c r="B282" s="278" t="s">
        <v>35</v>
      </c>
      <c r="C282" s="279">
        <f>C273+C274+C275+C278-C279-C281</f>
        <v>16628.325462594719</v>
      </c>
    </row>
    <row r="283" spans="1:3">
      <c r="A283" s="257" t="s">
        <v>387</v>
      </c>
      <c r="B283" s="278" t="s">
        <v>35</v>
      </c>
      <c r="C283" s="279">
        <f>C263</f>
        <v>75255.524067798455</v>
      </c>
    </row>
    <row r="284" spans="1:3">
      <c r="A284" s="299" t="s">
        <v>389</v>
      </c>
      <c r="B284" s="260" t="s">
        <v>24</v>
      </c>
      <c r="C284" s="300">
        <f>C282/C283</f>
        <v>0.22095820431220564</v>
      </c>
    </row>
    <row r="285" spans="1:3">
      <c r="A285" s="257" t="s">
        <v>366</v>
      </c>
      <c r="B285" s="278" t="s">
        <v>35</v>
      </c>
      <c r="C285" s="279">
        <f>$C$25</f>
        <v>53846</v>
      </c>
    </row>
    <row r="286" spans="1:3">
      <c r="A286" s="257" t="s">
        <v>386</v>
      </c>
      <c r="B286" s="278" t="s">
        <v>24</v>
      </c>
      <c r="C286" s="312">
        <f>1-$B$107</f>
        <v>0.95</v>
      </c>
    </row>
    <row r="287" spans="1:3">
      <c r="A287" s="257" t="s">
        <v>334</v>
      </c>
      <c r="B287" s="278" t="s">
        <v>35</v>
      </c>
      <c r="C287" s="295">
        <f>$C$123</f>
        <v>1257.7336183123368</v>
      </c>
    </row>
    <row r="288" spans="1:3">
      <c r="A288" s="257" t="s">
        <v>356</v>
      </c>
      <c r="B288" s="278" t="s">
        <v>35</v>
      </c>
      <c r="C288" s="279">
        <f>C286*C287</f>
        <v>1194.84693739672</v>
      </c>
    </row>
    <row r="289" spans="1:8">
      <c r="A289" s="257" t="s">
        <v>338</v>
      </c>
      <c r="B289" s="278" t="s">
        <v>35</v>
      </c>
      <c r="C289" s="279">
        <f>$C$236</f>
        <v>28500</v>
      </c>
    </row>
    <row r="290" spans="1:8">
      <c r="A290" s="281" t="s">
        <v>340</v>
      </c>
      <c r="B290" s="278" t="s">
        <v>35</v>
      </c>
      <c r="C290" s="289">
        <f>C269</f>
        <v>24043.676674930586</v>
      </c>
    </row>
    <row r="291" spans="1:8">
      <c r="A291" s="281" t="s">
        <v>449</v>
      </c>
      <c r="B291" s="278" t="s">
        <v>237</v>
      </c>
      <c r="C291" s="840">
        <f>1-C280</f>
        <v>0.5727511221642605</v>
      </c>
    </row>
    <row r="292" spans="1:8">
      <c r="A292" s="281" t="s">
        <v>447</v>
      </c>
      <c r="B292" s="278" t="s">
        <v>35</v>
      </c>
      <c r="C292" s="289">
        <f>C243*C291</f>
        <v>869.97165726238916</v>
      </c>
    </row>
    <row r="293" spans="1:8">
      <c r="A293" s="257" t="s">
        <v>342</v>
      </c>
      <c r="B293" s="278" t="s">
        <v>35</v>
      </c>
      <c r="C293" s="279">
        <f>C285+C288+C289-C290-C292</f>
        <v>58627.198605203754</v>
      </c>
    </row>
    <row r="294" spans="1:8">
      <c r="A294" s="257" t="s">
        <v>387</v>
      </c>
      <c r="B294" s="278" t="s">
        <v>35</v>
      </c>
      <c r="C294" s="279">
        <f>C263</f>
        <v>75255.524067798455</v>
      </c>
    </row>
    <row r="295" spans="1:8" ht="14.65" thickBot="1">
      <c r="A295" s="301" t="s">
        <v>321</v>
      </c>
      <c r="B295" s="277" t="s">
        <v>24</v>
      </c>
      <c r="C295" s="303">
        <f>C293/C294</f>
        <v>0.77904179568779464</v>
      </c>
    </row>
    <row r="296" spans="1:8">
      <c r="A296" s="77"/>
      <c r="B296" s="77"/>
      <c r="C296" s="117"/>
    </row>
    <row r="297" spans="1:8" ht="14.65" thickBot="1">
      <c r="A297" s="79" t="s">
        <v>135</v>
      </c>
    </row>
    <row r="298" spans="1:8" ht="14.65" thickBot="1">
      <c r="A298" s="419"/>
      <c r="B298" s="1028" t="s">
        <v>262</v>
      </c>
      <c r="C298" s="1029"/>
      <c r="D298" s="1031"/>
      <c r="E298" s="1065" t="s">
        <v>263</v>
      </c>
      <c r="F298" s="1061"/>
      <c r="G298" s="1061"/>
      <c r="H298" s="1009"/>
    </row>
    <row r="299" spans="1:8">
      <c r="A299" s="92" t="s">
        <v>93</v>
      </c>
      <c r="B299" s="377" t="s">
        <v>243</v>
      </c>
      <c r="C299" s="491" t="s">
        <v>341</v>
      </c>
      <c r="D299" s="492" t="s">
        <v>281</v>
      </c>
      <c r="E299" s="1039" t="s">
        <v>269</v>
      </c>
      <c r="F299" s="1040"/>
      <c r="G299" s="1022" t="s">
        <v>282</v>
      </c>
      <c r="H299" s="1023"/>
    </row>
    <row r="300" spans="1:8" ht="14.65" thickBot="1">
      <c r="A300" s="93" t="s">
        <v>18</v>
      </c>
      <c r="B300" s="403" t="s">
        <v>35</v>
      </c>
      <c r="C300" s="154" t="s">
        <v>35</v>
      </c>
      <c r="D300" s="155" t="s">
        <v>35</v>
      </c>
      <c r="E300" s="153" t="s">
        <v>257</v>
      </c>
      <c r="F300" s="423" t="s">
        <v>237</v>
      </c>
      <c r="G300" s="403" t="s">
        <v>71</v>
      </c>
      <c r="H300" s="155" t="s">
        <v>237</v>
      </c>
    </row>
    <row r="301" spans="1:8">
      <c r="A301" s="148" t="s">
        <v>72</v>
      </c>
      <c r="B301" s="459">
        <f>C193*(1-$C$218)</f>
        <v>666.3155655610467</v>
      </c>
      <c r="C301" s="160">
        <f>$C$282</f>
        <v>16628.325462594719</v>
      </c>
      <c r="D301" s="467">
        <f>$C$263</f>
        <v>75255.524067798455</v>
      </c>
      <c r="E301" s="465">
        <f t="shared" ref="E301:E322" si="25">B301/C301*1000000</f>
        <v>40071.116424796834</v>
      </c>
      <c r="F301" s="560">
        <f>E301/1000000</f>
        <v>4.0071116424796833E-2</v>
      </c>
      <c r="G301" s="443">
        <f t="shared" ref="G301:G322" si="26">B301/D301*1000000</f>
        <v>8854.0419300084377</v>
      </c>
      <c r="H301" s="460">
        <f>G301/1000000</f>
        <v>8.8540419300084383E-3</v>
      </c>
    </row>
    <row r="302" spans="1:8">
      <c r="A302" s="149" t="s">
        <v>73</v>
      </c>
      <c r="B302" s="461">
        <f>C194*(1-$C$218)</f>
        <v>2.9426133924535448E-2</v>
      </c>
      <c r="C302" s="119">
        <f t="shared" ref="C302:C322" si="27">$C$282</f>
        <v>16628.325462594719</v>
      </c>
      <c r="D302" s="468">
        <f t="shared" ref="D302:D322" si="28">$C$263</f>
        <v>75255.524067798455</v>
      </c>
      <c r="E302" s="331">
        <f t="shared" si="25"/>
        <v>1.769639040968334</v>
      </c>
      <c r="F302" s="561">
        <f t="shared" ref="F302:F322" si="29">E302/1000000</f>
        <v>1.7696390409683341E-6</v>
      </c>
      <c r="G302" s="444">
        <f t="shared" si="26"/>
        <v>0.39101626477313678</v>
      </c>
      <c r="H302" s="462">
        <f t="shared" ref="H302:H322" si="30">G302/1000000</f>
        <v>3.910162647731368E-7</v>
      </c>
    </row>
    <row r="303" spans="1:8">
      <c r="A303" s="149" t="s">
        <v>74</v>
      </c>
      <c r="B303" s="461">
        <f>C195*(1-$C$218)</f>
        <v>377.93568238997784</v>
      </c>
      <c r="C303" s="119">
        <f t="shared" si="27"/>
        <v>16628.325462594719</v>
      </c>
      <c r="D303" s="468">
        <f t="shared" si="28"/>
        <v>75255.524067798455</v>
      </c>
      <c r="E303" s="331">
        <f t="shared" si="25"/>
        <v>22728.427059004891</v>
      </c>
      <c r="F303" s="561">
        <f t="shared" si="29"/>
        <v>2.272842705900489E-2</v>
      </c>
      <c r="G303" s="444">
        <f t="shared" si="26"/>
        <v>5022.0324297986654</v>
      </c>
      <c r="H303" s="462">
        <f t="shared" si="30"/>
        <v>5.0220324297986655E-3</v>
      </c>
    </row>
    <row r="304" spans="1:8">
      <c r="A304" s="149" t="s">
        <v>75</v>
      </c>
      <c r="B304" s="461">
        <f>C196*(1-$C$218)</f>
        <v>1.2297041569947573E-2</v>
      </c>
      <c r="C304" s="119">
        <f t="shared" si="27"/>
        <v>16628.325462594719</v>
      </c>
      <c r="D304" s="468">
        <f t="shared" si="28"/>
        <v>75255.524067798455</v>
      </c>
      <c r="E304" s="331">
        <f t="shared" si="25"/>
        <v>0.73952374805326415</v>
      </c>
      <c r="F304" s="561">
        <f t="shared" si="29"/>
        <v>7.3952374805326412E-7</v>
      </c>
      <c r="G304" s="444">
        <f t="shared" si="26"/>
        <v>0.16340383941608122</v>
      </c>
      <c r="H304" s="462">
        <f t="shared" si="30"/>
        <v>1.6340383941608122E-7</v>
      </c>
    </row>
    <row r="305" spans="1:8">
      <c r="A305" s="149" t="s">
        <v>76</v>
      </c>
      <c r="B305" s="461">
        <f>C197*(1-$C$218)</f>
        <v>0.72046112008312513</v>
      </c>
      <c r="C305" s="119">
        <f t="shared" si="27"/>
        <v>16628.325462594719</v>
      </c>
      <c r="D305" s="468">
        <f t="shared" si="28"/>
        <v>75255.524067798455</v>
      </c>
      <c r="E305" s="331">
        <f t="shared" si="25"/>
        <v>43.327340549341329</v>
      </c>
      <c r="F305" s="561">
        <f t="shared" si="29"/>
        <v>4.3327340549341331E-5</v>
      </c>
      <c r="G305" s="444">
        <f t="shared" si="26"/>
        <v>9.5735313654058736</v>
      </c>
      <c r="H305" s="462">
        <f t="shared" si="30"/>
        <v>9.5735313654058737E-6</v>
      </c>
    </row>
    <row r="306" spans="1:8">
      <c r="A306" s="150" t="s">
        <v>77</v>
      </c>
      <c r="B306" s="461">
        <f>C198*(1-$C$218)</f>
        <v>3.2308479690193792E-2</v>
      </c>
      <c r="C306" s="119">
        <f t="shared" si="27"/>
        <v>16628.325462594719</v>
      </c>
      <c r="D306" s="468">
        <f t="shared" si="28"/>
        <v>75255.524067798455</v>
      </c>
      <c r="E306" s="331">
        <f t="shared" si="25"/>
        <v>1.942978549636369</v>
      </c>
      <c r="F306" s="561">
        <f t="shared" si="29"/>
        <v>1.9429785496363689E-6</v>
      </c>
      <c r="G306" s="444">
        <f t="shared" si="26"/>
        <v>0.42931705134478582</v>
      </c>
      <c r="H306" s="462">
        <f t="shared" si="30"/>
        <v>4.293170513447858E-7</v>
      </c>
    </row>
    <row r="307" spans="1:8">
      <c r="A307" s="150" t="s">
        <v>78</v>
      </c>
      <c r="B307" s="461">
        <f>C199*(1-$C$218)</f>
        <v>537.22153320060067</v>
      </c>
      <c r="C307" s="119">
        <f t="shared" si="27"/>
        <v>16628.325462594719</v>
      </c>
      <c r="D307" s="468">
        <f t="shared" si="28"/>
        <v>75255.524067798455</v>
      </c>
      <c r="E307" s="331">
        <f t="shared" si="25"/>
        <v>32307.614763078585</v>
      </c>
      <c r="F307" s="561">
        <f t="shared" si="29"/>
        <v>3.2307614763078585E-2</v>
      </c>
      <c r="G307" s="444">
        <f t="shared" si="26"/>
        <v>7138.6325436603483</v>
      </c>
      <c r="H307" s="462">
        <f t="shared" si="30"/>
        <v>7.1386325436603483E-3</v>
      </c>
    </row>
    <row r="308" spans="1:8">
      <c r="A308" s="150" t="s">
        <v>79</v>
      </c>
      <c r="B308" s="461">
        <f>C200*(1-$C$218)</f>
        <v>110.53064027676692</v>
      </c>
      <c r="C308" s="119">
        <f t="shared" si="27"/>
        <v>16628.325462594719</v>
      </c>
      <c r="D308" s="468">
        <f t="shared" si="28"/>
        <v>75255.524067798455</v>
      </c>
      <c r="E308" s="331">
        <f t="shared" si="25"/>
        <v>6647.1299545708725</v>
      </c>
      <c r="F308" s="561">
        <f t="shared" si="29"/>
        <v>6.6471299545708728E-3</v>
      </c>
      <c r="G308" s="444">
        <f t="shared" si="26"/>
        <v>1468.7378985918529</v>
      </c>
      <c r="H308" s="462">
        <f t="shared" si="30"/>
        <v>1.468737898591853E-3</v>
      </c>
    </row>
    <row r="309" spans="1:8">
      <c r="A309" s="150" t="s">
        <v>80</v>
      </c>
      <c r="B309" s="461">
        <f>C201*(1-$C$218)</f>
        <v>163.34459358633566</v>
      </c>
      <c r="C309" s="119">
        <f t="shared" si="27"/>
        <v>16628.325462594719</v>
      </c>
      <c r="D309" s="468">
        <f t="shared" si="28"/>
        <v>75255.524067798455</v>
      </c>
      <c r="E309" s="331">
        <f t="shared" si="25"/>
        <v>9823.2737838682533</v>
      </c>
      <c r="F309" s="561">
        <f t="shared" si="29"/>
        <v>9.8232737838682537E-3</v>
      </c>
      <c r="G309" s="444">
        <f t="shared" si="26"/>
        <v>2170.5329357506948</v>
      </c>
      <c r="H309" s="462">
        <f t="shared" si="30"/>
        <v>2.170532935750695E-3</v>
      </c>
    </row>
    <row r="310" spans="1:8">
      <c r="A310" s="150" t="s">
        <v>81</v>
      </c>
      <c r="B310" s="461">
        <f>C202*(1-$C$218)</f>
        <v>124.55286379321545</v>
      </c>
      <c r="C310" s="119">
        <f t="shared" si="27"/>
        <v>16628.325462594719</v>
      </c>
      <c r="D310" s="468">
        <f t="shared" si="28"/>
        <v>75255.524067798455</v>
      </c>
      <c r="E310" s="331">
        <f t="shared" si="25"/>
        <v>7490.4032924659841</v>
      </c>
      <c r="F310" s="561">
        <f t="shared" si="29"/>
        <v>7.4904032924659842E-3</v>
      </c>
      <c r="G310" s="444">
        <f t="shared" si="26"/>
        <v>1655.0660610775167</v>
      </c>
      <c r="H310" s="462">
        <f t="shared" si="30"/>
        <v>1.6550660610775167E-3</v>
      </c>
    </row>
    <row r="311" spans="1:8">
      <c r="A311" s="150" t="s">
        <v>82</v>
      </c>
      <c r="B311" s="461">
        <f>C203*(1-$C$218)</f>
        <v>0.69202569947098647</v>
      </c>
      <c r="C311" s="119">
        <f t="shared" si="27"/>
        <v>16628.325462594719</v>
      </c>
      <c r="D311" s="468">
        <f t="shared" si="28"/>
        <v>75255.524067798455</v>
      </c>
      <c r="E311" s="331">
        <f t="shared" si="25"/>
        <v>41.617281368932339</v>
      </c>
      <c r="F311" s="561">
        <f t="shared" si="29"/>
        <v>4.1617281368932336E-5</v>
      </c>
      <c r="G311" s="444">
        <f t="shared" si="26"/>
        <v>9.1956797596351016</v>
      </c>
      <c r="H311" s="462">
        <f t="shared" si="30"/>
        <v>9.1956797596351018E-6</v>
      </c>
    </row>
    <row r="312" spans="1:8">
      <c r="A312" s="150" t="s">
        <v>630</v>
      </c>
      <c r="B312" s="461">
        <f>C204*(1-$C$218)</f>
        <v>1192.2285455237743</v>
      </c>
      <c r="C312" s="119">
        <f t="shared" si="27"/>
        <v>16628.325462594719</v>
      </c>
      <c r="D312" s="468">
        <f t="shared" si="28"/>
        <v>75255.524067798455</v>
      </c>
      <c r="E312" s="331">
        <f t="shared" si="25"/>
        <v>71698.653493743695</v>
      </c>
      <c r="F312" s="561">
        <f t="shared" si="29"/>
        <v>7.16986534937437E-2</v>
      </c>
      <c r="G312" s="444">
        <f t="shared" si="26"/>
        <v>15842.405727580659</v>
      </c>
      <c r="H312" s="462">
        <f t="shared" si="30"/>
        <v>1.5842405727580659E-2</v>
      </c>
    </row>
    <row r="313" spans="1:8">
      <c r="A313" s="150" t="s">
        <v>96</v>
      </c>
      <c r="B313" s="461">
        <f>C205*(1-$C$218)</f>
        <v>3181.7481022922107</v>
      </c>
      <c r="C313" s="119">
        <f t="shared" si="27"/>
        <v>16628.325462594719</v>
      </c>
      <c r="D313" s="468">
        <f t="shared" si="28"/>
        <v>75255.524067798455</v>
      </c>
      <c r="E313" s="331">
        <f t="shared" si="25"/>
        <v>191345.07016052378</v>
      </c>
      <c r="F313" s="561">
        <f t="shared" si="29"/>
        <v>0.19134507016052379</v>
      </c>
      <c r="G313" s="444">
        <f t="shared" si="26"/>
        <v>42279.263106662336</v>
      </c>
      <c r="H313" s="462">
        <f t="shared" si="30"/>
        <v>4.2279263106662336E-2</v>
      </c>
    </row>
    <row r="314" spans="1:8">
      <c r="A314" s="150" t="s">
        <v>97</v>
      </c>
      <c r="B314" s="461">
        <f>C206*(1-$C$218)</f>
        <v>4373.9766478159845</v>
      </c>
      <c r="C314" s="119">
        <f t="shared" si="27"/>
        <v>16628.325462594719</v>
      </c>
      <c r="D314" s="468">
        <f t="shared" si="28"/>
        <v>75255.524067798455</v>
      </c>
      <c r="E314" s="331">
        <f t="shared" si="25"/>
        <v>263043.72365426749</v>
      </c>
      <c r="F314" s="561">
        <f t="shared" si="29"/>
        <v>0.26304372365426748</v>
      </c>
      <c r="G314" s="444">
        <f t="shared" si="26"/>
        <v>58121.668834242992</v>
      </c>
      <c r="H314" s="462">
        <f t="shared" si="30"/>
        <v>5.8121668834242989E-2</v>
      </c>
    </row>
    <row r="315" spans="1:8">
      <c r="A315" s="150" t="s">
        <v>84</v>
      </c>
      <c r="B315" s="461">
        <f>C207*(1-$C$218)</f>
        <v>0.41969875519125721</v>
      </c>
      <c r="C315" s="119">
        <f t="shared" si="27"/>
        <v>16628.325462594719</v>
      </c>
      <c r="D315" s="468">
        <f t="shared" si="28"/>
        <v>75255.524067798455</v>
      </c>
      <c r="E315" s="331">
        <f t="shared" si="25"/>
        <v>25.2399892060909</v>
      </c>
      <c r="F315" s="561">
        <f t="shared" si="29"/>
        <v>2.5239989206090901E-5</v>
      </c>
      <c r="G315" s="444">
        <f t="shared" si="26"/>
        <v>5.5769826918372978</v>
      </c>
      <c r="H315" s="462">
        <f t="shared" si="30"/>
        <v>5.5769826918372981E-6</v>
      </c>
    </row>
    <row r="316" spans="1:8">
      <c r="A316" s="150" t="s">
        <v>631</v>
      </c>
      <c r="B316" s="461">
        <f>C208*(1-$C$218)</f>
        <v>0</v>
      </c>
      <c r="C316" s="119">
        <f t="shared" si="27"/>
        <v>16628.325462594719</v>
      </c>
      <c r="D316" s="468">
        <f t="shared" si="28"/>
        <v>75255.524067798455</v>
      </c>
      <c r="E316" s="331">
        <f t="shared" si="25"/>
        <v>0</v>
      </c>
      <c r="F316" s="561">
        <f t="shared" si="29"/>
        <v>0</v>
      </c>
      <c r="G316" s="444">
        <f t="shared" si="26"/>
        <v>0</v>
      </c>
      <c r="H316" s="462">
        <f t="shared" si="30"/>
        <v>0</v>
      </c>
    </row>
    <row r="317" spans="1:8">
      <c r="A317" s="150" t="s">
        <v>250</v>
      </c>
      <c r="B317" s="461">
        <f>C209*(1-$C$218)</f>
        <v>0</v>
      </c>
      <c r="C317" s="119">
        <f t="shared" si="27"/>
        <v>16628.325462594719</v>
      </c>
      <c r="D317" s="468">
        <f t="shared" si="28"/>
        <v>75255.524067798455</v>
      </c>
      <c r="E317" s="331">
        <f t="shared" si="25"/>
        <v>0</v>
      </c>
      <c r="F317" s="561">
        <f t="shared" si="29"/>
        <v>0</v>
      </c>
      <c r="G317" s="444">
        <f t="shared" si="26"/>
        <v>0</v>
      </c>
      <c r="H317" s="462">
        <f t="shared" si="30"/>
        <v>0</v>
      </c>
    </row>
    <row r="318" spans="1:8">
      <c r="A318" s="150" t="s">
        <v>251</v>
      </c>
      <c r="B318" s="461">
        <f>C210*(1-$C$218)</f>
        <v>0</v>
      </c>
      <c r="C318" s="119">
        <f t="shared" si="27"/>
        <v>16628.325462594719</v>
      </c>
      <c r="D318" s="468">
        <f t="shared" si="28"/>
        <v>75255.524067798455</v>
      </c>
      <c r="E318" s="331">
        <f t="shared" si="25"/>
        <v>0</v>
      </c>
      <c r="F318" s="561">
        <f t="shared" si="29"/>
        <v>0</v>
      </c>
      <c r="G318" s="444">
        <f t="shared" si="26"/>
        <v>0</v>
      </c>
      <c r="H318" s="462">
        <f t="shared" si="30"/>
        <v>0</v>
      </c>
    </row>
    <row r="319" spans="1:8">
      <c r="A319" s="151" t="s">
        <v>238</v>
      </c>
      <c r="B319" s="461">
        <f>C211*(1-$C$218)</f>
        <v>0</v>
      </c>
      <c r="C319" s="119">
        <f t="shared" si="27"/>
        <v>16628.325462594719</v>
      </c>
      <c r="D319" s="468">
        <f t="shared" si="28"/>
        <v>75255.524067798455</v>
      </c>
      <c r="E319" s="331">
        <f t="shared" si="25"/>
        <v>0</v>
      </c>
      <c r="F319" s="561">
        <f t="shared" si="29"/>
        <v>0</v>
      </c>
      <c r="G319" s="444">
        <f t="shared" si="26"/>
        <v>0</v>
      </c>
      <c r="H319" s="462">
        <f t="shared" si="30"/>
        <v>0</v>
      </c>
    </row>
    <row r="320" spans="1:8">
      <c r="A320" s="151" t="s">
        <v>239</v>
      </c>
      <c r="B320" s="461">
        <f>C212*(1-$C$218)</f>
        <v>0</v>
      </c>
      <c r="C320" s="119">
        <f t="shared" si="27"/>
        <v>16628.325462594719</v>
      </c>
      <c r="D320" s="468">
        <f t="shared" si="28"/>
        <v>75255.524067798455</v>
      </c>
      <c r="E320" s="331">
        <f t="shared" si="25"/>
        <v>0</v>
      </c>
      <c r="F320" s="561">
        <f t="shared" si="29"/>
        <v>0</v>
      </c>
      <c r="G320" s="444">
        <f t="shared" si="26"/>
        <v>0</v>
      </c>
      <c r="H320" s="462">
        <f t="shared" si="30"/>
        <v>0</v>
      </c>
    </row>
    <row r="321" spans="1:8">
      <c r="A321" s="151" t="s">
        <v>248</v>
      </c>
      <c r="B321" s="461">
        <f>C213*(1-$C$218)</f>
        <v>0</v>
      </c>
      <c r="C321" s="119">
        <f t="shared" si="27"/>
        <v>16628.325462594719</v>
      </c>
      <c r="D321" s="468">
        <f t="shared" si="28"/>
        <v>75255.524067798455</v>
      </c>
      <c r="E321" s="331">
        <f t="shared" si="25"/>
        <v>0</v>
      </c>
      <c r="F321" s="561">
        <f>E321/1000000</f>
        <v>0</v>
      </c>
      <c r="G321" s="444">
        <f t="shared" si="26"/>
        <v>0</v>
      </c>
      <c r="H321" s="462">
        <f>G321/1000000</f>
        <v>0</v>
      </c>
    </row>
    <row r="322" spans="1:8" ht="14.65" thickBot="1">
      <c r="A322" s="152" t="s">
        <v>86</v>
      </c>
      <c r="B322" s="463">
        <f>C214*(1-$C$218)</f>
        <v>0.82012791215341407</v>
      </c>
      <c r="C322" s="135">
        <f t="shared" si="27"/>
        <v>16628.325462594719</v>
      </c>
      <c r="D322" s="469">
        <f t="shared" si="28"/>
        <v>75255.524067798455</v>
      </c>
      <c r="E322" s="466">
        <f t="shared" si="25"/>
        <v>49.321136635092031</v>
      </c>
      <c r="F322" s="562">
        <f t="shared" si="29"/>
        <v>4.9321136635092032E-5</v>
      </c>
      <c r="G322" s="445">
        <f t="shared" si="26"/>
        <v>10.897909785526876</v>
      </c>
      <c r="H322" s="464">
        <f t="shared" si="30"/>
        <v>1.0897909785526875E-5</v>
      </c>
    </row>
    <row r="323" spans="1:8">
      <c r="A323" s="145"/>
      <c r="B323" s="146"/>
      <c r="C323" s="96"/>
      <c r="D323" s="96"/>
      <c r="E323" s="96"/>
      <c r="F323" s="95"/>
    </row>
    <row r="324" spans="1:8" ht="14.65" thickBot="1">
      <c r="A324" s="79" t="s">
        <v>137</v>
      </c>
    </row>
    <row r="325" spans="1:8" ht="14.65" thickBot="1">
      <c r="A325" s="419"/>
      <c r="B325" s="1028" t="s">
        <v>262</v>
      </c>
      <c r="C325" s="1029"/>
      <c r="D325" s="1031"/>
      <c r="E325" s="1065" t="s">
        <v>263</v>
      </c>
      <c r="F325" s="1061"/>
      <c r="G325" s="1061"/>
      <c r="H325" s="1009"/>
    </row>
    <row r="326" spans="1:8">
      <c r="A326" s="92" t="s">
        <v>93</v>
      </c>
      <c r="B326" s="377" t="s">
        <v>256</v>
      </c>
      <c r="C326" s="491" t="s">
        <v>421</v>
      </c>
      <c r="D326" s="492" t="s">
        <v>284</v>
      </c>
      <c r="E326" s="1039" t="s">
        <v>269</v>
      </c>
      <c r="F326" s="1040"/>
      <c r="G326" s="1022" t="s">
        <v>242</v>
      </c>
      <c r="H326" s="1023"/>
    </row>
    <row r="327" spans="1:8" ht="14.65" thickBot="1">
      <c r="A327" s="93" t="s">
        <v>18</v>
      </c>
      <c r="B327" s="403" t="s">
        <v>35</v>
      </c>
      <c r="C327" s="154" t="s">
        <v>35</v>
      </c>
      <c r="D327" s="155" t="s">
        <v>35</v>
      </c>
      <c r="E327" s="153" t="s">
        <v>257</v>
      </c>
      <c r="F327" s="423" t="s">
        <v>237</v>
      </c>
      <c r="G327" s="403" t="s">
        <v>71</v>
      </c>
      <c r="H327" s="155" t="s">
        <v>237</v>
      </c>
    </row>
    <row r="328" spans="1:8">
      <c r="A328" s="148" t="s">
        <v>72</v>
      </c>
      <c r="B328" s="459">
        <f>D193*(1-$C$218)</f>
        <v>499.4286464481321</v>
      </c>
      <c r="C328" s="160">
        <f>$C$267</f>
        <v>17935.597995150372</v>
      </c>
      <c r="D328" s="467">
        <f>$C$265</f>
        <v>41979.274670080958</v>
      </c>
      <c r="E328" s="465">
        <f t="shared" ref="E328:E349" si="31">B328/C328*1000000</f>
        <v>27845.664615318274</v>
      </c>
      <c r="F328" s="560">
        <f>E328/1000000</f>
        <v>2.7845664615318275E-2</v>
      </c>
      <c r="G328" s="443">
        <f t="shared" ref="G328:G349" si="32">B328/D328*1000000</f>
        <v>11897.028959485091</v>
      </c>
      <c r="H328" s="460">
        <f>G328/1000000</f>
        <v>1.1897028959485091E-2</v>
      </c>
    </row>
    <row r="329" spans="1:8">
      <c r="A329" s="149" t="s">
        <v>73</v>
      </c>
      <c r="B329" s="461">
        <f>D194*(1-$C$218)</f>
        <v>0.37848877841150841</v>
      </c>
      <c r="C329" s="119">
        <f t="shared" ref="C329:C349" si="33">$C$267</f>
        <v>17935.597995150372</v>
      </c>
      <c r="D329" s="468">
        <f t="shared" ref="D329:D349" si="34">$C$265</f>
        <v>41979.274670080958</v>
      </c>
      <c r="E329" s="331">
        <f t="shared" si="31"/>
        <v>21.102657325049794</v>
      </c>
      <c r="F329" s="561">
        <f t="shared" ref="F329:F349" si="35">E329/1000000</f>
        <v>2.1102657325049794E-5</v>
      </c>
      <c r="G329" s="444">
        <f t="shared" si="32"/>
        <v>9.0160866614796724</v>
      </c>
      <c r="H329" s="462">
        <f t="shared" ref="H329:H349" si="36">G329/1000000</f>
        <v>9.016086661479672E-6</v>
      </c>
    </row>
    <row r="330" spans="1:8">
      <c r="A330" s="149" t="s">
        <v>74</v>
      </c>
      <c r="B330" s="461">
        <f>D195*(1-$C$218)</f>
        <v>2275.8533033074386</v>
      </c>
      <c r="C330" s="119">
        <f t="shared" si="33"/>
        <v>17935.597995150372</v>
      </c>
      <c r="D330" s="468">
        <f t="shared" si="34"/>
        <v>41979.274670080958</v>
      </c>
      <c r="E330" s="331">
        <f t="shared" si="31"/>
        <v>126890.29403551581</v>
      </c>
      <c r="F330" s="561">
        <f t="shared" si="35"/>
        <v>0.1268902940355158</v>
      </c>
      <c r="G330" s="444">
        <f t="shared" si="32"/>
        <v>54213.73573492116</v>
      </c>
      <c r="H330" s="462">
        <f t="shared" si="36"/>
        <v>5.4213735734921158E-2</v>
      </c>
    </row>
    <row r="331" spans="1:8">
      <c r="A331" s="149" t="s">
        <v>75</v>
      </c>
      <c r="B331" s="461">
        <f>D196*(1-$C$218)</f>
        <v>4.2986683238422356E-2</v>
      </c>
      <c r="C331" s="119">
        <f t="shared" si="33"/>
        <v>17935.597995150372</v>
      </c>
      <c r="D331" s="468">
        <f t="shared" si="34"/>
        <v>41979.274670080958</v>
      </c>
      <c r="E331" s="331">
        <f t="shared" si="31"/>
        <v>2.3967242826275199</v>
      </c>
      <c r="F331" s="561">
        <f t="shared" si="35"/>
        <v>2.3967242826275198E-6</v>
      </c>
      <c r="G331" s="444">
        <f t="shared" si="32"/>
        <v>1.0239977602342756</v>
      </c>
      <c r="H331" s="462">
        <f t="shared" si="36"/>
        <v>1.0239977602342755E-6</v>
      </c>
    </row>
    <row r="332" spans="1:8">
      <c r="A332" s="149" t="s">
        <v>76</v>
      </c>
      <c r="B332" s="461">
        <f>D197*(1-$C$218)</f>
        <v>1.2631386702286196</v>
      </c>
      <c r="C332" s="119">
        <f t="shared" si="33"/>
        <v>17935.597995150372</v>
      </c>
      <c r="D332" s="468">
        <f t="shared" si="34"/>
        <v>41979.274670080958</v>
      </c>
      <c r="E332" s="331">
        <f t="shared" si="31"/>
        <v>70.426348236070027</v>
      </c>
      <c r="F332" s="561">
        <f t="shared" si="35"/>
        <v>7.0426348236070032E-5</v>
      </c>
      <c r="G332" s="444">
        <f t="shared" si="32"/>
        <v>30.089578253929933</v>
      </c>
      <c r="H332" s="462">
        <f t="shared" si="36"/>
        <v>3.0089578253929934E-5</v>
      </c>
    </row>
    <row r="333" spans="1:8">
      <c r="A333" s="150" t="s">
        <v>77</v>
      </c>
      <c r="B333" s="461">
        <f>D198*(1-$C$218)</f>
        <v>15.333605388921912</v>
      </c>
      <c r="C333" s="119">
        <f t="shared" si="33"/>
        <v>17935.597995150372</v>
      </c>
      <c r="D333" s="468">
        <f t="shared" si="34"/>
        <v>41979.274670080958</v>
      </c>
      <c r="E333" s="331">
        <f t="shared" si="31"/>
        <v>854.92579578712594</v>
      </c>
      <c r="F333" s="561">
        <f t="shared" si="35"/>
        <v>8.5492579578712595E-4</v>
      </c>
      <c r="G333" s="444">
        <f t="shared" si="32"/>
        <v>365.2660868828761</v>
      </c>
      <c r="H333" s="462">
        <f t="shared" si="36"/>
        <v>3.6526608688287611E-4</v>
      </c>
    </row>
    <row r="334" spans="1:8">
      <c r="A334" s="150" t="s">
        <v>78</v>
      </c>
      <c r="B334" s="461">
        <f>D199*(1-$C$218)</f>
        <v>668.28845950511288</v>
      </c>
      <c r="C334" s="119">
        <f t="shared" si="33"/>
        <v>17935.597995150372</v>
      </c>
      <c r="D334" s="468">
        <f t="shared" si="34"/>
        <v>41979.274670080958</v>
      </c>
      <c r="E334" s="331">
        <f t="shared" si="31"/>
        <v>37260.450400695438</v>
      </c>
      <c r="F334" s="561">
        <f t="shared" si="35"/>
        <v>3.7260450400695436E-2</v>
      </c>
      <c r="G334" s="444">
        <f t="shared" si="32"/>
        <v>15919.485621351352</v>
      </c>
      <c r="H334" s="462">
        <f t="shared" si="36"/>
        <v>1.5919485621351353E-2</v>
      </c>
    </row>
    <row r="335" spans="1:8">
      <c r="A335" s="150" t="s">
        <v>79</v>
      </c>
      <c r="B335" s="461">
        <f>D200*(1-$C$218)</f>
        <v>55.021113545943273</v>
      </c>
      <c r="C335" s="119">
        <f t="shared" si="33"/>
        <v>17935.597995150372</v>
      </c>
      <c r="D335" s="468">
        <f t="shared" si="34"/>
        <v>41979.274670080958</v>
      </c>
      <c r="E335" s="331">
        <f t="shared" si="31"/>
        <v>3067.7044367754283</v>
      </c>
      <c r="F335" s="561">
        <f t="shared" si="35"/>
        <v>3.0677044367754284E-3</v>
      </c>
      <c r="G335" s="444">
        <f t="shared" si="32"/>
        <v>1310.673278144021</v>
      </c>
      <c r="H335" s="462">
        <f t="shared" si="36"/>
        <v>1.3106732781440209E-3</v>
      </c>
    </row>
    <row r="336" spans="1:8">
      <c r="A336" s="150" t="s">
        <v>80</v>
      </c>
      <c r="B336" s="461">
        <f>D201*(1-$C$218)</f>
        <v>77.28048410739774</v>
      </c>
      <c r="C336" s="119">
        <f t="shared" si="33"/>
        <v>17935.597995150372</v>
      </c>
      <c r="D336" s="468">
        <f t="shared" si="34"/>
        <v>41979.274670080958</v>
      </c>
      <c r="E336" s="331">
        <f t="shared" si="31"/>
        <v>4308.7765531037048</v>
      </c>
      <c r="F336" s="561">
        <f t="shared" si="35"/>
        <v>4.3087765531037046E-3</v>
      </c>
      <c r="G336" s="444">
        <f t="shared" si="32"/>
        <v>1840.9199471585034</v>
      </c>
      <c r="H336" s="462">
        <f t="shared" si="36"/>
        <v>1.8409199471585034E-3</v>
      </c>
    </row>
    <row r="337" spans="1:8">
      <c r="A337" s="150" t="s">
        <v>81</v>
      </c>
      <c r="B337" s="461">
        <f>D202*(1-$C$218)</f>
        <v>31.139646768976313</v>
      </c>
      <c r="C337" s="119">
        <f t="shared" si="33"/>
        <v>17935.597995150372</v>
      </c>
      <c r="D337" s="468">
        <f t="shared" si="34"/>
        <v>41979.274670080958</v>
      </c>
      <c r="E337" s="331">
        <f t="shared" si="31"/>
        <v>1736.1922795881239</v>
      </c>
      <c r="F337" s="561">
        <f t="shared" si="35"/>
        <v>1.736192279588124E-3</v>
      </c>
      <c r="G337" s="444">
        <f t="shared" si="32"/>
        <v>741.7862031611005</v>
      </c>
      <c r="H337" s="462">
        <f t="shared" si="36"/>
        <v>7.4178620316110049E-4</v>
      </c>
    </row>
    <row r="338" spans="1:8">
      <c r="A338" s="150" t="s">
        <v>82</v>
      </c>
      <c r="B338" s="461">
        <f>D203*(1-$C$218)</f>
        <v>1.1177265205058662</v>
      </c>
      <c r="C338" s="119">
        <f t="shared" si="33"/>
        <v>17935.597995150372</v>
      </c>
      <c r="D338" s="468">
        <f t="shared" si="34"/>
        <v>41979.274670080958</v>
      </c>
      <c r="E338" s="331">
        <f t="shared" si="31"/>
        <v>62.318887879182483</v>
      </c>
      <c r="F338" s="561">
        <f t="shared" si="35"/>
        <v>6.2318887879182484E-5</v>
      </c>
      <c r="G338" s="444">
        <f t="shared" si="32"/>
        <v>26.625674914351983</v>
      </c>
      <c r="H338" s="462">
        <f t="shared" si="36"/>
        <v>2.6625674914351982E-5</v>
      </c>
    </row>
    <row r="339" spans="1:8">
      <c r="A339" s="150" t="s">
        <v>630</v>
      </c>
      <c r="B339" s="461">
        <f>D204*(1-$C$218)</f>
        <v>359.05745283337541</v>
      </c>
      <c r="C339" s="119">
        <f t="shared" si="33"/>
        <v>17935.597995150372</v>
      </c>
      <c r="D339" s="468">
        <f t="shared" si="34"/>
        <v>41979.274670080958</v>
      </c>
      <c r="E339" s="331">
        <f t="shared" si="31"/>
        <v>20019.262972467455</v>
      </c>
      <c r="F339" s="561">
        <f t="shared" si="35"/>
        <v>2.0019262972467457E-2</v>
      </c>
      <c r="G339" s="444">
        <f t="shared" si="32"/>
        <v>8553.207640085293</v>
      </c>
      <c r="H339" s="462">
        <f t="shared" si="36"/>
        <v>8.5532076400852922E-3</v>
      </c>
    </row>
    <row r="340" spans="1:8">
      <c r="A340" s="150" t="s">
        <v>96</v>
      </c>
      <c r="B340" s="461">
        <f>D205*(1-$C$218)</f>
        <v>81.583284674159245</v>
      </c>
      <c r="C340" s="119">
        <f t="shared" si="33"/>
        <v>17935.597995150372</v>
      </c>
      <c r="D340" s="468">
        <f t="shared" si="34"/>
        <v>41979.274670080958</v>
      </c>
      <c r="E340" s="331">
        <f t="shared" si="31"/>
        <v>4548.6793747394786</v>
      </c>
      <c r="F340" s="561">
        <f t="shared" si="35"/>
        <v>4.5486793747394789E-3</v>
      </c>
      <c r="G340" s="444">
        <f t="shared" si="32"/>
        <v>1943.4181584920154</v>
      </c>
      <c r="H340" s="462">
        <f t="shared" si="36"/>
        <v>1.9434181584920154E-3</v>
      </c>
    </row>
    <row r="341" spans="1:8">
      <c r="A341" s="150" t="s">
        <v>97</v>
      </c>
      <c r="B341" s="461">
        <f>D206*(1-$C$218)</f>
        <v>440.64073750753465</v>
      </c>
      <c r="C341" s="119">
        <f t="shared" si="33"/>
        <v>17935.597995150372</v>
      </c>
      <c r="D341" s="468">
        <f t="shared" si="34"/>
        <v>41979.274670080958</v>
      </c>
      <c r="E341" s="331">
        <f t="shared" si="31"/>
        <v>24567.942347206936</v>
      </c>
      <c r="F341" s="561">
        <f t="shared" si="35"/>
        <v>2.4567942347206936E-2</v>
      </c>
      <c r="G341" s="444">
        <f t="shared" si="32"/>
        <v>10496.625798577308</v>
      </c>
      <c r="H341" s="462">
        <f t="shared" si="36"/>
        <v>1.0496625798577307E-2</v>
      </c>
    </row>
    <row r="342" spans="1:8">
      <c r="A342" s="150" t="s">
        <v>84</v>
      </c>
      <c r="B342" s="461">
        <f>D207*(1-$C$218)</f>
        <v>1.6034881309207665</v>
      </c>
      <c r="C342" s="119">
        <f t="shared" si="33"/>
        <v>17935.597995150372</v>
      </c>
      <c r="D342" s="468">
        <f t="shared" si="34"/>
        <v>41979.274670080958</v>
      </c>
      <c r="E342" s="331">
        <f t="shared" si="31"/>
        <v>89.402546341322747</v>
      </c>
      <c r="F342" s="561">
        <f t="shared" si="35"/>
        <v>8.940254634132275E-5</v>
      </c>
      <c r="G342" s="444">
        <f t="shared" si="32"/>
        <v>38.19713759998784</v>
      </c>
      <c r="H342" s="462">
        <f t="shared" si="36"/>
        <v>3.8197137599987841E-5</v>
      </c>
    </row>
    <row r="343" spans="1:8">
      <c r="A343" s="150" t="s">
        <v>631</v>
      </c>
      <c r="B343" s="461">
        <f>D208*(1-$C$218)</f>
        <v>245.4162022158759</v>
      </c>
      <c r="C343" s="119">
        <f t="shared" si="33"/>
        <v>17935.597995150372</v>
      </c>
      <c r="D343" s="468">
        <f t="shared" si="34"/>
        <v>41979.274670080958</v>
      </c>
      <c r="E343" s="331">
        <f t="shared" si="31"/>
        <v>13683.190395002959</v>
      </c>
      <c r="F343" s="561">
        <f t="shared" si="35"/>
        <v>1.3683190395002959E-2</v>
      </c>
      <c r="G343" s="444">
        <f t="shared" si="32"/>
        <v>5846.1277414777833</v>
      </c>
      <c r="H343" s="462">
        <f t="shared" si="36"/>
        <v>5.8461277414777833E-3</v>
      </c>
    </row>
    <row r="344" spans="1:8">
      <c r="A344" s="150" t="s">
        <v>250</v>
      </c>
      <c r="B344" s="461">
        <f>D209*(1-$C$218)</f>
        <v>1837.4182589370764</v>
      </c>
      <c r="C344" s="119">
        <f t="shared" si="33"/>
        <v>17935.597995150372</v>
      </c>
      <c r="D344" s="468">
        <f t="shared" si="34"/>
        <v>41979.274670080958</v>
      </c>
      <c r="E344" s="331">
        <f t="shared" si="31"/>
        <v>102445.33019941114</v>
      </c>
      <c r="F344" s="561">
        <f t="shared" si="35"/>
        <v>0.10244533019941114</v>
      </c>
      <c r="G344" s="444">
        <f t="shared" si="32"/>
        <v>43769.652367210205</v>
      </c>
      <c r="H344" s="462">
        <f t="shared" si="36"/>
        <v>4.3769652367210206E-2</v>
      </c>
    </row>
    <row r="345" spans="1:8">
      <c r="A345" s="150" t="s">
        <v>251</v>
      </c>
      <c r="B345" s="461">
        <f>D210*(1-$C$218)</f>
        <v>2082.8344611529524</v>
      </c>
      <c r="C345" s="119">
        <f t="shared" si="33"/>
        <v>17935.597995150372</v>
      </c>
      <c r="D345" s="468">
        <f t="shared" si="34"/>
        <v>41979.274670080958</v>
      </c>
      <c r="E345" s="331">
        <f t="shared" si="31"/>
        <v>116128.52059441411</v>
      </c>
      <c r="F345" s="561">
        <f t="shared" si="35"/>
        <v>0.1161285205944141</v>
      </c>
      <c r="G345" s="444">
        <f t="shared" si="32"/>
        <v>49615.780108687984</v>
      </c>
      <c r="H345" s="462">
        <f t="shared" si="36"/>
        <v>4.9615780108687987E-2</v>
      </c>
    </row>
    <row r="346" spans="1:8">
      <c r="A346" s="151" t="s">
        <v>238</v>
      </c>
      <c r="B346" s="461">
        <f>D211*(1-$C$218)</f>
        <v>6248.5033834588567</v>
      </c>
      <c r="C346" s="119">
        <f t="shared" si="33"/>
        <v>17935.597995150372</v>
      </c>
      <c r="D346" s="468">
        <f t="shared" si="34"/>
        <v>41979.274670080958</v>
      </c>
      <c r="E346" s="331">
        <f t="shared" si="31"/>
        <v>348385.56178324233</v>
      </c>
      <c r="F346" s="561">
        <f t="shared" si="35"/>
        <v>0.34838556178324231</v>
      </c>
      <c r="G346" s="444">
        <f t="shared" si="32"/>
        <v>148847.34032606395</v>
      </c>
      <c r="H346" s="462">
        <f t="shared" si="36"/>
        <v>0.14884734032606395</v>
      </c>
    </row>
    <row r="347" spans="1:8">
      <c r="A347" s="151" t="s">
        <v>239</v>
      </c>
      <c r="B347" s="461">
        <f>D212*(1-$C$218)</f>
        <v>8852.0464599000461</v>
      </c>
      <c r="C347" s="119">
        <f t="shared" si="33"/>
        <v>17935.597995150372</v>
      </c>
      <c r="D347" s="468">
        <f t="shared" si="34"/>
        <v>41979.274670080958</v>
      </c>
      <c r="E347" s="331">
        <f t="shared" si="31"/>
        <v>493546.21252625983</v>
      </c>
      <c r="F347" s="561">
        <f t="shared" si="35"/>
        <v>0.49354621252625985</v>
      </c>
      <c r="G347" s="444">
        <f t="shared" si="32"/>
        <v>210867.06546192392</v>
      </c>
      <c r="H347" s="462">
        <f t="shared" si="36"/>
        <v>0.21086706546192391</v>
      </c>
    </row>
    <row r="348" spans="1:8">
      <c r="A348" s="151" t="s">
        <v>248</v>
      </c>
      <c r="B348" s="461">
        <f>D213*(1-$C$218)</f>
        <v>25.469670050188501</v>
      </c>
      <c r="C348" s="119">
        <f t="shared" si="33"/>
        <v>17935.597995150372</v>
      </c>
      <c r="D348" s="468">
        <f t="shared" si="34"/>
        <v>41979.274670080958</v>
      </c>
      <c r="E348" s="331">
        <f t="shared" si="31"/>
        <v>1420.062495662273</v>
      </c>
      <c r="F348" s="561">
        <f>E348/1000000</f>
        <v>1.4200624956622731E-3</v>
      </c>
      <c r="G348" s="444">
        <f t="shared" si="32"/>
        <v>606.72010772832584</v>
      </c>
      <c r="H348" s="462">
        <f>G348/1000000</f>
        <v>6.0672010772832587E-4</v>
      </c>
    </row>
    <row r="349" spans="1:8" ht="14.65" thickBot="1">
      <c r="A349" s="152" t="s">
        <v>86</v>
      </c>
      <c r="B349" s="902">
        <f>D214*(1-$C$218)</f>
        <v>40.799631984204943</v>
      </c>
      <c r="C349" s="903">
        <f t="shared" si="33"/>
        <v>17935.597995150372</v>
      </c>
      <c r="D349" s="904">
        <f t="shared" si="34"/>
        <v>41979.274670080958</v>
      </c>
      <c r="E349" s="466">
        <f t="shared" si="31"/>
        <v>2274.7851504720838</v>
      </c>
      <c r="F349" s="562">
        <f t="shared" si="35"/>
        <v>2.2747851504720837E-3</v>
      </c>
      <c r="G349" s="445">
        <f t="shared" si="32"/>
        <v>971.89940285660157</v>
      </c>
      <c r="H349" s="464">
        <f t="shared" si="36"/>
        <v>9.7189940285660162E-4</v>
      </c>
    </row>
    <row r="350" spans="1:8">
      <c r="D350" s="654"/>
    </row>
    <row r="351" spans="1:8">
      <c r="A351" s="1" t="s">
        <v>138</v>
      </c>
      <c r="B351" s="1"/>
      <c r="C351" s="79"/>
      <c r="D351" s="79"/>
    </row>
    <row r="352" spans="1:8" ht="14.65" thickBot="1">
      <c r="A352" s="79" t="s">
        <v>358</v>
      </c>
      <c r="B352" s="79"/>
      <c r="C352" s="79"/>
    </row>
    <row r="353" spans="1:3">
      <c r="A353" s="2"/>
      <c r="B353" s="369" t="s">
        <v>614</v>
      </c>
    </row>
    <row r="354" spans="1:3" ht="14.65" thickBot="1">
      <c r="A354" s="5"/>
      <c r="B354" s="319" t="s">
        <v>35</v>
      </c>
    </row>
    <row r="355" spans="1:3" ht="14.65" thickBot="1">
      <c r="A355" s="9" t="s">
        <v>347</v>
      </c>
      <c r="B355" s="627">
        <f>B10</f>
        <v>17500</v>
      </c>
    </row>
    <row r="357" spans="1:3" ht="14.65" thickBot="1">
      <c r="A357" s="120" t="s">
        <v>641</v>
      </c>
      <c r="B357" s="79"/>
      <c r="C357" s="79"/>
    </row>
    <row r="358" spans="1:3" ht="14.65" thickBot="1">
      <c r="A358" s="519"/>
      <c r="B358" s="171" t="s">
        <v>263</v>
      </c>
      <c r="C358" s="9" t="s">
        <v>262</v>
      </c>
    </row>
    <row r="359" spans="1:3">
      <c r="A359" s="115"/>
      <c r="B359" s="624" t="s">
        <v>614</v>
      </c>
      <c r="C359" s="336" t="s">
        <v>614</v>
      </c>
    </row>
    <row r="360" spans="1:3" ht="14.65" thickBot="1">
      <c r="A360" s="133" t="s">
        <v>18</v>
      </c>
      <c r="B360" s="233" t="s">
        <v>70</v>
      </c>
      <c r="C360" s="73" t="s">
        <v>35</v>
      </c>
    </row>
    <row r="361" spans="1:3">
      <c r="A361" s="231" t="s">
        <v>72</v>
      </c>
      <c r="B361" s="413">
        <v>47700</v>
      </c>
      <c r="C361" s="531">
        <f>$B$355*B361/1000000</f>
        <v>834.75</v>
      </c>
    </row>
    <row r="362" spans="1:3">
      <c r="A362" s="232" t="s">
        <v>73</v>
      </c>
      <c r="B362" s="625">
        <v>31</v>
      </c>
      <c r="C362" s="472">
        <f t="shared" ref="C362:C375" si="37">$B$355*B362/1000000</f>
        <v>0.54249999999999998</v>
      </c>
    </row>
    <row r="363" spans="1:3">
      <c r="A363" s="232" t="s">
        <v>74</v>
      </c>
      <c r="B363" s="625">
        <v>85425</v>
      </c>
      <c r="C363" s="472">
        <f t="shared" si="37"/>
        <v>1494.9375</v>
      </c>
    </row>
    <row r="364" spans="1:3">
      <c r="A364" s="232" t="s">
        <v>75</v>
      </c>
      <c r="B364" s="625">
        <v>2.2000000000000002</v>
      </c>
      <c r="C364" s="472">
        <f t="shared" si="37"/>
        <v>3.85E-2</v>
      </c>
    </row>
    <row r="365" spans="1:3">
      <c r="A365" s="232" t="s">
        <v>76</v>
      </c>
      <c r="B365" s="625">
        <v>91</v>
      </c>
      <c r="C365" s="472">
        <f t="shared" si="37"/>
        <v>1.5925</v>
      </c>
    </row>
    <row r="366" spans="1:3">
      <c r="A366" s="232" t="s">
        <v>77</v>
      </c>
      <c r="B366" s="625">
        <v>663</v>
      </c>
      <c r="C366" s="472">
        <f t="shared" si="37"/>
        <v>11.602499999999999</v>
      </c>
    </row>
    <row r="367" spans="1:3">
      <c r="A367" s="232" t="s">
        <v>78</v>
      </c>
      <c r="B367" s="625">
        <v>109000</v>
      </c>
      <c r="C367" s="472">
        <f t="shared" si="37"/>
        <v>1907.5</v>
      </c>
    </row>
    <row r="368" spans="1:3">
      <c r="A368" s="232" t="s">
        <v>79</v>
      </c>
      <c r="B368" s="625">
        <v>9375</v>
      </c>
      <c r="C368" s="472">
        <f t="shared" si="37"/>
        <v>164.0625</v>
      </c>
    </row>
    <row r="369" spans="1:7">
      <c r="A369" s="232" t="s">
        <v>80</v>
      </c>
      <c r="B369" s="625">
        <v>12191.833333333334</v>
      </c>
      <c r="C369" s="472">
        <f t="shared" si="37"/>
        <v>213.35708333333335</v>
      </c>
    </row>
    <row r="370" spans="1:7">
      <c r="A370" s="232" t="s">
        <v>81</v>
      </c>
      <c r="B370" s="625">
        <v>2530</v>
      </c>
      <c r="C370" s="472">
        <f t="shared" si="37"/>
        <v>44.274999999999999</v>
      </c>
    </row>
    <row r="371" spans="1:7">
      <c r="A371" s="232" t="s">
        <v>82</v>
      </c>
      <c r="B371" s="625">
        <v>64.5</v>
      </c>
      <c r="C371" s="472">
        <f t="shared" si="37"/>
        <v>1.1287499999999999</v>
      </c>
    </row>
    <row r="372" spans="1:7">
      <c r="A372" s="232" t="s">
        <v>83</v>
      </c>
      <c r="B372" s="625">
        <v>70700</v>
      </c>
      <c r="C372" s="472">
        <f t="shared" si="37"/>
        <v>1237.25</v>
      </c>
    </row>
    <row r="373" spans="1:7">
      <c r="A373" s="232" t="s">
        <v>84</v>
      </c>
      <c r="B373" s="625">
        <v>117</v>
      </c>
      <c r="C373" s="472">
        <f t="shared" si="37"/>
        <v>2.0474999999999999</v>
      </c>
    </row>
    <row r="374" spans="1:7">
      <c r="A374" s="232" t="s">
        <v>85</v>
      </c>
      <c r="B374" s="625">
        <v>5857.8888888888887</v>
      </c>
      <c r="C374" s="472">
        <f t="shared" si="37"/>
        <v>102.51305555555555</v>
      </c>
    </row>
    <row r="375" spans="1:7" ht="14.65" thickBot="1">
      <c r="A375" s="233" t="s">
        <v>86</v>
      </c>
      <c r="B375" s="626">
        <v>2260</v>
      </c>
      <c r="C375" s="756">
        <f t="shared" si="37"/>
        <v>39.549999999999997</v>
      </c>
    </row>
    <row r="377" spans="1:7" ht="14.65" thickBot="1">
      <c r="A377" s="79" t="s">
        <v>645</v>
      </c>
    </row>
    <row r="378" spans="1:7" ht="14.65" thickBot="1">
      <c r="A378" s="419"/>
      <c r="B378" s="1019" t="s">
        <v>262</v>
      </c>
      <c r="C378" s="1021"/>
      <c r="D378" s="1021"/>
      <c r="E378" s="1020"/>
      <c r="F378" s="1019" t="s">
        <v>263</v>
      </c>
      <c r="G378" s="1020"/>
    </row>
    <row r="379" spans="1:7">
      <c r="A379" s="92" t="s">
        <v>93</v>
      </c>
      <c r="B379" s="266" t="s">
        <v>136</v>
      </c>
      <c r="C379" s="274" t="s">
        <v>618</v>
      </c>
      <c r="D379" s="274" t="s">
        <v>142</v>
      </c>
      <c r="E379" s="324" t="s">
        <v>619</v>
      </c>
      <c r="F379" s="1022" t="s">
        <v>459</v>
      </c>
      <c r="G379" s="1023"/>
    </row>
    <row r="380" spans="1:7" ht="14.65" thickBot="1">
      <c r="A380" s="93" t="s">
        <v>297</v>
      </c>
      <c r="B380" s="153" t="s">
        <v>35</v>
      </c>
      <c r="C380" s="154" t="s">
        <v>35</v>
      </c>
      <c r="D380" s="154" t="s">
        <v>35</v>
      </c>
      <c r="E380" s="423" t="s">
        <v>35</v>
      </c>
      <c r="F380" s="403" t="s">
        <v>257</v>
      </c>
      <c r="G380" s="155" t="s">
        <v>237</v>
      </c>
    </row>
    <row r="381" spans="1:7">
      <c r="A381" s="148" t="s">
        <v>72</v>
      </c>
      <c r="B381" s="459">
        <f>B301</f>
        <v>666.3155655610467</v>
      </c>
      <c r="C381" s="160">
        <f>C361</f>
        <v>834.75</v>
      </c>
      <c r="D381" s="141">
        <f>B381+C381</f>
        <v>1501.0655655610467</v>
      </c>
      <c r="E381" s="501">
        <f>$C$282+$B$355</f>
        <v>34128.325462594716</v>
      </c>
      <c r="F381" s="443">
        <f t="shared" ref="F381:F397" si="38">D381/E381*1000000</f>
        <v>43982.983202801515</v>
      </c>
      <c r="G381" s="460">
        <f>F381/1000000</f>
        <v>4.3982983202801515E-2</v>
      </c>
    </row>
    <row r="382" spans="1:7">
      <c r="A382" s="149" t="s">
        <v>73</v>
      </c>
      <c r="B382" s="461">
        <f>B302</f>
        <v>2.9426133924535448E-2</v>
      </c>
      <c r="C382" s="119">
        <f>C362</f>
        <v>0.54249999999999998</v>
      </c>
      <c r="D382" s="89">
        <f t="shared" ref="D382:D397" si="39">B382+C382</f>
        <v>0.5719261339245354</v>
      </c>
      <c r="E382" s="502">
        <f t="shared" ref="E382:E397" si="40">$C$282+$B$355</f>
        <v>34128.325462594716</v>
      </c>
      <c r="F382" s="444">
        <f t="shared" si="38"/>
        <v>16.758107119887178</v>
      </c>
      <c r="G382" s="462">
        <f t="shared" ref="G382:G397" si="41">F382/1000000</f>
        <v>1.6758107119887177E-5</v>
      </c>
    </row>
    <row r="383" spans="1:7">
      <c r="A383" s="149" t="s">
        <v>74</v>
      </c>
      <c r="B383" s="461">
        <f t="shared" ref="B383:B391" si="42">B303</f>
        <v>377.93568238997784</v>
      </c>
      <c r="C383" s="119">
        <f t="shared" ref="C383:C390" si="43">C363</f>
        <v>1494.9375</v>
      </c>
      <c r="D383" s="89">
        <f t="shared" si="39"/>
        <v>1872.873182389978</v>
      </c>
      <c r="E383" s="502">
        <f t="shared" si="40"/>
        <v>34128.325462594716</v>
      </c>
      <c r="F383" s="444">
        <f t="shared" si="38"/>
        <v>54877.382848528032</v>
      </c>
      <c r="G383" s="462">
        <f t="shared" si="41"/>
        <v>5.4877382848528035E-2</v>
      </c>
    </row>
    <row r="384" spans="1:7">
      <c r="A384" s="149" t="s">
        <v>75</v>
      </c>
      <c r="B384" s="461">
        <f t="shared" si="42"/>
        <v>1.2297041569947573E-2</v>
      </c>
      <c r="C384" s="119">
        <f t="shared" si="43"/>
        <v>3.85E-2</v>
      </c>
      <c r="D384" s="89">
        <f t="shared" si="39"/>
        <v>5.0797041569947576E-2</v>
      </c>
      <c r="E384" s="502">
        <f t="shared" si="40"/>
        <v>34128.325462594716</v>
      </c>
      <c r="F384" s="444">
        <f t="shared" si="38"/>
        <v>1.4884129496954688</v>
      </c>
      <c r="G384" s="462">
        <f t="shared" si="41"/>
        <v>1.4884129496954688E-6</v>
      </c>
    </row>
    <row r="385" spans="1:7">
      <c r="A385" s="149" t="s">
        <v>76</v>
      </c>
      <c r="B385" s="461">
        <f t="shared" si="42"/>
        <v>0.72046112008312513</v>
      </c>
      <c r="C385" s="119">
        <f t="shared" si="43"/>
        <v>1.5925</v>
      </c>
      <c r="D385" s="89">
        <f t="shared" si="39"/>
        <v>2.3129611200831253</v>
      </c>
      <c r="E385" s="502">
        <f t="shared" si="40"/>
        <v>34128.325462594716</v>
      </c>
      <c r="F385" s="444">
        <f t="shared" si="38"/>
        <v>67.772476051254671</v>
      </c>
      <c r="G385" s="462">
        <f t="shared" si="41"/>
        <v>6.7772476051254665E-5</v>
      </c>
    </row>
    <row r="386" spans="1:7">
      <c r="A386" s="150" t="s">
        <v>77</v>
      </c>
      <c r="B386" s="461">
        <f t="shared" si="42"/>
        <v>3.2308479690193792E-2</v>
      </c>
      <c r="C386" s="119">
        <f t="shared" si="43"/>
        <v>11.602499999999999</v>
      </c>
      <c r="D386" s="89">
        <f t="shared" si="39"/>
        <v>11.634808479690193</v>
      </c>
      <c r="E386" s="502">
        <f t="shared" si="40"/>
        <v>34128.325462594716</v>
      </c>
      <c r="F386" s="444">
        <f t="shared" si="38"/>
        <v>340.9135467968436</v>
      </c>
      <c r="G386" s="462">
        <f t="shared" si="41"/>
        <v>3.4091354679684362E-4</v>
      </c>
    </row>
    <row r="387" spans="1:7">
      <c r="A387" s="150" t="s">
        <v>78</v>
      </c>
      <c r="B387" s="461">
        <f t="shared" si="42"/>
        <v>537.22153320060067</v>
      </c>
      <c r="C387" s="119">
        <f t="shared" si="43"/>
        <v>1907.5</v>
      </c>
      <c r="D387" s="89">
        <f t="shared" si="39"/>
        <v>2444.7215332006008</v>
      </c>
      <c r="E387" s="502">
        <f t="shared" si="40"/>
        <v>34128.325462594716</v>
      </c>
      <c r="F387" s="444">
        <f t="shared" si="38"/>
        <v>71633.210831866367</v>
      </c>
      <c r="G387" s="462">
        <f t="shared" si="41"/>
        <v>7.163321083186637E-2</v>
      </c>
    </row>
    <row r="388" spans="1:7">
      <c r="A388" s="150" t="s">
        <v>79</v>
      </c>
      <c r="B388" s="461">
        <f t="shared" si="42"/>
        <v>110.53064027676692</v>
      </c>
      <c r="C388" s="119">
        <f t="shared" si="43"/>
        <v>164.0625</v>
      </c>
      <c r="D388" s="89">
        <f t="shared" si="39"/>
        <v>274.59314027676692</v>
      </c>
      <c r="E388" s="502">
        <f t="shared" si="40"/>
        <v>34128.325462594716</v>
      </c>
      <c r="F388" s="444">
        <f t="shared" si="38"/>
        <v>8045.9013606667022</v>
      </c>
      <c r="G388" s="462">
        <f t="shared" si="41"/>
        <v>8.0459013606667025E-3</v>
      </c>
    </row>
    <row r="389" spans="1:7">
      <c r="A389" s="150" t="s">
        <v>80</v>
      </c>
      <c r="B389" s="461">
        <f t="shared" si="42"/>
        <v>163.34459358633566</v>
      </c>
      <c r="C389" s="119">
        <f t="shared" si="43"/>
        <v>213.35708333333335</v>
      </c>
      <c r="D389" s="89">
        <f t="shared" si="39"/>
        <v>376.70167691966901</v>
      </c>
      <c r="E389" s="502">
        <f t="shared" si="40"/>
        <v>34128.325462594716</v>
      </c>
      <c r="F389" s="444">
        <f t="shared" si="38"/>
        <v>11037.801351623335</v>
      </c>
      <c r="G389" s="462">
        <f t="shared" si="41"/>
        <v>1.1037801351623334E-2</v>
      </c>
    </row>
    <row r="390" spans="1:7">
      <c r="A390" s="150" t="s">
        <v>81</v>
      </c>
      <c r="B390" s="461">
        <f t="shared" si="42"/>
        <v>124.55286379321545</v>
      </c>
      <c r="C390" s="119">
        <f t="shared" si="43"/>
        <v>44.274999999999999</v>
      </c>
      <c r="D390" s="89">
        <f t="shared" si="39"/>
        <v>168.82786379321544</v>
      </c>
      <c r="E390" s="502">
        <f t="shared" si="40"/>
        <v>34128.325462594716</v>
      </c>
      <c r="F390" s="444">
        <f t="shared" si="38"/>
        <v>4946.8545996566381</v>
      </c>
      <c r="G390" s="462">
        <f t="shared" si="41"/>
        <v>4.9468545996566382E-3</v>
      </c>
    </row>
    <row r="391" spans="1:7">
      <c r="A391" s="150" t="s">
        <v>82</v>
      </c>
      <c r="B391" s="461">
        <f t="shared" si="42"/>
        <v>0.69202569947098647</v>
      </c>
      <c r="C391" s="119">
        <f>C371</f>
        <v>1.1287499999999999</v>
      </c>
      <c r="D391" s="89">
        <f t="shared" si="39"/>
        <v>1.8207756994709863</v>
      </c>
      <c r="E391" s="502">
        <f t="shared" si="40"/>
        <v>34128.325462594716</v>
      </c>
      <c r="F391" s="444">
        <f t="shared" si="38"/>
        <v>53.350865440690626</v>
      </c>
      <c r="G391" s="462">
        <f t="shared" si="41"/>
        <v>5.3350865440690624E-5</v>
      </c>
    </row>
    <row r="392" spans="1:7">
      <c r="A392" s="150" t="s">
        <v>630</v>
      </c>
      <c r="B392" s="461">
        <f>B312</f>
        <v>1192.2285455237743</v>
      </c>
      <c r="C392" s="119">
        <f>C372</f>
        <v>1237.25</v>
      </c>
      <c r="D392" s="89">
        <f t="shared" si="39"/>
        <v>2429.4785455237743</v>
      </c>
      <c r="E392" s="502">
        <f t="shared" si="40"/>
        <v>34128.325462594716</v>
      </c>
      <c r="F392" s="444">
        <f t="shared" si="38"/>
        <v>71186.573398877372</v>
      </c>
      <c r="G392" s="462">
        <f t="shared" si="41"/>
        <v>7.1186573398877379E-2</v>
      </c>
    </row>
    <row r="393" spans="1:7">
      <c r="A393" s="150" t="s">
        <v>96</v>
      </c>
      <c r="B393" s="461">
        <f>B313</f>
        <v>3181.7481022922107</v>
      </c>
      <c r="C393" s="119">
        <v>0</v>
      </c>
      <c r="D393" s="89">
        <f t="shared" si="39"/>
        <v>3181.7481022922107</v>
      </c>
      <c r="E393" s="502">
        <f t="shared" si="40"/>
        <v>34128.325462594716</v>
      </c>
      <c r="F393" s="444">
        <f t="shared" si="38"/>
        <v>93228.954516958824</v>
      </c>
      <c r="G393" s="462">
        <f t="shared" si="41"/>
        <v>9.3228954516958826E-2</v>
      </c>
    </row>
    <row r="394" spans="1:7">
      <c r="A394" s="582" t="s">
        <v>97</v>
      </c>
      <c r="B394" s="461">
        <f>B314</f>
        <v>4373.9766478159845</v>
      </c>
      <c r="C394" s="119">
        <f>C392+C393</f>
        <v>1237.25</v>
      </c>
      <c r="D394" s="89">
        <f t="shared" si="39"/>
        <v>5611.2266478159845</v>
      </c>
      <c r="E394" s="502">
        <f t="shared" si="40"/>
        <v>34128.325462594716</v>
      </c>
      <c r="F394" s="480">
        <f t="shared" si="38"/>
        <v>164415.5279158362</v>
      </c>
      <c r="G394" s="583">
        <f t="shared" si="41"/>
        <v>0.16441552791583619</v>
      </c>
    </row>
    <row r="395" spans="1:7">
      <c r="A395" s="186" t="s">
        <v>84</v>
      </c>
      <c r="B395" s="461">
        <f>B315</f>
        <v>0.41969875519125721</v>
      </c>
      <c r="C395" s="119">
        <f>C373</f>
        <v>2.0474999999999999</v>
      </c>
      <c r="D395" s="89">
        <f t="shared" si="39"/>
        <v>2.4671987551912569</v>
      </c>
      <c r="E395" s="502">
        <f t="shared" si="40"/>
        <v>34128.325462594716</v>
      </c>
      <c r="F395" s="444">
        <f t="shared" si="38"/>
        <v>72.291819822667634</v>
      </c>
      <c r="G395" s="462">
        <f t="shared" si="41"/>
        <v>7.2291819822667628E-5</v>
      </c>
    </row>
    <row r="396" spans="1:7">
      <c r="A396" s="150" t="s">
        <v>85</v>
      </c>
      <c r="B396" s="461">
        <f t="shared" ref="B396" si="44">B316</f>
        <v>0</v>
      </c>
      <c r="C396" s="119">
        <f>C374</f>
        <v>102.51305555555555</v>
      </c>
      <c r="D396" s="89">
        <f t="shared" si="39"/>
        <v>102.51305555555555</v>
      </c>
      <c r="E396" s="502">
        <f t="shared" si="40"/>
        <v>34128.325462594716</v>
      </c>
      <c r="F396" s="444">
        <f t="shared" si="38"/>
        <v>3003.7528699704822</v>
      </c>
      <c r="G396" s="462">
        <f t="shared" si="41"/>
        <v>3.0037528699704821E-3</v>
      </c>
    </row>
    <row r="397" spans="1:7" ht="14.65" thickBot="1">
      <c r="A397" s="152" t="s">
        <v>86</v>
      </c>
      <c r="B397" s="463">
        <f>B322</f>
        <v>0.82012791215341407</v>
      </c>
      <c r="C397" s="135">
        <f>C375</f>
        <v>39.549999999999997</v>
      </c>
      <c r="D397" s="94">
        <f t="shared" si="39"/>
        <v>40.370127912153414</v>
      </c>
      <c r="E397" s="503">
        <f t="shared" si="40"/>
        <v>34128.325462594716</v>
      </c>
      <c r="F397" s="445">
        <f t="shared" si="38"/>
        <v>1182.892139152852</v>
      </c>
      <c r="G397" s="464">
        <f t="shared" si="41"/>
        <v>1.1828921391528521E-3</v>
      </c>
    </row>
    <row r="399" spans="1:7">
      <c r="A399" s="329" t="s">
        <v>144</v>
      </c>
      <c r="B399" s="329"/>
      <c r="C399" s="329"/>
      <c r="D399" s="329"/>
      <c r="E399" s="329"/>
    </row>
    <row r="400" spans="1:7">
      <c r="A400" s="329" t="s">
        <v>315</v>
      </c>
      <c r="B400" s="329"/>
      <c r="C400" s="329"/>
      <c r="D400" s="329"/>
      <c r="E400" s="329"/>
    </row>
    <row r="401" spans="1:5">
      <c r="A401" s="329"/>
      <c r="B401" s="329"/>
      <c r="C401" s="329"/>
      <c r="D401" s="329"/>
      <c r="E401" s="329"/>
    </row>
    <row r="402" spans="1:5" ht="14.65" thickBot="1">
      <c r="A402" s="329" t="s">
        <v>432</v>
      </c>
    </row>
    <row r="403" spans="1:5">
      <c r="A403" s="388" t="s">
        <v>93</v>
      </c>
      <c r="B403" s="323" t="s">
        <v>146</v>
      </c>
      <c r="C403" s="324" t="s">
        <v>147</v>
      </c>
      <c r="D403" s="1077" t="s">
        <v>459</v>
      </c>
      <c r="E403" s="1078"/>
    </row>
    <row r="404" spans="1:5" ht="14.65" thickBot="1">
      <c r="A404" s="220"/>
      <c r="B404" s="403" t="s">
        <v>35</v>
      </c>
      <c r="C404" s="423" t="s">
        <v>35</v>
      </c>
      <c r="D404" s="403" t="s">
        <v>70</v>
      </c>
      <c r="E404" s="155" t="s">
        <v>237</v>
      </c>
    </row>
    <row r="405" spans="1:5">
      <c r="A405" s="477" t="s">
        <v>148</v>
      </c>
      <c r="B405" s="159">
        <f>B394</f>
        <v>4373.9766478159845</v>
      </c>
      <c r="C405" s="501">
        <f>$C$282</f>
        <v>16628.325462594719</v>
      </c>
      <c r="D405" s="227">
        <f>B405/C405*1000000</f>
        <v>263043.72365426749</v>
      </c>
      <c r="E405" s="475">
        <f>D405/1000000</f>
        <v>0.26304372365426748</v>
      </c>
    </row>
    <row r="406" spans="1:5">
      <c r="A406" s="150" t="s">
        <v>620</v>
      </c>
      <c r="B406" s="161">
        <f>C394</f>
        <v>1237.25</v>
      </c>
      <c r="C406" s="502">
        <f>$B$355</f>
        <v>17500</v>
      </c>
      <c r="D406" s="229">
        <f>B406/C406*1000000</f>
        <v>70700</v>
      </c>
      <c r="E406" s="476">
        <f>D406/1000000</f>
        <v>7.0699999999999999E-2</v>
      </c>
    </row>
    <row r="407" spans="1:5">
      <c r="A407" s="478" t="s">
        <v>621</v>
      </c>
      <c r="B407" s="480">
        <f>C407*31/98</f>
        <v>113.78880989709312</v>
      </c>
      <c r="C407" s="587">
        <v>359.71946354564921</v>
      </c>
      <c r="D407" s="229">
        <f>B407/C407*1000000</f>
        <v>316326.53061224491</v>
      </c>
      <c r="E407" s="476">
        <f>D407/1000000</f>
        <v>0.31632653061224492</v>
      </c>
    </row>
    <row r="408" spans="1:5" ht="14.65" thickBot="1">
      <c r="A408" s="479" t="s">
        <v>306</v>
      </c>
      <c r="B408" s="162">
        <f>SUM($B$405:$B$407)</f>
        <v>5725.0154577130779</v>
      </c>
      <c r="C408" s="503">
        <f>SUM($C$405:$C$407)</f>
        <v>34488.044926140363</v>
      </c>
      <c r="D408" s="588">
        <f>B408/C408*1000000</f>
        <v>165999.99999923966</v>
      </c>
      <c r="E408" s="584">
        <f>D408/1000000</f>
        <v>0.16599999999923967</v>
      </c>
    </row>
    <row r="410" spans="1:5" ht="14.65" thickBot="1">
      <c r="A410" s="79" t="s">
        <v>434</v>
      </c>
    </row>
    <row r="411" spans="1:5" ht="14.65" thickBot="1">
      <c r="A411" s="691"/>
      <c r="B411" s="192" t="s">
        <v>18</v>
      </c>
      <c r="C411" s="193" t="s">
        <v>106</v>
      </c>
    </row>
    <row r="412" spans="1:5">
      <c r="A412" s="203" t="s">
        <v>435</v>
      </c>
      <c r="B412" s="692" t="s">
        <v>35</v>
      </c>
      <c r="C412" s="730">
        <f>TMP</f>
        <v>359.71946354564921</v>
      </c>
    </row>
    <row r="413" spans="1:5">
      <c r="A413" s="257" t="s">
        <v>436</v>
      </c>
      <c r="B413" s="178" t="s">
        <v>35</v>
      </c>
      <c r="C413" s="84">
        <f>C412/75%*25%</f>
        <v>119.90648784854973</v>
      </c>
    </row>
    <row r="414" spans="1:5" ht="14.65" thickBot="1">
      <c r="A414" s="693" t="s">
        <v>437</v>
      </c>
      <c r="B414" s="694" t="s">
        <v>35</v>
      </c>
      <c r="C414" s="335">
        <f>C412+C413</f>
        <v>479.62595139419892</v>
      </c>
      <c r="D414" s="99"/>
    </row>
    <row r="416" spans="1:5">
      <c r="A416" s="329" t="s">
        <v>316</v>
      </c>
    </row>
    <row r="417" spans="1:3">
      <c r="A417" s="329" t="s">
        <v>317</v>
      </c>
    </row>
    <row r="418" spans="1:3">
      <c r="A418" s="329"/>
    </row>
    <row r="419" spans="1:3" ht="14.65" thickBot="1">
      <c r="A419" s="329" t="s">
        <v>310</v>
      </c>
    </row>
    <row r="420" spans="1:3">
      <c r="A420" s="664" t="s">
        <v>64</v>
      </c>
      <c r="B420" s="665" t="s">
        <v>24</v>
      </c>
      <c r="C420" s="666">
        <v>0.45</v>
      </c>
    </row>
    <row r="421" spans="1:3" ht="14.65" thickBot="1">
      <c r="A421" s="667" t="s">
        <v>66</v>
      </c>
      <c r="B421" s="284" t="s">
        <v>24</v>
      </c>
      <c r="C421" s="663">
        <v>0.55000000000000004</v>
      </c>
    </row>
    <row r="422" spans="1:3">
      <c r="A422" s="329"/>
    </row>
    <row r="423" spans="1:3" ht="14.65" thickBot="1">
      <c r="A423" s="329" t="s">
        <v>363</v>
      </c>
    </row>
    <row r="424" spans="1:3" ht="14.65" thickBot="1">
      <c r="A424" s="103"/>
      <c r="B424" s="102" t="s">
        <v>18</v>
      </c>
      <c r="C424" s="17" t="s">
        <v>106</v>
      </c>
    </row>
    <row r="425" spans="1:3">
      <c r="A425" s="272" t="s">
        <v>341</v>
      </c>
      <c r="B425" s="298" t="s">
        <v>35</v>
      </c>
      <c r="C425" s="669">
        <f>C282</f>
        <v>16628.325462594719</v>
      </c>
    </row>
    <row r="426" spans="1:3">
      <c r="A426" s="257" t="s">
        <v>607</v>
      </c>
      <c r="B426" s="346" t="s">
        <v>35</v>
      </c>
      <c r="C426" s="347">
        <f>B355</f>
        <v>17500</v>
      </c>
    </row>
    <row r="427" spans="1:3">
      <c r="A427" s="257" t="s">
        <v>605</v>
      </c>
      <c r="B427" s="346" t="s">
        <v>35</v>
      </c>
      <c r="C427" s="347">
        <f>0</f>
        <v>0</v>
      </c>
    </row>
    <row r="428" spans="1:3">
      <c r="A428" s="348" t="s">
        <v>435</v>
      </c>
      <c r="B428" s="278" t="s">
        <v>35</v>
      </c>
      <c r="C428" s="347">
        <f>C412</f>
        <v>359.71946354564921</v>
      </c>
    </row>
    <row r="429" spans="1:3" ht="14.65" thickBot="1">
      <c r="A429" s="360" t="s">
        <v>309</v>
      </c>
      <c r="B429" s="320" t="s">
        <v>35</v>
      </c>
      <c r="C429" s="668">
        <f>C425+C426+C427+C428</f>
        <v>34488.044926140363</v>
      </c>
    </row>
    <row r="430" spans="1:3">
      <c r="A430" s="276" t="s">
        <v>345</v>
      </c>
      <c r="B430" s="296" t="s">
        <v>35</v>
      </c>
      <c r="C430" s="342">
        <f>C429/C420*C421</f>
        <v>42152.054909727114</v>
      </c>
    </row>
    <row r="431" spans="1:3" ht="14.65" thickBot="1">
      <c r="A431" s="360" t="s">
        <v>342</v>
      </c>
      <c r="B431" s="320" t="s">
        <v>35</v>
      </c>
      <c r="C431" s="668">
        <f>C293</f>
        <v>58627.198605203754</v>
      </c>
    </row>
    <row r="433" spans="1:4">
      <c r="A433" s="329" t="s">
        <v>313</v>
      </c>
      <c r="D433" s="329"/>
    </row>
    <row r="435" spans="1:4" ht="14.65" thickBot="1">
      <c r="A435" s="79" t="s">
        <v>289</v>
      </c>
    </row>
    <row r="436" spans="1:4" ht="14.65" thickBot="1">
      <c r="A436" s="191" t="s">
        <v>53</v>
      </c>
      <c r="B436" s="192" t="s">
        <v>18</v>
      </c>
      <c r="C436" s="193" t="s">
        <v>106</v>
      </c>
    </row>
    <row r="437" spans="1:4">
      <c r="A437" s="845" t="s">
        <v>9</v>
      </c>
      <c r="B437" s="323" t="s">
        <v>35</v>
      </c>
      <c r="C437" s="876">
        <f>C263</f>
        <v>75255.524067798455</v>
      </c>
    </row>
    <row r="438" spans="1:4">
      <c r="A438" s="874" t="s">
        <v>607</v>
      </c>
      <c r="B438" s="761" t="s">
        <v>35</v>
      </c>
      <c r="C438" s="877">
        <f>B355</f>
        <v>17500</v>
      </c>
    </row>
    <row r="439" spans="1:4" ht="14.65" thickBot="1">
      <c r="A439" s="875" t="s">
        <v>437</v>
      </c>
      <c r="B439" s="677" t="s">
        <v>35</v>
      </c>
      <c r="C439" s="340">
        <f>C414</f>
        <v>479.62595139419892</v>
      </c>
    </row>
    <row r="441" spans="1:4" ht="14.65" thickBot="1">
      <c r="A441" s="79" t="s">
        <v>290</v>
      </c>
    </row>
    <row r="442" spans="1:4" ht="14.65" thickBot="1">
      <c r="A442" s="103" t="s">
        <v>90</v>
      </c>
      <c r="B442" s="102" t="s">
        <v>18</v>
      </c>
      <c r="C442" s="17" t="s">
        <v>91</v>
      </c>
    </row>
    <row r="443" spans="1:4">
      <c r="A443" s="276" t="s">
        <v>9</v>
      </c>
      <c r="B443" s="296" t="s">
        <v>35</v>
      </c>
      <c r="C443" s="286">
        <f>C263</f>
        <v>75255.524067798455</v>
      </c>
    </row>
    <row r="444" spans="1:4">
      <c r="A444" s="276" t="s">
        <v>607</v>
      </c>
      <c r="B444" s="341" t="s">
        <v>35</v>
      </c>
      <c r="C444" s="342">
        <f>B355</f>
        <v>17500</v>
      </c>
    </row>
    <row r="445" spans="1:4" ht="14.65" thickBot="1">
      <c r="A445" s="878" t="s">
        <v>437</v>
      </c>
      <c r="B445" s="215" t="s">
        <v>35</v>
      </c>
      <c r="C445" s="344">
        <f>C414</f>
        <v>479.62595139419892</v>
      </c>
    </row>
    <row r="446" spans="1:4" ht="14.65" thickBot="1">
      <c r="A446" s="255" t="s">
        <v>305</v>
      </c>
      <c r="B446" s="271" t="s">
        <v>35</v>
      </c>
      <c r="C446" s="256">
        <f>SUM(C443:C445)</f>
        <v>93235.150019192661</v>
      </c>
    </row>
    <row r="448" spans="1:4" ht="14.65" thickBot="1">
      <c r="A448" s="79" t="s">
        <v>307</v>
      </c>
      <c r="B448" s="79"/>
      <c r="C448" s="79"/>
    </row>
    <row r="449" spans="1:8" ht="14.65" thickBot="1">
      <c r="A449" s="191" t="s">
        <v>90</v>
      </c>
      <c r="B449" s="192" t="s">
        <v>18</v>
      </c>
      <c r="C449" s="193" t="s">
        <v>106</v>
      </c>
    </row>
    <row r="450" spans="1:8">
      <c r="A450" s="272" t="s">
        <v>341</v>
      </c>
      <c r="B450" s="298" t="s">
        <v>35</v>
      </c>
      <c r="C450" s="294">
        <f>$C$282</f>
        <v>16628.325462594719</v>
      </c>
    </row>
    <row r="451" spans="1:8">
      <c r="A451" s="257" t="s">
        <v>607</v>
      </c>
      <c r="B451" s="346" t="s">
        <v>35</v>
      </c>
      <c r="C451" s="347">
        <f>B355</f>
        <v>17500</v>
      </c>
    </row>
    <row r="452" spans="1:8">
      <c r="A452" s="348" t="s">
        <v>435</v>
      </c>
      <c r="B452" s="287" t="s">
        <v>35</v>
      </c>
      <c r="C452" s="279">
        <f>C412</f>
        <v>359.71946354564921</v>
      </c>
    </row>
    <row r="453" spans="1:8">
      <c r="A453" s="257" t="s">
        <v>309</v>
      </c>
      <c r="B453" s="278" t="s">
        <v>35</v>
      </c>
      <c r="C453" s="279">
        <f>C450+C451+C452</f>
        <v>34488.044926140363</v>
      </c>
    </row>
    <row r="454" spans="1:8">
      <c r="A454" s="257" t="s">
        <v>305</v>
      </c>
      <c r="B454" s="278" t="s">
        <v>35</v>
      </c>
      <c r="C454" s="279">
        <f>$C$446</f>
        <v>93235.150019192661</v>
      </c>
    </row>
    <row r="455" spans="1:8">
      <c r="A455" s="299" t="s">
        <v>64</v>
      </c>
      <c r="B455" s="260" t="s">
        <v>24</v>
      </c>
      <c r="C455" s="300">
        <f>C453/C454</f>
        <v>0.3699038926739639</v>
      </c>
    </row>
    <row r="456" spans="1:8">
      <c r="A456" s="257" t="s">
        <v>342</v>
      </c>
      <c r="B456" s="278" t="s">
        <v>35</v>
      </c>
      <c r="C456" s="279">
        <f>$C$293</f>
        <v>58627.198605203754</v>
      </c>
    </row>
    <row r="457" spans="1:8">
      <c r="A457" s="68" t="s">
        <v>436</v>
      </c>
      <c r="B457" s="287" t="s">
        <v>35</v>
      </c>
      <c r="C457" s="279">
        <f>C413</f>
        <v>119.90648784854973</v>
      </c>
    </row>
    <row r="458" spans="1:8">
      <c r="A458" s="257" t="s">
        <v>345</v>
      </c>
      <c r="B458" s="278" t="s">
        <v>35</v>
      </c>
      <c r="C458" s="279">
        <f>C456+C457</f>
        <v>58747.105093052305</v>
      </c>
    </row>
    <row r="459" spans="1:8">
      <c r="A459" s="257" t="s">
        <v>305</v>
      </c>
      <c r="B459" s="278" t="s">
        <v>35</v>
      </c>
      <c r="C459" s="279">
        <f>$C$446</f>
        <v>93235.150019192661</v>
      </c>
    </row>
    <row r="460" spans="1:8" ht="14.65" thickBot="1">
      <c r="A460" s="301" t="s">
        <v>66</v>
      </c>
      <c r="B460" s="277" t="s">
        <v>24</v>
      </c>
      <c r="C460" s="303">
        <f>C458/C459</f>
        <v>0.63009610732603616</v>
      </c>
    </row>
    <row r="462" spans="1:8" ht="14.65" thickBot="1">
      <c r="A462" s="79" t="s">
        <v>308</v>
      </c>
    </row>
    <row r="463" spans="1:8" ht="14.65" thickBot="1">
      <c r="A463" s="482"/>
      <c r="B463" s="515" t="s">
        <v>262</v>
      </c>
      <c r="C463" s="516"/>
      <c r="D463" s="516"/>
      <c r="E463" s="516"/>
      <c r="F463" s="517"/>
      <c r="G463" s="1028" t="s">
        <v>263</v>
      </c>
      <c r="H463" s="1031"/>
    </row>
    <row r="464" spans="1:8">
      <c r="A464" s="219" t="s">
        <v>93</v>
      </c>
      <c r="B464" s="377" t="s">
        <v>136</v>
      </c>
      <c r="C464" s="421" t="s">
        <v>618</v>
      </c>
      <c r="D464" s="421" t="s">
        <v>153</v>
      </c>
      <c r="E464" s="421" t="s">
        <v>142</v>
      </c>
      <c r="F464" s="418" t="s">
        <v>309</v>
      </c>
      <c r="G464" s="1026" t="s">
        <v>459</v>
      </c>
      <c r="H464" s="1027"/>
    </row>
    <row r="465" spans="1:8" ht="14.65" thickBot="1">
      <c r="A465" s="220"/>
      <c r="B465" s="586" t="s">
        <v>35</v>
      </c>
      <c r="C465" s="349" t="s">
        <v>35</v>
      </c>
      <c r="D465" s="349" t="s">
        <v>35</v>
      </c>
      <c r="E465" s="349" t="s">
        <v>35</v>
      </c>
      <c r="F465" s="522" t="s">
        <v>35</v>
      </c>
      <c r="G465" s="403" t="s">
        <v>257</v>
      </c>
      <c r="H465" s="155" t="s">
        <v>237</v>
      </c>
    </row>
    <row r="466" spans="1:8">
      <c r="A466" s="148" t="s">
        <v>72</v>
      </c>
      <c r="B466" s="590">
        <f>B381</f>
        <v>666.3155655610467</v>
      </c>
      <c r="C466" s="591">
        <f>C381</f>
        <v>834.75</v>
      </c>
      <c r="D466" s="591">
        <v>0</v>
      </c>
      <c r="E466" s="591">
        <f>B466+C466+D466</f>
        <v>1501.0655655610467</v>
      </c>
      <c r="F466" s="661">
        <f>$C$453</f>
        <v>34488.044926140363</v>
      </c>
      <c r="G466" s="557">
        <f>E466/F466*1000000</f>
        <v>43524.229012567412</v>
      </c>
      <c r="H466" s="460">
        <f>G466/1000000</f>
        <v>4.352422901256741E-2</v>
      </c>
    </row>
    <row r="467" spans="1:8">
      <c r="A467" s="149" t="s">
        <v>73</v>
      </c>
      <c r="B467" s="592">
        <f>B382</f>
        <v>2.9426133924535448E-2</v>
      </c>
      <c r="C467" s="364">
        <f>C382</f>
        <v>0.54249999999999998</v>
      </c>
      <c r="D467" s="364">
        <v>0</v>
      </c>
      <c r="E467" s="364">
        <f t="shared" ref="E467:E480" si="45">B467+C467+D467</f>
        <v>0.5719261339245354</v>
      </c>
      <c r="F467" s="658">
        <f t="shared" ref="F467:F480" si="46">$C$453</f>
        <v>34488.044926140363</v>
      </c>
      <c r="G467" s="558">
        <f t="shared" ref="G467:G479" si="47">E467/F467*1000000</f>
        <v>16.583315614131596</v>
      </c>
      <c r="H467" s="462">
        <f t="shared" ref="H467:H480" si="48">G467/1000000</f>
        <v>1.6583315614131594E-5</v>
      </c>
    </row>
    <row r="468" spans="1:8">
      <c r="A468" s="149" t="s">
        <v>74</v>
      </c>
      <c r="B468" s="592">
        <f t="shared" ref="B468:C475" si="49">B383</f>
        <v>377.93568238997784</v>
      </c>
      <c r="C468" s="364">
        <f t="shared" si="49"/>
        <v>1494.9375</v>
      </c>
      <c r="D468" s="364">
        <v>0</v>
      </c>
      <c r="E468" s="364">
        <f t="shared" si="45"/>
        <v>1872.873182389978</v>
      </c>
      <c r="F468" s="658">
        <f t="shared" si="46"/>
        <v>34488.044926140363</v>
      </c>
      <c r="G468" s="558">
        <f t="shared" si="47"/>
        <v>54304.997178034457</v>
      </c>
      <c r="H468" s="462">
        <f t="shared" si="48"/>
        <v>5.4304997178034456E-2</v>
      </c>
    </row>
    <row r="469" spans="1:8">
      <c r="A469" s="149" t="s">
        <v>75</v>
      </c>
      <c r="B469" s="592">
        <f t="shared" si="49"/>
        <v>1.2297041569947573E-2</v>
      </c>
      <c r="C469" s="364">
        <f t="shared" si="49"/>
        <v>3.85E-2</v>
      </c>
      <c r="D469" s="364">
        <v>0</v>
      </c>
      <c r="E469" s="364">
        <f t="shared" si="45"/>
        <v>5.0797041569947576E-2</v>
      </c>
      <c r="F469" s="658">
        <f t="shared" si="46"/>
        <v>34488.044926140363</v>
      </c>
      <c r="G469" s="558">
        <f t="shared" si="47"/>
        <v>1.4728884075259869</v>
      </c>
      <c r="H469" s="462">
        <f t="shared" si="48"/>
        <v>1.472888407525987E-6</v>
      </c>
    </row>
    <row r="470" spans="1:8">
      <c r="A470" s="149" t="s">
        <v>76</v>
      </c>
      <c r="B470" s="592">
        <f t="shared" si="49"/>
        <v>0.72046112008312513</v>
      </c>
      <c r="C470" s="364">
        <f t="shared" si="49"/>
        <v>1.5925</v>
      </c>
      <c r="D470" s="364">
        <v>0</v>
      </c>
      <c r="E470" s="364">
        <f t="shared" si="45"/>
        <v>2.3129611200831253</v>
      </c>
      <c r="F470" s="658">
        <f t="shared" si="46"/>
        <v>34488.044926140363</v>
      </c>
      <c r="G470" s="558">
        <f t="shared" si="47"/>
        <v>67.065591135611356</v>
      </c>
      <c r="H470" s="462">
        <f t="shared" si="48"/>
        <v>6.7065591135611363E-5</v>
      </c>
    </row>
    <row r="471" spans="1:8">
      <c r="A471" s="150" t="s">
        <v>77</v>
      </c>
      <c r="B471" s="592">
        <f t="shared" si="49"/>
        <v>3.2308479690193792E-2</v>
      </c>
      <c r="C471" s="364">
        <f t="shared" si="49"/>
        <v>11.602499999999999</v>
      </c>
      <c r="D471" s="364">
        <v>0</v>
      </c>
      <c r="E471" s="364">
        <f t="shared" si="45"/>
        <v>11.634808479690193</v>
      </c>
      <c r="F471" s="658">
        <f t="shared" si="46"/>
        <v>34488.044926140363</v>
      </c>
      <c r="G471" s="558">
        <f t="shared" si="47"/>
        <v>337.35772800711993</v>
      </c>
      <c r="H471" s="462">
        <f t="shared" si="48"/>
        <v>3.3735772800711991E-4</v>
      </c>
    </row>
    <row r="472" spans="1:8">
      <c r="A472" s="150" t="s">
        <v>78</v>
      </c>
      <c r="B472" s="592">
        <f t="shared" si="49"/>
        <v>537.22153320060067</v>
      </c>
      <c r="C472" s="364">
        <f t="shared" si="49"/>
        <v>1907.5</v>
      </c>
      <c r="D472" s="364">
        <v>0</v>
      </c>
      <c r="E472" s="364">
        <f t="shared" si="45"/>
        <v>2444.7215332006008</v>
      </c>
      <c r="F472" s="658">
        <f t="shared" si="46"/>
        <v>34488.044926140363</v>
      </c>
      <c r="G472" s="558">
        <f t="shared" si="47"/>
        <v>70886.057427616412</v>
      </c>
      <c r="H472" s="462">
        <f t="shared" si="48"/>
        <v>7.0886057427616417E-2</v>
      </c>
    </row>
    <row r="473" spans="1:8">
      <c r="A473" s="150" t="s">
        <v>79</v>
      </c>
      <c r="B473" s="592">
        <f t="shared" si="49"/>
        <v>110.53064027676692</v>
      </c>
      <c r="C473" s="364">
        <f t="shared" si="49"/>
        <v>164.0625</v>
      </c>
      <c r="D473" s="364">
        <v>0</v>
      </c>
      <c r="E473" s="364">
        <f t="shared" si="45"/>
        <v>274.59314027676692</v>
      </c>
      <c r="F473" s="658">
        <f t="shared" si="46"/>
        <v>34488.044926140363</v>
      </c>
      <c r="G473" s="558">
        <f t="shared" si="47"/>
        <v>7961.980473663727</v>
      </c>
      <c r="H473" s="462">
        <f t="shared" si="48"/>
        <v>7.9619804736637267E-3</v>
      </c>
    </row>
    <row r="474" spans="1:8">
      <c r="A474" s="150" t="s">
        <v>80</v>
      </c>
      <c r="B474" s="592">
        <f t="shared" si="49"/>
        <v>163.34459358633566</v>
      </c>
      <c r="C474" s="364">
        <f t="shared" si="49"/>
        <v>213.35708333333335</v>
      </c>
      <c r="D474" s="364">
        <v>0</v>
      </c>
      <c r="E474" s="364">
        <f t="shared" si="45"/>
        <v>376.70167691966901</v>
      </c>
      <c r="F474" s="658">
        <f t="shared" si="46"/>
        <v>34488.044926140363</v>
      </c>
      <c r="G474" s="558">
        <f t="shared" si="47"/>
        <v>10922.674153504897</v>
      </c>
      <c r="H474" s="462">
        <f t="shared" si="48"/>
        <v>1.0922674153504897E-2</v>
      </c>
    </row>
    <row r="475" spans="1:8">
      <c r="A475" s="150" t="s">
        <v>81</v>
      </c>
      <c r="B475" s="592">
        <f t="shared" si="49"/>
        <v>124.55286379321545</v>
      </c>
      <c r="C475" s="364">
        <f t="shared" si="49"/>
        <v>44.274999999999999</v>
      </c>
      <c r="D475" s="364">
        <v>0</v>
      </c>
      <c r="E475" s="364">
        <f t="shared" si="45"/>
        <v>168.82786379321544</v>
      </c>
      <c r="F475" s="658">
        <f t="shared" si="46"/>
        <v>34488.044926140363</v>
      </c>
      <c r="G475" s="558">
        <f t="shared" si="47"/>
        <v>4895.257593023246</v>
      </c>
      <c r="H475" s="462">
        <f t="shared" si="48"/>
        <v>4.895257593023246E-3</v>
      </c>
    </row>
    <row r="476" spans="1:8">
      <c r="A476" s="150" t="s">
        <v>82</v>
      </c>
      <c r="B476" s="592">
        <f>B391</f>
        <v>0.69202569947098647</v>
      </c>
      <c r="C476" s="364">
        <f>C391</f>
        <v>1.1287499999999999</v>
      </c>
      <c r="D476" s="364">
        <v>0</v>
      </c>
      <c r="E476" s="364">
        <f t="shared" si="45"/>
        <v>1.8207756994709863</v>
      </c>
      <c r="F476" s="658">
        <f t="shared" si="46"/>
        <v>34488.044926140363</v>
      </c>
      <c r="G476" s="558">
        <f t="shared" si="47"/>
        <v>52.794401751979898</v>
      </c>
      <c r="H476" s="462">
        <f t="shared" si="48"/>
        <v>5.2794401751979899E-5</v>
      </c>
    </row>
    <row r="477" spans="1:8">
      <c r="A477" s="350" t="s">
        <v>154</v>
      </c>
      <c r="B477" s="592">
        <f>B394</f>
        <v>4373.9766478159845</v>
      </c>
      <c r="C477" s="364">
        <f>C394</f>
        <v>1237.25</v>
      </c>
      <c r="D477" s="364">
        <f>PP</f>
        <v>113.78880989709312</v>
      </c>
      <c r="E477" s="364">
        <f t="shared" si="45"/>
        <v>5725.0154577130779</v>
      </c>
      <c r="F477" s="658">
        <f t="shared" si="46"/>
        <v>34488.044926140363</v>
      </c>
      <c r="G477" s="597">
        <f t="shared" si="47"/>
        <v>165999.99999923966</v>
      </c>
      <c r="H477" s="583">
        <f t="shared" si="48"/>
        <v>0.16599999999923967</v>
      </c>
    </row>
    <row r="478" spans="1:8">
      <c r="A478" s="398" t="s">
        <v>84</v>
      </c>
      <c r="B478" s="592">
        <f t="shared" ref="B478:C480" si="50">B395</f>
        <v>0.41969875519125721</v>
      </c>
      <c r="C478" s="364">
        <f t="shared" si="50"/>
        <v>2.0474999999999999</v>
      </c>
      <c r="D478" s="364">
        <v>0</v>
      </c>
      <c r="E478" s="364">
        <f t="shared" si="45"/>
        <v>2.4671987551912569</v>
      </c>
      <c r="F478" s="658">
        <f t="shared" si="46"/>
        <v>34488.044926140363</v>
      </c>
      <c r="G478" s="558">
        <f t="shared" si="47"/>
        <v>71.537796951813661</v>
      </c>
      <c r="H478" s="462">
        <f t="shared" si="48"/>
        <v>7.1537796951813668E-5</v>
      </c>
    </row>
    <row r="479" spans="1:8">
      <c r="A479" s="398" t="s">
        <v>85</v>
      </c>
      <c r="B479" s="592">
        <f t="shared" si="50"/>
        <v>0</v>
      </c>
      <c r="C479" s="364">
        <f t="shared" si="50"/>
        <v>102.51305555555555</v>
      </c>
      <c r="D479" s="364">
        <v>0</v>
      </c>
      <c r="E479" s="364">
        <f t="shared" si="45"/>
        <v>102.51305555555555</v>
      </c>
      <c r="F479" s="658">
        <f t="shared" si="46"/>
        <v>34488.044926140363</v>
      </c>
      <c r="G479" s="558">
        <f t="shared" si="47"/>
        <v>2972.4229301805199</v>
      </c>
      <c r="H479" s="462">
        <f t="shared" si="48"/>
        <v>2.97242293018052E-3</v>
      </c>
    </row>
    <row r="480" spans="1:8" ht="14.65" thickBot="1">
      <c r="A480" s="152" t="s">
        <v>86</v>
      </c>
      <c r="B480" s="659">
        <f t="shared" si="50"/>
        <v>0.82012791215341407</v>
      </c>
      <c r="C480" s="379">
        <f t="shared" si="50"/>
        <v>39.549999999999997</v>
      </c>
      <c r="D480" s="379">
        <v>0</v>
      </c>
      <c r="E480" s="379">
        <f t="shared" si="45"/>
        <v>40.370127912153414</v>
      </c>
      <c r="F480" s="660">
        <f t="shared" si="46"/>
        <v>34488.044926140363</v>
      </c>
      <c r="G480" s="559">
        <f>E480/F480*1000000</f>
        <v>1170.5542601388431</v>
      </c>
      <c r="H480" s="464">
        <f t="shared" si="48"/>
        <v>1.1705542601388431E-3</v>
      </c>
    </row>
    <row r="482" spans="1:3">
      <c r="A482" s="1" t="s">
        <v>155</v>
      </c>
      <c r="B482" s="1"/>
      <c r="C482" s="1"/>
    </row>
    <row r="483" spans="1:3" ht="14.65" thickBot="1">
      <c r="A483" s="79" t="s">
        <v>291</v>
      </c>
    </row>
    <row r="484" spans="1:3" ht="14.65" thickBot="1">
      <c r="A484" s="16" t="s">
        <v>53</v>
      </c>
      <c r="B484" s="17" t="s">
        <v>18</v>
      </c>
      <c r="C484" s="249" t="s">
        <v>106</v>
      </c>
    </row>
    <row r="485" spans="1:3" ht="14.65" thickBot="1">
      <c r="A485" s="611" t="s">
        <v>305</v>
      </c>
      <c r="B485" s="612" t="s">
        <v>35</v>
      </c>
      <c r="C485" s="613">
        <f>$C$446</f>
        <v>93235.150019192661</v>
      </c>
    </row>
    <row r="486" spans="1:3">
      <c r="A486" s="78"/>
      <c r="B486" s="685"/>
      <c r="C486" s="686"/>
    </row>
    <row r="487" spans="1:3">
      <c r="A487" s="329" t="s">
        <v>319</v>
      </c>
      <c r="B487" s="685"/>
      <c r="C487" s="686"/>
    </row>
    <row r="489" spans="1:3" ht="14.65" thickBot="1">
      <c r="A489" s="79" t="s">
        <v>292</v>
      </c>
    </row>
    <row r="490" spans="1:3" ht="14.65" thickBot="1">
      <c r="A490" s="191" t="s">
        <v>90</v>
      </c>
      <c r="B490" s="192" t="s">
        <v>18</v>
      </c>
      <c r="C490" s="193" t="s">
        <v>91</v>
      </c>
    </row>
    <row r="491" spans="1:3">
      <c r="A491" s="703" t="s">
        <v>314</v>
      </c>
      <c r="B491" s="692" t="s">
        <v>35</v>
      </c>
      <c r="C491" s="730">
        <f>$C$453</f>
        <v>34488.044926140363</v>
      </c>
    </row>
    <row r="492" spans="1:3">
      <c r="A492" s="232" t="s">
        <v>320</v>
      </c>
      <c r="B492" s="178" t="s">
        <v>237</v>
      </c>
      <c r="C492" s="722">
        <v>0.95</v>
      </c>
    </row>
    <row r="493" spans="1:3">
      <c r="A493" s="720" t="s">
        <v>390</v>
      </c>
      <c r="B493" s="178" t="s">
        <v>35</v>
      </c>
      <c r="C493" s="718">
        <f>C491/C492</f>
        <v>36303.205185410909</v>
      </c>
    </row>
    <row r="494" spans="1:3">
      <c r="A494" s="232" t="s">
        <v>321</v>
      </c>
      <c r="B494" s="178" t="s">
        <v>237</v>
      </c>
      <c r="C494" s="722">
        <f>100%-C492</f>
        <v>5.0000000000000044E-2</v>
      </c>
    </row>
    <row r="495" spans="1:3">
      <c r="A495" s="232" t="s">
        <v>348</v>
      </c>
      <c r="B495" s="178" t="s">
        <v>35</v>
      </c>
      <c r="C495" s="84">
        <f>C493*C494</f>
        <v>1815.1602592705469</v>
      </c>
    </row>
    <row r="496" spans="1:3" ht="14.65" thickBot="1">
      <c r="A496" s="680" t="s">
        <v>391</v>
      </c>
      <c r="B496" s="6" t="s">
        <v>35</v>
      </c>
      <c r="C496" s="671">
        <f>$C$458-C495</f>
        <v>56931.944833781759</v>
      </c>
    </row>
    <row r="498" spans="1:3" ht="14.65" thickBot="1">
      <c r="A498" s="1" t="s">
        <v>401</v>
      </c>
      <c r="B498" s="1"/>
      <c r="C498" s="1"/>
    </row>
    <row r="499" spans="1:3" ht="14.65" thickBot="1">
      <c r="A499" s="9" t="s">
        <v>402</v>
      </c>
      <c r="B499" s="790" t="s">
        <v>297</v>
      </c>
      <c r="C499" s="789" t="s">
        <v>403</v>
      </c>
    </row>
    <row r="500" spans="1:3">
      <c r="A500" s="134" t="s">
        <v>329</v>
      </c>
      <c r="B500" s="793" t="s">
        <v>35</v>
      </c>
      <c r="C500" s="795">
        <f>C26</f>
        <v>5700</v>
      </c>
    </row>
    <row r="501" spans="1:3">
      <c r="A501" s="68" t="s">
        <v>331</v>
      </c>
      <c r="B501" s="105" t="s">
        <v>35</v>
      </c>
      <c r="C501" s="84">
        <f>C30</f>
        <v>43871</v>
      </c>
    </row>
    <row r="502" spans="1:3">
      <c r="A502" s="68" t="s">
        <v>409</v>
      </c>
      <c r="B502" s="105" t="s">
        <v>35</v>
      </c>
      <c r="C502" s="84">
        <f>C31</f>
        <v>10450</v>
      </c>
    </row>
    <row r="503" spans="1:3">
      <c r="A503" s="68" t="s">
        <v>410</v>
      </c>
      <c r="B503" s="105" t="s">
        <v>35</v>
      </c>
      <c r="C503" s="82">
        <f>C35</f>
        <v>26125</v>
      </c>
    </row>
    <row r="504" spans="1:3">
      <c r="A504" s="68" t="s">
        <v>404</v>
      </c>
      <c r="B504" s="105" t="s">
        <v>35</v>
      </c>
      <c r="C504" s="80">
        <f>ISH</f>
        <v>12000</v>
      </c>
    </row>
    <row r="505" spans="1:3">
      <c r="A505" s="68" t="s">
        <v>406</v>
      </c>
      <c r="B505" s="105" t="s">
        <v>35</v>
      </c>
      <c r="C505" s="80">
        <f>TVM</f>
        <v>17500</v>
      </c>
    </row>
    <row r="506" spans="1:3">
      <c r="A506" s="68" t="s">
        <v>405</v>
      </c>
      <c r="B506" s="105" t="s">
        <v>35</v>
      </c>
      <c r="C506" s="80">
        <f>SEF</f>
        <v>7000</v>
      </c>
    </row>
    <row r="507" spans="1:3">
      <c r="A507" s="68" t="s">
        <v>334</v>
      </c>
      <c r="B507" s="105" t="s">
        <v>35</v>
      </c>
      <c r="C507" s="86">
        <f>C123</f>
        <v>1257.7336183123368</v>
      </c>
    </row>
    <row r="508" spans="1:3">
      <c r="A508" s="68" t="s">
        <v>338</v>
      </c>
      <c r="B508" s="105" t="s">
        <v>35</v>
      </c>
      <c r="C508" s="84">
        <f>C236</f>
        <v>28500</v>
      </c>
    </row>
    <row r="509" spans="1:3">
      <c r="A509" s="68" t="s">
        <v>408</v>
      </c>
      <c r="B509" s="105" t="s">
        <v>35</v>
      </c>
      <c r="C509" s="84">
        <f>C412</f>
        <v>359.71946354564921</v>
      </c>
    </row>
    <row r="510" spans="1:3">
      <c r="A510" s="68" t="s">
        <v>411</v>
      </c>
      <c r="B510" s="105" t="s">
        <v>35</v>
      </c>
      <c r="C510" s="84">
        <f>C414</f>
        <v>479.62595139419892</v>
      </c>
    </row>
    <row r="511" spans="1:3">
      <c r="A511" s="794" t="s">
        <v>412</v>
      </c>
      <c r="B511" s="105" t="s">
        <v>35</v>
      </c>
      <c r="C511" s="84">
        <f>C502+C509</f>
        <v>10809.719463545649</v>
      </c>
    </row>
    <row r="512" spans="1:3" ht="14.65" thickBot="1">
      <c r="A512" s="73" t="s">
        <v>407</v>
      </c>
      <c r="B512" s="23" t="s">
        <v>35</v>
      </c>
      <c r="C512" s="237">
        <v>0</v>
      </c>
    </row>
    <row r="514" spans="1:5" ht="14.65" thickBot="1">
      <c r="A514" s="1" t="s">
        <v>235</v>
      </c>
      <c r="B514" s="1"/>
      <c r="C514" s="1"/>
      <c r="D514" s="79"/>
      <c r="E514" s="79"/>
    </row>
    <row r="515" spans="1:5" ht="14.65" thickBot="1">
      <c r="A515" s="512"/>
      <c r="B515" s="249" t="s">
        <v>18</v>
      </c>
      <c r="C515" s="249" t="s">
        <v>234</v>
      </c>
    </row>
    <row r="516" spans="1:5">
      <c r="A516" s="134" t="s">
        <v>392</v>
      </c>
      <c r="B516" s="509" t="s">
        <v>24</v>
      </c>
      <c r="C516" s="248">
        <f>H477*2.291</f>
        <v>0.38030599999825809</v>
      </c>
    </row>
    <row r="517" spans="1:5">
      <c r="A517" s="68" t="s">
        <v>324</v>
      </c>
      <c r="B517" s="510" t="s">
        <v>35</v>
      </c>
      <c r="C517" s="244">
        <f>$C$453</f>
        <v>34488.044926140363</v>
      </c>
    </row>
    <row r="518" spans="1:5">
      <c r="A518" s="68" t="s">
        <v>349</v>
      </c>
      <c r="B518" s="510" t="s">
        <v>35</v>
      </c>
      <c r="C518" s="245">
        <f>C517*C516</f>
        <v>13116.010413620661</v>
      </c>
    </row>
    <row r="519" spans="1:5">
      <c r="A519" s="68" t="s">
        <v>350</v>
      </c>
      <c r="B519" s="510" t="s">
        <v>35</v>
      </c>
      <c r="C519" s="246">
        <f>E469</f>
        <v>5.0797041569947576E-2</v>
      </c>
    </row>
    <row r="520" spans="1:5" ht="14.65" thickBot="1">
      <c r="A520" s="73" t="s">
        <v>351</v>
      </c>
      <c r="B520" s="511" t="s">
        <v>236</v>
      </c>
      <c r="C520" s="931">
        <f>C519/C518*1000000</f>
        <v>3.8729034186490181</v>
      </c>
    </row>
    <row r="521" spans="1:5" ht="14.65" thickBot="1">
      <c r="A521" s="329"/>
    </row>
    <row r="522" spans="1:5" ht="14.65" thickBot="1">
      <c r="A522" s="212"/>
      <c r="B522" s="1010" t="s">
        <v>216</v>
      </c>
      <c r="C522" s="1005" t="s">
        <v>165</v>
      </c>
      <c r="D522" s="1012"/>
    </row>
    <row r="523" spans="1:5">
      <c r="A523" s="487" t="s">
        <v>67</v>
      </c>
      <c r="B523" s="1011"/>
      <c r="C523" s="3" t="s">
        <v>166</v>
      </c>
      <c r="D523" s="15" t="s">
        <v>167</v>
      </c>
    </row>
    <row r="524" spans="1:5" ht="14.65" thickBot="1">
      <c r="A524" s="133" t="s">
        <v>18</v>
      </c>
      <c r="B524" s="610" t="s">
        <v>241</v>
      </c>
      <c r="C524" s="6" t="s">
        <v>70</v>
      </c>
      <c r="D524" s="24" t="s">
        <v>70</v>
      </c>
    </row>
    <row r="525" spans="1:5">
      <c r="A525" s="134" t="s">
        <v>222</v>
      </c>
      <c r="B525" s="684">
        <f>G467</f>
        <v>16.583315614131596</v>
      </c>
      <c r="C525" s="484">
        <f>Rohdaten!$F$12</f>
        <v>40</v>
      </c>
      <c r="D525" s="110">
        <f>Rohdaten!$H$12</f>
        <v>40</v>
      </c>
    </row>
    <row r="526" spans="1:5">
      <c r="A526" s="68" t="s">
        <v>223</v>
      </c>
      <c r="B526" s="929">
        <f>C520</f>
        <v>3.8729034186490181</v>
      </c>
      <c r="C526" s="105" t="str">
        <f>Rohdaten!$F$14</f>
        <v>50mg/kgP2O5</v>
      </c>
      <c r="D526" s="80" t="str">
        <f>Rohdaten!$H$14</f>
        <v>60mg/kgP2O5</v>
      </c>
    </row>
    <row r="527" spans="1:5">
      <c r="A527" s="68" t="s">
        <v>224</v>
      </c>
      <c r="B527" s="606">
        <f>G471</f>
        <v>337.35772800711993</v>
      </c>
      <c r="C527" s="485">
        <f>Rohdaten!$F$16</f>
        <v>900</v>
      </c>
      <c r="D527" s="82">
        <f>Rohdaten!$H$16</f>
        <v>600</v>
      </c>
    </row>
    <row r="528" spans="1:5">
      <c r="A528" s="68" t="s">
        <v>225</v>
      </c>
      <c r="B528" s="606">
        <f>G476</f>
        <v>52.794401751979898</v>
      </c>
      <c r="C528" s="485">
        <f>Rohdaten!$F$21</f>
        <v>80</v>
      </c>
      <c r="D528" s="82">
        <f>Rohdaten!$H$21</f>
        <v>100</v>
      </c>
    </row>
    <row r="529" spans="1:4">
      <c r="A529" s="68" t="s">
        <v>226</v>
      </c>
      <c r="B529" s="607">
        <f>G478</f>
        <v>71.537796951813661</v>
      </c>
      <c r="C529" s="485">
        <f>Rohdaten!$F$23</f>
        <v>150</v>
      </c>
      <c r="D529" s="82">
        <f>Rohdaten!$H$23</f>
        <v>120</v>
      </c>
    </row>
    <row r="530" spans="1:4" ht="14.65" thickBot="1">
      <c r="A530" s="73" t="s">
        <v>227</v>
      </c>
      <c r="B530" s="608">
        <f>G480</f>
        <v>1170.5542601388431</v>
      </c>
      <c r="C530" s="486">
        <f>Rohdaten!$F$25</f>
        <v>5000</v>
      </c>
      <c r="D530" s="237">
        <f>Rohdaten!$H$25</f>
        <v>1500</v>
      </c>
    </row>
  </sheetData>
  <mergeCells count="42">
    <mergeCell ref="B189:F189"/>
    <mergeCell ref="G189:L189"/>
    <mergeCell ref="B79:F79"/>
    <mergeCell ref="G79:L79"/>
    <mergeCell ref="B80:B81"/>
    <mergeCell ref="C80:C81"/>
    <mergeCell ref="D80:D81"/>
    <mergeCell ref="E80:E81"/>
    <mergeCell ref="F80:F81"/>
    <mergeCell ref="G80:H81"/>
    <mergeCell ref="I80:L80"/>
    <mergeCell ref="I81:J81"/>
    <mergeCell ref="K81:L81"/>
    <mergeCell ref="B126:C126"/>
    <mergeCell ref="B127:C127"/>
    <mergeCell ref="E299:F299"/>
    <mergeCell ref="G299:H299"/>
    <mergeCell ref="B190:B191"/>
    <mergeCell ref="C190:C191"/>
    <mergeCell ref="D190:D191"/>
    <mergeCell ref="E190:E191"/>
    <mergeCell ref="F190:F191"/>
    <mergeCell ref="G190:H191"/>
    <mergeCell ref="I190:L190"/>
    <mergeCell ref="I191:J191"/>
    <mergeCell ref="K191:L191"/>
    <mergeCell ref="B298:D298"/>
    <mergeCell ref="E298:H298"/>
    <mergeCell ref="B522:B523"/>
    <mergeCell ref="C522:D522"/>
    <mergeCell ref="E38:F38"/>
    <mergeCell ref="G38:K38"/>
    <mergeCell ref="F379:G379"/>
    <mergeCell ref="D403:E403"/>
    <mergeCell ref="G463:H463"/>
    <mergeCell ref="G464:H464"/>
    <mergeCell ref="B325:D325"/>
    <mergeCell ref="E325:H325"/>
    <mergeCell ref="E326:F326"/>
    <mergeCell ref="G326:H326"/>
    <mergeCell ref="B378:E378"/>
    <mergeCell ref="F378:G378"/>
  </mergeCell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0A093-1BE1-4059-9A85-92CFD3E30F0A}">
  <sheetPr codeName="Tabelle8"/>
  <dimension ref="A1:L649"/>
  <sheetViews>
    <sheetView topLeftCell="A472" zoomScale="70" zoomScaleNormal="70" workbookViewId="0">
      <selection activeCell="A472" sqref="A472"/>
    </sheetView>
  </sheetViews>
  <sheetFormatPr baseColWidth="10" defaultColWidth="8.86328125" defaultRowHeight="14.25"/>
  <cols>
    <col min="1" max="1" width="44.19921875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4.73046875" customWidth="1"/>
    <col min="7" max="7" width="34.59765625" customWidth="1"/>
    <col min="8" max="8" width="32.33203125" customWidth="1"/>
    <col min="9" max="9" width="20.0664062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246</v>
      </c>
    </row>
    <row r="3" spans="1:4">
      <c r="A3" s="91"/>
      <c r="B3" t="s">
        <v>247</v>
      </c>
    </row>
    <row r="5" spans="1:4">
      <c r="A5" s="1" t="s">
        <v>194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"/>
      <c r="B7" s="166" t="s">
        <v>43</v>
      </c>
      <c r="C7" s="189" t="s">
        <v>44</v>
      </c>
      <c r="D7" s="190" t="s">
        <v>45</v>
      </c>
    </row>
    <row r="8" spans="1:4" ht="14.65" thickBot="1">
      <c r="A8" s="5"/>
      <c r="B8" s="6" t="s">
        <v>35</v>
      </c>
      <c r="C8" s="7" t="s">
        <v>35</v>
      </c>
      <c r="D8" s="24" t="s">
        <v>35</v>
      </c>
    </row>
    <row r="9" spans="1:4" ht="14.65" thickBot="1">
      <c r="A9" s="513" t="s">
        <v>347</v>
      </c>
      <c r="B9" s="263">
        <v>17500</v>
      </c>
      <c r="C9" s="603">
        <v>7000</v>
      </c>
      <c r="D9" s="604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164"/>
      <c r="B12" s="192" t="s">
        <v>18</v>
      </c>
      <c r="C12" s="193" t="s">
        <v>48</v>
      </c>
    </row>
    <row r="13" spans="1:4">
      <c r="A13" s="528" t="s">
        <v>353</v>
      </c>
      <c r="B13" s="173" t="s">
        <v>21</v>
      </c>
      <c r="C13" s="518">
        <v>0.35</v>
      </c>
    </row>
    <row r="14" spans="1:4">
      <c r="A14" s="415" t="s">
        <v>346</v>
      </c>
      <c r="B14" s="37" t="s">
        <v>22</v>
      </c>
      <c r="C14" s="529">
        <v>0.752</v>
      </c>
    </row>
    <row r="15" spans="1:4">
      <c r="A15" s="415" t="s">
        <v>332</v>
      </c>
      <c r="B15" s="37" t="s">
        <v>19</v>
      </c>
      <c r="C15" s="529">
        <v>4.5999999999999996</v>
      </c>
    </row>
    <row r="16" spans="1:4" ht="14.65" thickBot="1">
      <c r="A16" s="417" t="s">
        <v>23</v>
      </c>
      <c r="B16" s="215" t="s">
        <v>237</v>
      </c>
      <c r="C16" s="416">
        <v>1.3</v>
      </c>
    </row>
    <row r="17" spans="1:3">
      <c r="A17" s="5"/>
    </row>
    <row r="18" spans="1:3">
      <c r="A18" s="731" t="s">
        <v>325</v>
      </c>
    </row>
    <row r="20" spans="1:3" ht="14.65" thickBot="1">
      <c r="A20" s="79" t="s">
        <v>364</v>
      </c>
    </row>
    <row r="21" spans="1:3" ht="14.65" thickBot="1">
      <c r="A21" s="103" t="s">
        <v>53</v>
      </c>
      <c r="B21" s="192" t="s">
        <v>18</v>
      </c>
      <c r="C21" s="193" t="s">
        <v>54</v>
      </c>
    </row>
    <row r="22" spans="1:3">
      <c r="A22" s="733" t="s">
        <v>55</v>
      </c>
      <c r="B22" s="735" t="s">
        <v>35</v>
      </c>
      <c r="C22" s="736">
        <f>$D$9</f>
        <v>12000</v>
      </c>
    </row>
    <row r="23" spans="1:3" hidden="1">
      <c r="A23" s="679" t="s">
        <v>49</v>
      </c>
      <c r="B23" s="721" t="s">
        <v>21</v>
      </c>
      <c r="C23" s="87">
        <f>$C$13</f>
        <v>0.35</v>
      </c>
    </row>
    <row r="24" spans="1:3">
      <c r="A24" s="232" t="s">
        <v>366</v>
      </c>
      <c r="B24" s="178" t="s">
        <v>35</v>
      </c>
      <c r="C24" s="468">
        <f>C22*WK</f>
        <v>55199.999999999993</v>
      </c>
    </row>
    <row r="25" spans="1:3">
      <c r="A25" s="232" t="s">
        <v>329</v>
      </c>
      <c r="B25" s="178" t="s">
        <v>35</v>
      </c>
      <c r="C25" s="468">
        <f>C22*SSK</f>
        <v>4200</v>
      </c>
    </row>
    <row r="26" spans="1:3" hidden="1">
      <c r="A26" s="232" t="s">
        <v>50</v>
      </c>
      <c r="B26" s="178" t="s">
        <v>35</v>
      </c>
      <c r="C26" s="85">
        <f>$C$14</f>
        <v>0.752</v>
      </c>
    </row>
    <row r="27" spans="1:3">
      <c r="A27" s="232" t="s">
        <v>327</v>
      </c>
      <c r="B27" s="178" t="s">
        <v>237</v>
      </c>
      <c r="C27" s="732">
        <f>C25/(C25+C28)</f>
        <v>9.1575091575091583E-2</v>
      </c>
    </row>
    <row r="28" spans="1:3">
      <c r="A28" s="232" t="s">
        <v>367</v>
      </c>
      <c r="B28" s="178" t="s">
        <v>35</v>
      </c>
      <c r="C28" s="468">
        <f>C24-C33</f>
        <v>41663.999999999993</v>
      </c>
    </row>
    <row r="29" spans="1:3">
      <c r="A29" s="720" t="s">
        <v>331</v>
      </c>
      <c r="B29" s="724" t="s">
        <v>35</v>
      </c>
      <c r="C29" s="737">
        <f>C25+C28</f>
        <v>45863.999999999993</v>
      </c>
    </row>
    <row r="30" spans="1:3" hidden="1">
      <c r="A30" s="232" t="s">
        <v>51</v>
      </c>
      <c r="B30" s="178" t="s">
        <v>35</v>
      </c>
      <c r="C30" s="468">
        <f>$C$15</f>
        <v>4.5999999999999996</v>
      </c>
    </row>
    <row r="31" spans="1:3">
      <c r="A31" s="734" t="s">
        <v>428</v>
      </c>
      <c r="B31" s="178" t="s">
        <v>35</v>
      </c>
      <c r="C31" s="468">
        <f>C22*PSK</f>
        <v>9024</v>
      </c>
    </row>
    <row r="32" spans="1:3">
      <c r="A32" s="734" t="s">
        <v>326</v>
      </c>
      <c r="B32" s="37" t="s">
        <v>237</v>
      </c>
      <c r="C32" s="732">
        <v>0.4</v>
      </c>
    </row>
    <row r="33" spans="1:3">
      <c r="A33" s="734" t="s">
        <v>426</v>
      </c>
      <c r="B33" s="178" t="s">
        <v>35</v>
      </c>
      <c r="C33" s="468">
        <f>C31/C32*(1-C32)</f>
        <v>13536</v>
      </c>
    </row>
    <row r="34" spans="1:3" ht="14.65" thickBot="1">
      <c r="A34" s="680" t="s">
        <v>427</v>
      </c>
      <c r="B34" s="694" t="s">
        <v>35</v>
      </c>
      <c r="C34" s="738">
        <f>C31+C33</f>
        <v>22560</v>
      </c>
    </row>
    <row r="35" spans="1:3" hidden="1">
      <c r="A35" s="83"/>
      <c r="B35" s="77"/>
      <c r="C35" s="95"/>
    </row>
    <row r="36" spans="1:3" ht="14.65" hidden="1" thickBot="1">
      <c r="A36" s="79" t="s">
        <v>56</v>
      </c>
      <c r="B36" s="79"/>
      <c r="C36" s="79"/>
    </row>
    <row r="37" spans="1:3" ht="14.65" hidden="1" thickBot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8" t="s">
        <v>35</v>
      </c>
      <c r="C38" s="294">
        <f>$C$22</f>
        <v>12000</v>
      </c>
    </row>
    <row r="39" spans="1:3" hidden="1">
      <c r="A39" s="257" t="s">
        <v>32</v>
      </c>
      <c r="B39" s="278" t="s">
        <v>35</v>
      </c>
      <c r="C39" s="295">
        <f>$C$25</f>
        <v>4200</v>
      </c>
    </row>
    <row r="40" spans="1:3" hidden="1">
      <c r="A40" s="257" t="s">
        <v>33</v>
      </c>
      <c r="B40" s="278" t="s">
        <v>35</v>
      </c>
      <c r="C40" s="295">
        <f>$C$31</f>
        <v>9024</v>
      </c>
    </row>
    <row r="41" spans="1:3" hidden="1">
      <c r="A41" s="257" t="s">
        <v>57</v>
      </c>
      <c r="B41" s="278" t="s">
        <v>35</v>
      </c>
      <c r="C41" s="279">
        <f>C38+C39+C40</f>
        <v>25224</v>
      </c>
    </row>
    <row r="42" spans="1:3" hidden="1">
      <c r="A42" s="257" t="s">
        <v>212</v>
      </c>
      <c r="B42" s="278" t="s">
        <v>35</v>
      </c>
      <c r="C42" s="279">
        <f>$C$22+$C$25+$C$31+$C$24</f>
        <v>80424</v>
      </c>
    </row>
    <row r="43" spans="1:3" hidden="1">
      <c r="A43" s="299" t="s">
        <v>59</v>
      </c>
      <c r="B43" s="260" t="s">
        <v>24</v>
      </c>
      <c r="C43" s="300">
        <f>C41/C42</f>
        <v>0.31363772008355717</v>
      </c>
    </row>
    <row r="44" spans="1:3" hidden="1">
      <c r="A44" s="257" t="s">
        <v>34</v>
      </c>
      <c r="B44" s="278" t="s">
        <v>35</v>
      </c>
      <c r="C44" s="279">
        <f>$C$24</f>
        <v>55199.999999999993</v>
      </c>
    </row>
    <row r="45" spans="1:3" hidden="1">
      <c r="A45" s="257" t="s">
        <v>60</v>
      </c>
      <c r="B45" s="278" t="s">
        <v>35</v>
      </c>
      <c r="C45" s="279">
        <f>C44</f>
        <v>55199.999999999993</v>
      </c>
    </row>
    <row r="46" spans="1:3" hidden="1">
      <c r="A46" s="257" t="s">
        <v>212</v>
      </c>
      <c r="B46" s="278" t="s">
        <v>35</v>
      </c>
      <c r="C46" s="279">
        <f>$C$22+$C$25+$C$31+$C$24</f>
        <v>80424</v>
      </c>
    </row>
    <row r="47" spans="1:3" ht="14.65" hidden="1" thickBot="1">
      <c r="A47" s="301" t="s">
        <v>61</v>
      </c>
      <c r="B47" s="277" t="s">
        <v>24</v>
      </c>
      <c r="C47" s="303">
        <f>C44/C46</f>
        <v>0.68636227991644272</v>
      </c>
    </row>
    <row r="48" spans="1:3" hidden="1"/>
    <row r="49" spans="1:6" ht="14.65" hidden="1" thickBot="1">
      <c r="A49" s="79" t="s">
        <v>47</v>
      </c>
      <c r="B49" s="79"/>
      <c r="C49" s="79"/>
    </row>
    <row r="50" spans="1:6" ht="14.65" hidden="1" thickBot="1">
      <c r="A50" s="18" t="s">
        <v>53</v>
      </c>
      <c r="B50" s="104" t="s">
        <v>18</v>
      </c>
      <c r="C50" s="15" t="s">
        <v>54</v>
      </c>
    </row>
    <row r="51" spans="1:6" hidden="1">
      <c r="A51" s="272" t="s">
        <v>55</v>
      </c>
      <c r="B51" s="298" t="s">
        <v>35</v>
      </c>
      <c r="C51" s="294">
        <f>$C$22</f>
        <v>12000</v>
      </c>
    </row>
    <row r="52" spans="1:6" hidden="1">
      <c r="A52" s="257" t="s">
        <v>32</v>
      </c>
      <c r="B52" s="278" t="s">
        <v>35</v>
      </c>
      <c r="C52" s="295">
        <f>$C$25</f>
        <v>4200</v>
      </c>
    </row>
    <row r="53" spans="1:6" hidden="1">
      <c r="A53" s="257" t="s">
        <v>33</v>
      </c>
      <c r="B53" s="278" t="s">
        <v>35</v>
      </c>
      <c r="C53" s="295">
        <f>$C$31</f>
        <v>9024</v>
      </c>
    </row>
    <row r="54" spans="1:6" hidden="1">
      <c r="A54" s="257" t="s">
        <v>430</v>
      </c>
      <c r="B54" s="278" t="s">
        <v>35</v>
      </c>
      <c r="C54" s="279">
        <f>C51+C52+C53</f>
        <v>25224</v>
      </c>
    </row>
    <row r="55" spans="1:6" hidden="1">
      <c r="A55" s="257" t="s">
        <v>58</v>
      </c>
      <c r="B55" s="278" t="s">
        <v>35</v>
      </c>
      <c r="C55" s="279">
        <f>$C$22+$C$25+$C$31+$C$24</f>
        <v>80424</v>
      </c>
    </row>
    <row r="56" spans="1:6" hidden="1">
      <c r="A56" s="299" t="s">
        <v>64</v>
      </c>
      <c r="B56" s="260" t="s">
        <v>24</v>
      </c>
      <c r="C56" s="300">
        <f>C54/C88</f>
        <v>0.31363772008355717</v>
      </c>
    </row>
    <row r="57" spans="1:6" hidden="1">
      <c r="A57" s="257" t="s">
        <v>34</v>
      </c>
      <c r="B57" s="278" t="s">
        <v>35</v>
      </c>
      <c r="C57" s="279">
        <f>$C$24</f>
        <v>55199.999999999993</v>
      </c>
    </row>
    <row r="58" spans="1:6" hidden="1">
      <c r="A58" s="257" t="s">
        <v>65</v>
      </c>
      <c r="B58" s="278" t="s">
        <v>35</v>
      </c>
      <c r="C58" s="279">
        <f>C44</f>
        <v>55199.999999999993</v>
      </c>
    </row>
    <row r="59" spans="1:6" hidden="1">
      <c r="A59" s="257" t="s">
        <v>58</v>
      </c>
      <c r="B59" s="278" t="s">
        <v>35</v>
      </c>
      <c r="C59" s="279">
        <f>$C$22+$C$25+$C$31+$C$24</f>
        <v>80424</v>
      </c>
    </row>
    <row r="60" spans="1:6" ht="14.65" hidden="1" thickBot="1">
      <c r="A60" s="301" t="s">
        <v>66</v>
      </c>
      <c r="B60" s="277" t="s">
        <v>24</v>
      </c>
      <c r="C60" s="303">
        <f>C58/C88</f>
        <v>0.68636227991644272</v>
      </c>
    </row>
    <row r="62" spans="1:6" ht="14.65" thickBot="1">
      <c r="A62" s="183" t="s">
        <v>303</v>
      </c>
    </row>
    <row r="63" spans="1:6" ht="14.65" thickBot="1">
      <c r="A63" s="410"/>
      <c r="B63" s="164"/>
      <c r="C63" s="514" t="s">
        <v>263</v>
      </c>
      <c r="D63" s="1043" t="s">
        <v>262</v>
      </c>
      <c r="E63" s="1044"/>
      <c r="F63" s="1045"/>
    </row>
    <row r="64" spans="1:6">
      <c r="A64" s="115"/>
      <c r="B64" s="537" t="s">
        <v>88</v>
      </c>
      <c r="C64" s="532" t="s">
        <v>45</v>
      </c>
      <c r="D64" s="521" t="s">
        <v>69</v>
      </c>
      <c r="E64" s="266" t="s">
        <v>253</v>
      </c>
      <c r="F64" s="275" t="s">
        <v>255</v>
      </c>
    </row>
    <row r="65" spans="1:6" ht="14.65" thickBot="1">
      <c r="A65" s="93" t="s">
        <v>93</v>
      </c>
      <c r="B65" s="538" t="s">
        <v>24</v>
      </c>
      <c r="C65" s="533" t="s">
        <v>71</v>
      </c>
      <c r="D65" s="530" t="s">
        <v>35</v>
      </c>
      <c r="E65" s="153" t="s">
        <v>35</v>
      </c>
      <c r="F65" s="155" t="s">
        <v>35</v>
      </c>
    </row>
    <row r="66" spans="1:6">
      <c r="A66" s="184" t="s">
        <v>72</v>
      </c>
      <c r="B66" s="539">
        <v>0.49581277015207331</v>
      </c>
      <c r="C66" s="534">
        <v>39002</v>
      </c>
      <c r="D66" s="531">
        <f t="shared" ref="D66:D80" si="0">$D$9*C66/1000000</f>
        <v>468.024</v>
      </c>
      <c r="E66" s="459">
        <f>B66*D66</f>
        <v>232.05227593765397</v>
      </c>
      <c r="F66" s="467">
        <f>D66*(1-B66)</f>
        <v>235.97172406234603</v>
      </c>
    </row>
    <row r="67" spans="1:6">
      <c r="A67" s="185" t="s">
        <v>73</v>
      </c>
      <c r="B67" s="448">
        <v>0.64604483147685132</v>
      </c>
      <c r="C67" s="535">
        <v>28.6</v>
      </c>
      <c r="D67" s="473">
        <f t="shared" si="0"/>
        <v>0.34320000000000001</v>
      </c>
      <c r="E67" s="461">
        <f t="shared" ref="E67:E80" si="1">B67*D67</f>
        <v>0.22172258616285537</v>
      </c>
      <c r="F67" s="468">
        <f t="shared" ref="F67:F80" si="2">D67*(1-B67)</f>
        <v>0.12147741383714462</v>
      </c>
    </row>
    <row r="68" spans="1:6">
      <c r="A68" s="186" t="s">
        <v>74</v>
      </c>
      <c r="B68" s="448">
        <v>4.6723284921341562E-2</v>
      </c>
      <c r="C68" s="535">
        <v>159000</v>
      </c>
      <c r="D68" s="473">
        <f t="shared" si="0"/>
        <v>1908</v>
      </c>
      <c r="E68" s="461">
        <f t="shared" si="1"/>
        <v>89.148027629919696</v>
      </c>
      <c r="F68" s="468">
        <f t="shared" si="2"/>
        <v>1818.8519723700801</v>
      </c>
    </row>
    <row r="69" spans="1:6">
      <c r="A69" s="186" t="s">
        <v>75</v>
      </c>
      <c r="B69" s="448" t="s">
        <v>89</v>
      </c>
      <c r="C69" s="535">
        <v>3.5</v>
      </c>
      <c r="D69" s="473">
        <f t="shared" si="0"/>
        <v>4.2000000000000003E-2</v>
      </c>
      <c r="E69" s="461" t="s">
        <v>89</v>
      </c>
      <c r="F69" s="468" t="s">
        <v>89</v>
      </c>
    </row>
    <row r="70" spans="1:6">
      <c r="A70" s="186" t="s">
        <v>76</v>
      </c>
      <c r="B70" s="448">
        <v>0.32505086138689049</v>
      </c>
      <c r="C70" s="535">
        <v>136</v>
      </c>
      <c r="D70" s="473">
        <f t="shared" si="0"/>
        <v>1.6319999999999999</v>
      </c>
      <c r="E70" s="461">
        <f t="shared" si="1"/>
        <v>0.53048300578340524</v>
      </c>
      <c r="F70" s="468">
        <f t="shared" si="2"/>
        <v>1.1015169942165945</v>
      </c>
    </row>
    <row r="71" spans="1:6">
      <c r="A71" s="186" t="s">
        <v>77</v>
      </c>
      <c r="B71" s="448">
        <v>0.48306260870554757</v>
      </c>
      <c r="C71" s="535">
        <v>656</v>
      </c>
      <c r="D71" s="473">
        <f t="shared" si="0"/>
        <v>7.8719999999999999</v>
      </c>
      <c r="E71" s="461">
        <f t="shared" si="1"/>
        <v>3.8026688557300705</v>
      </c>
      <c r="F71" s="468">
        <f t="shared" si="2"/>
        <v>4.0693311442699294</v>
      </c>
    </row>
    <row r="72" spans="1:6">
      <c r="A72" s="186" t="s">
        <v>78</v>
      </c>
      <c r="B72" s="448">
        <v>0.36735199523911072</v>
      </c>
      <c r="C72" s="535">
        <v>87577</v>
      </c>
      <c r="D72" s="473">
        <f t="shared" si="0"/>
        <v>1050.924</v>
      </c>
      <c r="E72" s="461">
        <f t="shared" si="1"/>
        <v>386.05902824466716</v>
      </c>
      <c r="F72" s="468">
        <f t="shared" si="2"/>
        <v>664.86497175533282</v>
      </c>
    </row>
    <row r="73" spans="1:6">
      <c r="A73" s="186" t="s">
        <v>79</v>
      </c>
      <c r="B73" s="448">
        <v>0.49823336750346425</v>
      </c>
      <c r="C73" s="535">
        <v>8230</v>
      </c>
      <c r="D73" s="473">
        <f t="shared" si="0"/>
        <v>98.76</v>
      </c>
      <c r="E73" s="461">
        <f t="shared" si="1"/>
        <v>49.205527374642131</v>
      </c>
      <c r="F73" s="468">
        <f t="shared" si="2"/>
        <v>49.554472625357874</v>
      </c>
    </row>
    <row r="74" spans="1:6">
      <c r="A74" s="186" t="s">
        <v>80</v>
      </c>
      <c r="B74" s="448">
        <v>0.46239635875199658</v>
      </c>
      <c r="C74" s="535">
        <v>12900</v>
      </c>
      <c r="D74" s="473">
        <f t="shared" si="0"/>
        <v>154.80000000000001</v>
      </c>
      <c r="E74" s="461">
        <f t="shared" si="1"/>
        <v>71.578956334809078</v>
      </c>
      <c r="F74" s="468">
        <f t="shared" si="2"/>
        <v>83.221043665190933</v>
      </c>
    </row>
    <row r="75" spans="1:6">
      <c r="A75" s="186" t="s">
        <v>81</v>
      </c>
      <c r="B75" s="448">
        <v>0.49109210326131381</v>
      </c>
      <c r="C75" s="535">
        <v>8100</v>
      </c>
      <c r="D75" s="473">
        <f t="shared" si="0"/>
        <v>97.2</v>
      </c>
      <c r="E75" s="461">
        <f t="shared" si="1"/>
        <v>47.7341524369997</v>
      </c>
      <c r="F75" s="468">
        <f t="shared" si="2"/>
        <v>49.465847563000303</v>
      </c>
    </row>
    <row r="76" spans="1:6">
      <c r="A76" s="186" t="s">
        <v>82</v>
      </c>
      <c r="B76" s="448">
        <v>0.46588060588402253</v>
      </c>
      <c r="C76" s="535">
        <v>125</v>
      </c>
      <c r="D76" s="473">
        <f t="shared" si="0"/>
        <v>1.5</v>
      </c>
      <c r="E76" s="461">
        <f t="shared" si="1"/>
        <v>0.69882090882603376</v>
      </c>
      <c r="F76" s="468">
        <f t="shared" si="2"/>
        <v>0.80117909117396613</v>
      </c>
    </row>
    <row r="77" spans="1:6">
      <c r="A77" s="186" t="s">
        <v>83</v>
      </c>
      <c r="B77" s="448" t="s">
        <v>89</v>
      </c>
      <c r="C77" s="535">
        <v>81618</v>
      </c>
      <c r="D77" s="473">
        <f t="shared" si="0"/>
        <v>979.41600000000005</v>
      </c>
      <c r="E77" s="461" t="s">
        <v>89</v>
      </c>
      <c r="F77" s="468" t="s">
        <v>89</v>
      </c>
    </row>
    <row r="78" spans="1:6">
      <c r="A78" s="186" t="s">
        <v>84</v>
      </c>
      <c r="B78" s="448">
        <v>7.283795820739794E-2</v>
      </c>
      <c r="C78" s="535">
        <v>124</v>
      </c>
      <c r="D78" s="473">
        <f t="shared" si="0"/>
        <v>1.488</v>
      </c>
      <c r="E78" s="461">
        <f t="shared" si="1"/>
        <v>0.10838288181260813</v>
      </c>
      <c r="F78" s="468">
        <f t="shared" si="2"/>
        <v>1.379617118187392</v>
      </c>
    </row>
    <row r="79" spans="1:6">
      <c r="A79" s="186" t="s">
        <v>85</v>
      </c>
      <c r="B79" s="448" t="s">
        <v>89</v>
      </c>
      <c r="C79" s="535">
        <v>18900</v>
      </c>
      <c r="D79" s="473">
        <f t="shared" si="0"/>
        <v>226.8</v>
      </c>
      <c r="E79" s="461" t="s">
        <v>89</v>
      </c>
      <c r="F79" s="578" t="s">
        <v>89</v>
      </c>
    </row>
    <row r="80" spans="1:6" ht="14.65" thickBot="1">
      <c r="A80" s="187" t="s">
        <v>86</v>
      </c>
      <c r="B80" s="449">
        <v>0.38109725899798313</v>
      </c>
      <c r="C80" s="536">
        <v>2353</v>
      </c>
      <c r="D80" s="474">
        <f t="shared" si="0"/>
        <v>28.236000000000001</v>
      </c>
      <c r="E80" s="463">
        <f t="shared" si="1"/>
        <v>10.760662205067051</v>
      </c>
      <c r="F80" s="469">
        <f t="shared" si="2"/>
        <v>17.475337794932951</v>
      </c>
    </row>
    <row r="82" spans="1:3" ht="14.65" thickBot="1">
      <c r="A82" s="79" t="s">
        <v>368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C22</f>
        <v>12000</v>
      </c>
    </row>
    <row r="85" spans="1:3">
      <c r="A85" s="815" t="s">
        <v>366</v>
      </c>
      <c r="B85" s="278" t="s">
        <v>35</v>
      </c>
      <c r="C85" s="297">
        <f>C24</f>
        <v>55199.999999999993</v>
      </c>
    </row>
    <row r="86" spans="1:3">
      <c r="A86" s="257" t="s">
        <v>329</v>
      </c>
      <c r="B86" s="278" t="s">
        <v>35</v>
      </c>
      <c r="C86" s="289">
        <f>C25</f>
        <v>4200</v>
      </c>
    </row>
    <row r="87" spans="1:3">
      <c r="A87" s="257" t="s">
        <v>428</v>
      </c>
      <c r="B87" s="278" t="s">
        <v>35</v>
      </c>
      <c r="C87" s="289">
        <f>C31</f>
        <v>9024</v>
      </c>
    </row>
    <row r="88" spans="1:3" ht="14.65" thickBot="1">
      <c r="A88" s="255" t="s">
        <v>4</v>
      </c>
      <c r="B88" s="271" t="s">
        <v>35</v>
      </c>
      <c r="C88" s="256">
        <f>C84+C85+C86+C87</f>
        <v>80424</v>
      </c>
    </row>
    <row r="90" spans="1:3" hidden="1"/>
    <row r="91" spans="1:3" ht="14.65" hidden="1" thickBot="1">
      <c r="A91" s="79" t="s">
        <v>56</v>
      </c>
      <c r="B91" s="79"/>
      <c r="C91" s="79"/>
    </row>
    <row r="92" spans="1:3" ht="14.65" hidden="1" thickBot="1">
      <c r="A92" s="103" t="s">
        <v>90</v>
      </c>
      <c r="B92" s="102" t="s">
        <v>18</v>
      </c>
      <c r="C92" s="17" t="s">
        <v>91</v>
      </c>
    </row>
    <row r="93" spans="1:3" hidden="1">
      <c r="A93" s="272" t="s">
        <v>55</v>
      </c>
      <c r="B93" s="298" t="s">
        <v>35</v>
      </c>
      <c r="C93" s="294">
        <f>$C$22</f>
        <v>12000</v>
      </c>
    </row>
    <row r="94" spans="1:3" hidden="1">
      <c r="A94" s="257" t="s">
        <v>87</v>
      </c>
      <c r="B94" s="278" t="s">
        <v>35</v>
      </c>
      <c r="C94" s="295">
        <f>SUM($E$66:$E$80)</f>
        <v>891.90070840207386</v>
      </c>
    </row>
    <row r="95" spans="1:3" hidden="1">
      <c r="A95" s="257" t="s">
        <v>57</v>
      </c>
      <c r="B95" s="278" t="s">
        <v>35</v>
      </c>
      <c r="C95" s="279">
        <f>C93-C94</f>
        <v>11108.099291597926</v>
      </c>
    </row>
    <row r="96" spans="1:3" hidden="1">
      <c r="A96" s="257" t="s">
        <v>4</v>
      </c>
      <c r="B96" s="278" t="s">
        <v>35</v>
      </c>
      <c r="C96" s="279">
        <f>$C$88</f>
        <v>80424</v>
      </c>
    </row>
    <row r="97" spans="1:3" hidden="1">
      <c r="A97" s="299" t="s">
        <v>59</v>
      </c>
      <c r="B97" s="260" t="s">
        <v>24</v>
      </c>
      <c r="C97" s="300">
        <f>C95/C96</f>
        <v>0.13811920933549596</v>
      </c>
    </row>
    <row r="98" spans="1:3" hidden="1">
      <c r="A98" s="257" t="s">
        <v>34</v>
      </c>
      <c r="B98" s="278" t="s">
        <v>35</v>
      </c>
      <c r="C98" s="279">
        <f>$C$24</f>
        <v>55199.999999999993</v>
      </c>
    </row>
    <row r="99" spans="1:3" hidden="1">
      <c r="A99" s="257" t="s">
        <v>32</v>
      </c>
      <c r="B99" s="278" t="s">
        <v>35</v>
      </c>
      <c r="C99" s="295">
        <f>$C$25</f>
        <v>4200</v>
      </c>
    </row>
    <row r="100" spans="1:3" hidden="1">
      <c r="A100" s="257" t="s">
        <v>33</v>
      </c>
      <c r="B100" s="278" t="s">
        <v>35</v>
      </c>
      <c r="C100" s="295">
        <f>$C$31</f>
        <v>9024</v>
      </c>
    </row>
    <row r="101" spans="1:3" hidden="1">
      <c r="A101" s="257" t="s">
        <v>87</v>
      </c>
      <c r="B101" s="278" t="s">
        <v>35</v>
      </c>
      <c r="C101" s="295">
        <f>SUM($E$66:$E$80)</f>
        <v>891.90070840207386</v>
      </c>
    </row>
    <row r="102" spans="1:3" hidden="1">
      <c r="A102" s="257" t="s">
        <v>60</v>
      </c>
      <c r="B102" s="278" t="s">
        <v>35</v>
      </c>
      <c r="C102" s="279">
        <f>SUM(C98:C101)</f>
        <v>69315.90070840207</v>
      </c>
    </row>
    <row r="103" spans="1:3" hidden="1">
      <c r="A103" s="257" t="s">
        <v>4</v>
      </c>
      <c r="B103" s="278" t="s">
        <v>35</v>
      </c>
      <c r="C103" s="279">
        <f>$C$88</f>
        <v>80424</v>
      </c>
    </row>
    <row r="104" spans="1:3" ht="14.65" hidden="1" thickBot="1">
      <c r="A104" s="301" t="s">
        <v>61</v>
      </c>
      <c r="B104" s="277" t="s">
        <v>24</v>
      </c>
      <c r="C104" s="303">
        <f>C102/C103</f>
        <v>0.86188079066450396</v>
      </c>
    </row>
    <row r="105" spans="1:3" hidden="1">
      <c r="A105" s="83"/>
      <c r="B105" s="77"/>
      <c r="C105" s="96"/>
    </row>
    <row r="106" spans="1:3" ht="14.65" thickBot="1">
      <c r="A106" s="79" t="s">
        <v>278</v>
      </c>
      <c r="B106" s="79"/>
      <c r="C106" s="79"/>
    </row>
    <row r="107" spans="1:3" ht="14.65" thickBot="1">
      <c r="A107" s="103" t="s">
        <v>90</v>
      </c>
      <c r="B107" s="102" t="s">
        <v>18</v>
      </c>
      <c r="C107" s="17" t="s">
        <v>91</v>
      </c>
    </row>
    <row r="108" spans="1:3">
      <c r="A108" s="272" t="s">
        <v>301</v>
      </c>
      <c r="B108" s="298" t="s">
        <v>35</v>
      </c>
      <c r="C108" s="294">
        <f>$C$22</f>
        <v>12000</v>
      </c>
    </row>
    <row r="109" spans="1:3">
      <c r="A109" s="257" t="s">
        <v>329</v>
      </c>
      <c r="B109" s="278" t="s">
        <v>35</v>
      </c>
      <c r="C109" s="295">
        <f>C25</f>
        <v>4200</v>
      </c>
    </row>
    <row r="110" spans="1:3">
      <c r="A110" s="257" t="s">
        <v>428</v>
      </c>
      <c r="B110" s="278" t="s">
        <v>35</v>
      </c>
      <c r="C110" s="295">
        <f>C31</f>
        <v>9024</v>
      </c>
    </row>
    <row r="111" spans="1:3">
      <c r="A111" s="257" t="s">
        <v>336</v>
      </c>
      <c r="B111" s="278" t="s">
        <v>35</v>
      </c>
      <c r="C111" s="279">
        <f>C108+C109+C110</f>
        <v>25224</v>
      </c>
    </row>
    <row r="112" spans="1:3">
      <c r="A112" s="257" t="s">
        <v>4</v>
      </c>
      <c r="B112" s="278" t="s">
        <v>35</v>
      </c>
      <c r="C112" s="279">
        <f>C88</f>
        <v>80424</v>
      </c>
    </row>
    <row r="113" spans="1:12">
      <c r="A113" s="299" t="s">
        <v>64</v>
      </c>
      <c r="B113" s="260" t="s">
        <v>24</v>
      </c>
      <c r="C113" s="300">
        <f>C111/C112</f>
        <v>0.31363772008355717</v>
      </c>
    </row>
    <row r="114" spans="1:12">
      <c r="A114" s="257" t="s">
        <v>366</v>
      </c>
      <c r="B114" s="278" t="s">
        <v>35</v>
      </c>
      <c r="C114" s="279">
        <f>C24</f>
        <v>55199.999999999993</v>
      </c>
    </row>
    <row r="115" spans="1:12">
      <c r="A115" s="257" t="s">
        <v>333</v>
      </c>
      <c r="B115" s="278" t="s">
        <v>35</v>
      </c>
      <c r="C115" s="279">
        <f>C114</f>
        <v>55199.999999999993</v>
      </c>
    </row>
    <row r="116" spans="1:12">
      <c r="A116" s="257" t="s">
        <v>4</v>
      </c>
      <c r="B116" s="278" t="s">
        <v>35</v>
      </c>
      <c r="C116" s="279">
        <f>$C$88</f>
        <v>80424</v>
      </c>
    </row>
    <row r="117" spans="1:12" ht="14.65" thickBot="1">
      <c r="A117" s="301" t="s">
        <v>66</v>
      </c>
      <c r="B117" s="277" t="s">
        <v>24</v>
      </c>
      <c r="C117" s="303">
        <f>C115/C116</f>
        <v>0.68636227991644272</v>
      </c>
    </row>
    <row r="118" spans="1:12">
      <c r="A118" s="83"/>
      <c r="B118" s="77"/>
      <c r="C118" s="96"/>
    </row>
    <row r="119" spans="1:12" ht="14.65" thickBot="1">
      <c r="A119" s="79" t="s">
        <v>92</v>
      </c>
    </row>
    <row r="120" spans="1:12" ht="14.65" thickBot="1">
      <c r="A120" s="419"/>
      <c r="B120" s="1062" t="s">
        <v>262</v>
      </c>
      <c r="C120" s="1063"/>
      <c r="D120" s="1063"/>
      <c r="E120" s="1063"/>
      <c r="F120" s="1064"/>
      <c r="G120" s="1062" t="s">
        <v>263</v>
      </c>
      <c r="H120" s="1063"/>
      <c r="I120" s="1063"/>
      <c r="J120" s="1063"/>
      <c r="K120" s="1063"/>
      <c r="L120" s="1066"/>
    </row>
    <row r="121" spans="1:12">
      <c r="A121" s="452"/>
      <c r="B121" s="1024" t="s">
        <v>270</v>
      </c>
      <c r="C121" s="1041" t="s">
        <v>243</v>
      </c>
      <c r="D121" s="1041" t="s">
        <v>256</v>
      </c>
      <c r="E121" s="1041" t="s">
        <v>336</v>
      </c>
      <c r="F121" s="1083" t="s">
        <v>266</v>
      </c>
      <c r="G121" s="1022" t="s">
        <v>269</v>
      </c>
      <c r="H121" s="1023"/>
      <c r="I121" s="1085" t="s">
        <v>267</v>
      </c>
      <c r="J121" s="1032"/>
      <c r="K121" s="1032"/>
      <c r="L121" s="1023"/>
    </row>
    <row r="122" spans="1:12">
      <c r="A122" s="219" t="s">
        <v>93</v>
      </c>
      <c r="B122" s="1067"/>
      <c r="C122" s="1042"/>
      <c r="D122" s="1042"/>
      <c r="E122" s="1042"/>
      <c r="F122" s="1084"/>
      <c r="G122" s="1033"/>
      <c r="H122" s="1035"/>
      <c r="I122" s="1086" t="s">
        <v>243</v>
      </c>
      <c r="J122" s="1034"/>
      <c r="K122" s="1034" t="s">
        <v>256</v>
      </c>
      <c r="L122" s="1035"/>
    </row>
    <row r="123" spans="1:12" ht="14.65" thickBot="1">
      <c r="A123" s="220" t="s">
        <v>18</v>
      </c>
      <c r="B123" s="403" t="s">
        <v>35</v>
      </c>
      <c r="C123" s="154" t="s">
        <v>35</v>
      </c>
      <c r="D123" s="154" t="s">
        <v>35</v>
      </c>
      <c r="E123" s="154" t="s">
        <v>35</v>
      </c>
      <c r="F123" s="423" t="s">
        <v>35</v>
      </c>
      <c r="G123" s="403" t="s">
        <v>257</v>
      </c>
      <c r="H123" s="155" t="s">
        <v>237</v>
      </c>
      <c r="I123" s="153" t="s">
        <v>70</v>
      </c>
      <c r="J123" s="154" t="s">
        <v>237</v>
      </c>
      <c r="K123" s="154" t="s">
        <v>70</v>
      </c>
      <c r="L123" s="155" t="s">
        <v>237</v>
      </c>
    </row>
    <row r="124" spans="1:12">
      <c r="A124" s="148" t="s">
        <v>72</v>
      </c>
      <c r="B124" s="540">
        <f t="shared" ref="B124:D126" si="3">D66</f>
        <v>468.024</v>
      </c>
      <c r="C124" s="428">
        <f t="shared" si="3"/>
        <v>232.05227593765397</v>
      </c>
      <c r="D124" s="428">
        <f t="shared" si="3"/>
        <v>235.97172406234603</v>
      </c>
      <c r="E124" s="428">
        <f>$C$111</f>
        <v>25224</v>
      </c>
      <c r="F124" s="545">
        <f>$C$88</f>
        <v>80424</v>
      </c>
      <c r="G124" s="548">
        <f t="shared" ref="G124:G144" si="4">B124/E124*1000000</f>
        <v>18554.709800190296</v>
      </c>
      <c r="H124" s="433">
        <f>G124/1000000</f>
        <v>1.8554709800190295E-2</v>
      </c>
      <c r="I124" s="551">
        <f t="shared" ref="I124:I144" si="5">C124/F124*1000000</f>
        <v>2885.3610357312991</v>
      </c>
      <c r="J124" s="432">
        <f>I124/1000000</f>
        <v>2.8853610357312989E-3</v>
      </c>
      <c r="K124" s="431">
        <f t="shared" ref="K124:K144" si="6">D124/F124*1000000</f>
        <v>2934.0958428124195</v>
      </c>
      <c r="L124" s="433">
        <f>K124/1000000</f>
        <v>2.9340958428124195E-3</v>
      </c>
    </row>
    <row r="125" spans="1:12">
      <c r="A125" s="149" t="s">
        <v>73</v>
      </c>
      <c r="B125" s="541">
        <f t="shared" si="3"/>
        <v>0.34320000000000001</v>
      </c>
      <c r="C125" s="235">
        <f t="shared" si="3"/>
        <v>0.22172258616285537</v>
      </c>
      <c r="D125" s="235">
        <f t="shared" si="3"/>
        <v>0.12147741383714462</v>
      </c>
      <c r="E125" s="235">
        <f t="shared" ref="E125:E144" si="7">$C$111</f>
        <v>25224</v>
      </c>
      <c r="F125" s="546">
        <f t="shared" ref="F125:F144" si="8">$C$88</f>
        <v>80424</v>
      </c>
      <c r="G125" s="549">
        <f t="shared" si="4"/>
        <v>13.606089438629876</v>
      </c>
      <c r="H125" s="434">
        <f t="shared" ref="H125:H144" si="9">G125/1000000</f>
        <v>1.3606089438629876E-5</v>
      </c>
      <c r="I125" s="552">
        <f t="shared" si="5"/>
        <v>2.7569206476033941</v>
      </c>
      <c r="J125" s="427">
        <f t="shared" ref="J125:J144" si="10">I125/1000000</f>
        <v>2.7569206476033939E-6</v>
      </c>
      <c r="K125" s="426">
        <f t="shared" si="6"/>
        <v>1.5104622231814462</v>
      </c>
      <c r="L125" s="434">
        <f t="shared" ref="L125:L144" si="11">K125/1000000</f>
        <v>1.5104622231814462E-6</v>
      </c>
    </row>
    <row r="126" spans="1:12">
      <c r="A126" s="149" t="s">
        <v>74</v>
      </c>
      <c r="B126" s="541">
        <f t="shared" si="3"/>
        <v>1908</v>
      </c>
      <c r="C126" s="235">
        <f t="shared" si="3"/>
        <v>89.148027629919696</v>
      </c>
      <c r="D126" s="235">
        <f t="shared" si="3"/>
        <v>1818.8519723700801</v>
      </c>
      <c r="E126" s="235">
        <f t="shared" si="7"/>
        <v>25224</v>
      </c>
      <c r="F126" s="546">
        <f t="shared" si="8"/>
        <v>80424</v>
      </c>
      <c r="G126" s="549">
        <f t="shared" si="4"/>
        <v>75642.245480494763</v>
      </c>
      <c r="H126" s="434">
        <f t="shared" si="9"/>
        <v>7.5642245480494766E-2</v>
      </c>
      <c r="I126" s="552">
        <f t="shared" si="5"/>
        <v>1108.4754256182196</v>
      </c>
      <c r="J126" s="427">
        <f t="shared" si="10"/>
        <v>1.1084754256182195E-3</v>
      </c>
      <c r="K126" s="426">
        <f t="shared" si="6"/>
        <v>22615.785988884913</v>
      </c>
      <c r="L126" s="434">
        <f t="shared" si="11"/>
        <v>2.2615785988884911E-2</v>
      </c>
    </row>
    <row r="127" spans="1:12">
      <c r="A127" s="149" t="s">
        <v>354</v>
      </c>
      <c r="B127" s="541">
        <f t="shared" ref="B127:B135" si="12">D69</f>
        <v>4.2000000000000003E-2</v>
      </c>
      <c r="C127" s="235" t="s">
        <v>89</v>
      </c>
      <c r="D127" s="235" t="s">
        <v>89</v>
      </c>
      <c r="E127" s="235">
        <f t="shared" si="7"/>
        <v>25224</v>
      </c>
      <c r="F127" s="546">
        <f t="shared" si="8"/>
        <v>80424</v>
      </c>
      <c r="G127" s="549">
        <f t="shared" si="4"/>
        <v>1.6650808753568032</v>
      </c>
      <c r="H127" s="434">
        <f t="shared" si="9"/>
        <v>1.6650808753568032E-6</v>
      </c>
      <c r="I127" s="552" t="s">
        <v>89</v>
      </c>
      <c r="J127" s="427" t="s">
        <v>89</v>
      </c>
      <c r="K127" s="426" t="s">
        <v>89</v>
      </c>
      <c r="L127" s="434" t="s">
        <v>89</v>
      </c>
    </row>
    <row r="128" spans="1:12">
      <c r="A128" s="149" t="s">
        <v>76</v>
      </c>
      <c r="B128" s="541">
        <f t="shared" si="12"/>
        <v>1.6319999999999999</v>
      </c>
      <c r="C128" s="235">
        <f t="shared" ref="C128:D134" si="13">E70</f>
        <v>0.53048300578340524</v>
      </c>
      <c r="D128" s="235">
        <f t="shared" si="13"/>
        <v>1.1015169942165945</v>
      </c>
      <c r="E128" s="235">
        <f t="shared" si="7"/>
        <v>25224</v>
      </c>
      <c r="F128" s="546">
        <f t="shared" si="8"/>
        <v>80424</v>
      </c>
      <c r="G128" s="549">
        <f t="shared" si="4"/>
        <v>64.700285442435771</v>
      </c>
      <c r="H128" s="434">
        <f t="shared" si="9"/>
        <v>6.4700285442435775E-5</v>
      </c>
      <c r="I128" s="552">
        <f t="shared" si="5"/>
        <v>6.5960783570004633</v>
      </c>
      <c r="J128" s="427">
        <f t="shared" si="10"/>
        <v>6.5960783570004629E-6</v>
      </c>
      <c r="K128" s="426">
        <f t="shared" si="6"/>
        <v>13.696371657920453</v>
      </c>
      <c r="L128" s="434">
        <f t="shared" si="11"/>
        <v>1.3696371657920454E-5</v>
      </c>
    </row>
    <row r="129" spans="1:12">
      <c r="A129" s="150" t="s">
        <v>77</v>
      </c>
      <c r="B129" s="541">
        <f t="shared" si="12"/>
        <v>7.8719999999999999</v>
      </c>
      <c r="C129" s="235">
        <f t="shared" si="13"/>
        <v>3.8026688557300705</v>
      </c>
      <c r="D129" s="235">
        <f t="shared" si="13"/>
        <v>4.0693311442699294</v>
      </c>
      <c r="E129" s="235">
        <f t="shared" si="7"/>
        <v>25224</v>
      </c>
      <c r="F129" s="546">
        <f t="shared" si="8"/>
        <v>80424</v>
      </c>
      <c r="G129" s="549">
        <f t="shared" si="4"/>
        <v>312.0837297811608</v>
      </c>
      <c r="H129" s="434">
        <f t="shared" si="9"/>
        <v>3.120837297811608E-4</v>
      </c>
      <c r="I129" s="552">
        <f t="shared" si="5"/>
        <v>47.282762057719964</v>
      </c>
      <c r="J129" s="427">
        <f t="shared" si="10"/>
        <v>4.7282762057719966E-5</v>
      </c>
      <c r="K129" s="426">
        <f t="shared" si="6"/>
        <v>50.598467426016235</v>
      </c>
      <c r="L129" s="434">
        <f t="shared" si="11"/>
        <v>5.0598467426016234E-5</v>
      </c>
    </row>
    <row r="130" spans="1:12">
      <c r="A130" s="150" t="s">
        <v>78</v>
      </c>
      <c r="B130" s="541">
        <f t="shared" si="12"/>
        <v>1050.924</v>
      </c>
      <c r="C130" s="235">
        <f t="shared" si="13"/>
        <v>386.05902824466716</v>
      </c>
      <c r="D130" s="235">
        <f t="shared" si="13"/>
        <v>664.86497175533282</v>
      </c>
      <c r="E130" s="235">
        <f t="shared" si="7"/>
        <v>25224</v>
      </c>
      <c r="F130" s="546">
        <f t="shared" si="8"/>
        <v>80424</v>
      </c>
      <c r="G130" s="549">
        <f t="shared" si="4"/>
        <v>41663.653663177924</v>
      </c>
      <c r="H130" s="434">
        <f t="shared" si="9"/>
        <v>4.1663653663177924E-2</v>
      </c>
      <c r="I130" s="552">
        <f t="shared" si="5"/>
        <v>4800.296282759713</v>
      </c>
      <c r="J130" s="427">
        <f t="shared" si="10"/>
        <v>4.8002962827597131E-3</v>
      </c>
      <c r="K130" s="426">
        <f t="shared" si="6"/>
        <v>8266.997062510356</v>
      </c>
      <c r="L130" s="434">
        <f t="shared" si="11"/>
        <v>8.2669970625103562E-3</v>
      </c>
    </row>
    <row r="131" spans="1:12">
      <c r="A131" s="150" t="s">
        <v>79</v>
      </c>
      <c r="B131" s="541">
        <f t="shared" si="12"/>
        <v>98.76</v>
      </c>
      <c r="C131" s="235">
        <f t="shared" si="13"/>
        <v>49.205527374642131</v>
      </c>
      <c r="D131" s="235">
        <f t="shared" si="13"/>
        <v>49.554472625357874</v>
      </c>
      <c r="E131" s="235">
        <f t="shared" si="7"/>
        <v>25224</v>
      </c>
      <c r="F131" s="546">
        <f t="shared" si="8"/>
        <v>80424</v>
      </c>
      <c r="G131" s="549">
        <f t="shared" si="4"/>
        <v>3915.3187440532824</v>
      </c>
      <c r="H131" s="434">
        <f t="shared" si="9"/>
        <v>3.9153187440532826E-3</v>
      </c>
      <c r="I131" s="552">
        <f t="shared" si="5"/>
        <v>611.82641219837524</v>
      </c>
      <c r="J131" s="427">
        <f t="shared" si="10"/>
        <v>6.1182641219837525E-4</v>
      </c>
      <c r="K131" s="426">
        <f t="shared" si="6"/>
        <v>616.16523208691285</v>
      </c>
      <c r="L131" s="434">
        <f t="shared" si="11"/>
        <v>6.1616523208691285E-4</v>
      </c>
    </row>
    <row r="132" spans="1:12">
      <c r="A132" s="150" t="s">
        <v>80</v>
      </c>
      <c r="B132" s="541">
        <f t="shared" si="12"/>
        <v>154.80000000000001</v>
      </c>
      <c r="C132" s="235">
        <f t="shared" si="13"/>
        <v>71.578956334809078</v>
      </c>
      <c r="D132" s="235">
        <f t="shared" si="13"/>
        <v>83.221043665190933</v>
      </c>
      <c r="E132" s="235">
        <f t="shared" si="7"/>
        <v>25224</v>
      </c>
      <c r="F132" s="546">
        <f t="shared" si="8"/>
        <v>80424</v>
      </c>
      <c r="G132" s="549">
        <f t="shared" si="4"/>
        <v>6137.0123691722174</v>
      </c>
      <c r="H132" s="434">
        <f t="shared" si="9"/>
        <v>6.1370123691722178E-3</v>
      </c>
      <c r="I132" s="552">
        <f t="shared" si="5"/>
        <v>890.01984898549028</v>
      </c>
      <c r="J132" s="427">
        <f t="shared" si="10"/>
        <v>8.9001984898549023E-4</v>
      </c>
      <c r="K132" s="426">
        <f t="shared" si="6"/>
        <v>1034.7787186062733</v>
      </c>
      <c r="L132" s="434">
        <f t="shared" si="11"/>
        <v>1.0347787186062733E-3</v>
      </c>
    </row>
    <row r="133" spans="1:12">
      <c r="A133" s="150" t="s">
        <v>81</v>
      </c>
      <c r="B133" s="541">
        <f t="shared" si="12"/>
        <v>97.2</v>
      </c>
      <c r="C133" s="235">
        <f t="shared" si="13"/>
        <v>47.7341524369997</v>
      </c>
      <c r="D133" s="235">
        <f t="shared" si="13"/>
        <v>49.465847563000303</v>
      </c>
      <c r="E133" s="235">
        <f t="shared" si="7"/>
        <v>25224</v>
      </c>
      <c r="F133" s="546">
        <f t="shared" si="8"/>
        <v>80424</v>
      </c>
      <c r="G133" s="549">
        <f t="shared" si="4"/>
        <v>3853.4728829686014</v>
      </c>
      <c r="H133" s="434">
        <f t="shared" si="9"/>
        <v>3.8534728829686016E-3</v>
      </c>
      <c r="I133" s="552">
        <f t="shared" si="5"/>
        <v>593.53119015467655</v>
      </c>
      <c r="J133" s="427">
        <f t="shared" si="10"/>
        <v>5.9353119015467652E-4</v>
      </c>
      <c r="K133" s="426">
        <f t="shared" si="6"/>
        <v>615.06325926340776</v>
      </c>
      <c r="L133" s="434">
        <f t="shared" si="11"/>
        <v>6.1506325926340773E-4</v>
      </c>
    </row>
    <row r="134" spans="1:12">
      <c r="A134" s="150" t="s">
        <v>82</v>
      </c>
      <c r="B134" s="541">
        <f t="shared" si="12"/>
        <v>1.5</v>
      </c>
      <c r="C134" s="235">
        <f t="shared" si="13"/>
        <v>0.69882090882603376</v>
      </c>
      <c r="D134" s="235">
        <f t="shared" si="13"/>
        <v>0.80117909117396613</v>
      </c>
      <c r="E134" s="235">
        <f t="shared" si="7"/>
        <v>25224</v>
      </c>
      <c r="F134" s="546">
        <f t="shared" si="8"/>
        <v>80424</v>
      </c>
      <c r="G134" s="549">
        <f t="shared" si="4"/>
        <v>59.467174119885826</v>
      </c>
      <c r="H134" s="434">
        <f t="shared" si="9"/>
        <v>5.9467174119885826E-5</v>
      </c>
      <c r="I134" s="552">
        <f t="shared" si="5"/>
        <v>8.6892085549840061</v>
      </c>
      <c r="J134" s="427">
        <f t="shared" si="10"/>
        <v>8.6892085549840067E-6</v>
      </c>
      <c r="K134" s="426">
        <f t="shared" si="6"/>
        <v>9.9619403557888955</v>
      </c>
      <c r="L134" s="434">
        <f t="shared" si="11"/>
        <v>9.9619403557888962E-6</v>
      </c>
    </row>
    <row r="135" spans="1:12">
      <c r="A135" s="150" t="s">
        <v>213</v>
      </c>
      <c r="B135" s="541">
        <f t="shared" si="12"/>
        <v>979.41600000000005</v>
      </c>
      <c r="C135" s="235" t="s">
        <v>89</v>
      </c>
      <c r="D135" s="235" t="s">
        <v>89</v>
      </c>
      <c r="E135" s="235">
        <f t="shared" si="7"/>
        <v>25224</v>
      </c>
      <c r="F135" s="546">
        <f t="shared" si="8"/>
        <v>80424</v>
      </c>
      <c r="G135" s="549">
        <f t="shared" si="4"/>
        <v>38828.734538534736</v>
      </c>
      <c r="H135" s="434">
        <f t="shared" si="9"/>
        <v>3.8828734538534734E-2</v>
      </c>
      <c r="I135" s="552" t="s">
        <v>89</v>
      </c>
      <c r="J135" s="426" t="s">
        <v>89</v>
      </c>
      <c r="K135" s="426" t="s">
        <v>89</v>
      </c>
      <c r="L135" s="544" t="s">
        <v>89</v>
      </c>
    </row>
    <row r="136" spans="1:12">
      <c r="A136" s="150" t="s">
        <v>96</v>
      </c>
      <c r="B136" s="541">
        <f>$C$31*31/98</f>
        <v>2854.5306122448978</v>
      </c>
      <c r="C136" s="235">
        <f>B136</f>
        <v>2854.5306122448978</v>
      </c>
      <c r="D136" s="235">
        <v>0</v>
      </c>
      <c r="E136" s="235">
        <f t="shared" si="7"/>
        <v>25224</v>
      </c>
      <c r="F136" s="546">
        <f t="shared" si="8"/>
        <v>80424</v>
      </c>
      <c r="G136" s="549">
        <f t="shared" si="4"/>
        <v>113167.24596594108</v>
      </c>
      <c r="H136" s="434">
        <f t="shared" si="9"/>
        <v>0.11316724596594108</v>
      </c>
      <c r="I136" s="552">
        <f t="shared" si="5"/>
        <v>35493.517012892888</v>
      </c>
      <c r="J136" s="427">
        <f t="shared" si="10"/>
        <v>3.549351701289289E-2</v>
      </c>
      <c r="K136" s="426">
        <f t="shared" si="6"/>
        <v>0</v>
      </c>
      <c r="L136" s="434">
        <f t="shared" si="11"/>
        <v>0</v>
      </c>
    </row>
    <row r="137" spans="1:12">
      <c r="A137" s="150" t="s">
        <v>97</v>
      </c>
      <c r="B137" s="541">
        <f>B135+B136</f>
        <v>3833.946612244898</v>
      </c>
      <c r="C137" s="235" t="s">
        <v>89</v>
      </c>
      <c r="D137" s="235" t="s">
        <v>89</v>
      </c>
      <c r="E137" s="235">
        <f t="shared" si="7"/>
        <v>25224</v>
      </c>
      <c r="F137" s="546">
        <f t="shared" si="8"/>
        <v>80424</v>
      </c>
      <c r="G137" s="549">
        <f t="shared" si="4"/>
        <v>151995.98050447583</v>
      </c>
      <c r="H137" s="434">
        <f t="shared" si="9"/>
        <v>0.15199598050447582</v>
      </c>
      <c r="I137" s="552" t="s">
        <v>89</v>
      </c>
      <c r="J137" s="426" t="s">
        <v>89</v>
      </c>
      <c r="K137" s="426" t="s">
        <v>89</v>
      </c>
      <c r="L137" s="544" t="s">
        <v>89</v>
      </c>
    </row>
    <row r="138" spans="1:12">
      <c r="A138" s="151" t="s">
        <v>84</v>
      </c>
      <c r="B138" s="541">
        <f>D78</f>
        <v>1.488</v>
      </c>
      <c r="C138" s="235">
        <f>E78</f>
        <v>0.10838288181260813</v>
      </c>
      <c r="D138" s="235">
        <f>F78</f>
        <v>1.379617118187392</v>
      </c>
      <c r="E138" s="235">
        <f t="shared" si="7"/>
        <v>25224</v>
      </c>
      <c r="F138" s="546">
        <f t="shared" si="8"/>
        <v>80424</v>
      </c>
      <c r="G138" s="549">
        <f t="shared" si="4"/>
        <v>58.991436726926736</v>
      </c>
      <c r="H138" s="434">
        <f t="shared" si="9"/>
        <v>5.8991436726926736E-5</v>
      </c>
      <c r="I138" s="552">
        <f>C138/F138*1000000</f>
        <v>1.3476435120437698</v>
      </c>
      <c r="J138" s="427">
        <f>I138/1000000</f>
        <v>1.3476435120437697E-6</v>
      </c>
      <c r="K138" s="426">
        <f t="shared" si="6"/>
        <v>17.15429620744295</v>
      </c>
      <c r="L138" s="434">
        <f t="shared" si="11"/>
        <v>1.7154296207442951E-5</v>
      </c>
    </row>
    <row r="139" spans="1:12">
      <c r="A139" s="151" t="s">
        <v>249</v>
      </c>
      <c r="B139" s="541">
        <f>D79</f>
        <v>226.8</v>
      </c>
      <c r="C139" s="235">
        <v>0</v>
      </c>
      <c r="D139" s="235">
        <f>D79</f>
        <v>226.8</v>
      </c>
      <c r="E139" s="235">
        <f t="shared" si="7"/>
        <v>25224</v>
      </c>
      <c r="F139" s="546">
        <f t="shared" si="8"/>
        <v>80424</v>
      </c>
      <c r="G139" s="549">
        <f t="shared" si="4"/>
        <v>8991.4367269267368</v>
      </c>
      <c r="H139" s="434">
        <f t="shared" si="9"/>
        <v>8.991436726926736E-3</v>
      </c>
      <c r="I139" s="552">
        <f>C139/F139*1000000</f>
        <v>0</v>
      </c>
      <c r="J139" s="427">
        <f>I139/1000000</f>
        <v>0</v>
      </c>
      <c r="K139" s="426">
        <f t="shared" si="6"/>
        <v>2820.053715308863</v>
      </c>
      <c r="L139" s="434">
        <f t="shared" si="11"/>
        <v>2.8200537153088632E-3</v>
      </c>
    </row>
    <row r="140" spans="1:12">
      <c r="A140" s="151" t="s">
        <v>250</v>
      </c>
      <c r="B140" s="541">
        <f>C25*32/98</f>
        <v>1371.4285714285713</v>
      </c>
      <c r="C140" s="235">
        <v>0</v>
      </c>
      <c r="D140" s="235">
        <f>B140</f>
        <v>1371.4285714285713</v>
      </c>
      <c r="E140" s="235">
        <f t="shared" si="7"/>
        <v>25224</v>
      </c>
      <c r="F140" s="546">
        <f t="shared" si="8"/>
        <v>80424</v>
      </c>
      <c r="G140" s="549">
        <f t="shared" si="4"/>
        <v>54369.987766752747</v>
      </c>
      <c r="H140" s="434">
        <f t="shared" si="9"/>
        <v>5.4369987766752746E-2</v>
      </c>
      <c r="I140" s="552">
        <f t="shared" si="5"/>
        <v>0</v>
      </c>
      <c r="J140" s="427">
        <f t="shared" si="10"/>
        <v>0</v>
      </c>
      <c r="K140" s="426">
        <f t="shared" si="6"/>
        <v>17052.479004135224</v>
      </c>
      <c r="L140" s="434">
        <f t="shared" si="11"/>
        <v>1.7052479004135226E-2</v>
      </c>
    </row>
    <row r="141" spans="1:12">
      <c r="A141" s="151" t="s">
        <v>251</v>
      </c>
      <c r="B141" s="541">
        <f>B139+B140</f>
        <v>1598.2285714285713</v>
      </c>
      <c r="C141" s="235">
        <v>0</v>
      </c>
      <c r="D141" s="235">
        <f>D139+D140</f>
        <v>1598.2285714285713</v>
      </c>
      <c r="E141" s="235">
        <f t="shared" si="7"/>
        <v>25224</v>
      </c>
      <c r="F141" s="546">
        <f t="shared" si="8"/>
        <v>80424</v>
      </c>
      <c r="G141" s="549">
        <f t="shared" si="4"/>
        <v>63361.424493679486</v>
      </c>
      <c r="H141" s="434">
        <f t="shared" si="9"/>
        <v>6.3361424493679486E-2</v>
      </c>
      <c r="I141" s="552">
        <f t="shared" si="5"/>
        <v>0</v>
      </c>
      <c r="J141" s="427">
        <f t="shared" si="10"/>
        <v>0</v>
      </c>
      <c r="K141" s="426">
        <f t="shared" si="6"/>
        <v>19872.532719444087</v>
      </c>
      <c r="L141" s="434">
        <f t="shared" si="11"/>
        <v>1.9872532719444086E-2</v>
      </c>
    </row>
    <row r="142" spans="1:12">
      <c r="A142" s="151" t="s">
        <v>238</v>
      </c>
      <c r="B142" s="541">
        <f>B141/32*96</f>
        <v>4794.6857142857134</v>
      </c>
      <c r="C142" s="235">
        <v>0</v>
      </c>
      <c r="D142" s="235">
        <f>D141/32*96</f>
        <v>4794.6857142857134</v>
      </c>
      <c r="E142" s="235">
        <f t="shared" si="7"/>
        <v>25224</v>
      </c>
      <c r="F142" s="546">
        <f t="shared" si="8"/>
        <v>80424</v>
      </c>
      <c r="G142" s="549">
        <f t="shared" si="4"/>
        <v>190084.27348103843</v>
      </c>
      <c r="H142" s="434">
        <f t="shared" si="9"/>
        <v>0.19008427348103843</v>
      </c>
      <c r="I142" s="552">
        <f t="shared" si="5"/>
        <v>0</v>
      </c>
      <c r="J142" s="427">
        <f t="shared" si="10"/>
        <v>0</v>
      </c>
      <c r="K142" s="426">
        <f t="shared" si="6"/>
        <v>59617.598158332257</v>
      </c>
      <c r="L142" s="434">
        <f t="shared" si="11"/>
        <v>5.9617598158332258E-2</v>
      </c>
    </row>
    <row r="143" spans="1:12">
      <c r="A143" s="151" t="s">
        <v>239</v>
      </c>
      <c r="B143" s="541">
        <f>B141/32*136</f>
        <v>6792.4714285714281</v>
      </c>
      <c r="C143" s="235">
        <v>0</v>
      </c>
      <c r="D143" s="235">
        <f>D141/32*136</f>
        <v>6792.4714285714281</v>
      </c>
      <c r="E143" s="235">
        <f t="shared" si="7"/>
        <v>25224</v>
      </c>
      <c r="F143" s="546">
        <f t="shared" si="8"/>
        <v>80424</v>
      </c>
      <c r="G143" s="549">
        <f t="shared" si="4"/>
        <v>269286.05409813783</v>
      </c>
      <c r="H143" s="434">
        <f t="shared" si="9"/>
        <v>0.26928605409813783</v>
      </c>
      <c r="I143" s="552">
        <f t="shared" si="5"/>
        <v>0</v>
      </c>
      <c r="J143" s="427">
        <f t="shared" si="10"/>
        <v>0</v>
      </c>
      <c r="K143" s="426">
        <f t="shared" si="6"/>
        <v>84458.264057637367</v>
      </c>
      <c r="L143" s="434">
        <f t="shared" si="11"/>
        <v>8.4458264057637372E-2</v>
      </c>
    </row>
    <row r="144" spans="1:12" ht="14.65" thickBot="1">
      <c r="A144" s="152" t="s">
        <v>86</v>
      </c>
      <c r="B144" s="542">
        <f>D80</f>
        <v>28.236000000000001</v>
      </c>
      <c r="C144" s="236">
        <f>E80</f>
        <v>10.760662205067051</v>
      </c>
      <c r="D144" s="236">
        <f>F80</f>
        <v>17.475337794932951</v>
      </c>
      <c r="E144" s="236">
        <f t="shared" si="7"/>
        <v>25224</v>
      </c>
      <c r="F144" s="547">
        <f t="shared" si="8"/>
        <v>80424</v>
      </c>
      <c r="G144" s="550">
        <f t="shared" si="4"/>
        <v>1119.4100856327307</v>
      </c>
      <c r="H144" s="439">
        <f t="shared" si="9"/>
        <v>1.1194100856327307E-3</v>
      </c>
      <c r="I144" s="552">
        <f t="shared" si="5"/>
        <v>133.79914211015432</v>
      </c>
      <c r="J144" s="427">
        <f t="shared" si="10"/>
        <v>1.3379914211015433E-4</v>
      </c>
      <c r="K144" s="437">
        <f t="shared" si="6"/>
        <v>217.29008498623486</v>
      </c>
      <c r="L144" s="439">
        <f t="shared" si="11"/>
        <v>2.1729008498623485E-4</v>
      </c>
    </row>
    <row r="145" spans="1:3">
      <c r="A145" s="145"/>
      <c r="B145" s="146"/>
      <c r="C145" s="95"/>
    </row>
    <row r="146" spans="1:3">
      <c r="A146" s="1" t="s">
        <v>196</v>
      </c>
      <c r="B146" s="1"/>
      <c r="C146" s="1"/>
    </row>
    <row r="147" spans="1:3" ht="14.65" thickBot="1">
      <c r="A147" s="79" t="s">
        <v>365</v>
      </c>
    </row>
    <row r="148" spans="1:3" ht="14.65" thickBot="1">
      <c r="A148" s="453" t="s">
        <v>26</v>
      </c>
      <c r="B148" s="454" t="s">
        <v>27</v>
      </c>
      <c r="C148" s="455" t="s">
        <v>355</v>
      </c>
    </row>
    <row r="149" spans="1:3" ht="14.65" thickBot="1">
      <c r="A149" s="456">
        <v>0.63122277535780957</v>
      </c>
      <c r="B149" s="457">
        <v>0.36877722464219037</v>
      </c>
      <c r="C149" s="458">
        <v>0.59499999999999997</v>
      </c>
    </row>
    <row r="151" spans="1:3" ht="14.65" thickBot="1">
      <c r="A151" s="79" t="s">
        <v>287</v>
      </c>
    </row>
    <row r="152" spans="1:3">
      <c r="A152" s="18" t="s">
        <v>53</v>
      </c>
      <c r="B152" s="104" t="s">
        <v>18</v>
      </c>
      <c r="C152" s="15" t="s">
        <v>106</v>
      </c>
    </row>
    <row r="153" spans="1:3" ht="14.65" thickBot="1">
      <c r="A153" s="93" t="s">
        <v>4</v>
      </c>
      <c r="B153" s="271" t="s">
        <v>35</v>
      </c>
      <c r="C153" s="384">
        <f>C88</f>
        <v>80424</v>
      </c>
    </row>
    <row r="154" spans="1:3" hidden="1">
      <c r="A154" s="83"/>
      <c r="B154" s="77"/>
      <c r="C154" s="95"/>
    </row>
    <row r="155" spans="1:3" ht="14.65" hidden="1" thickBot="1">
      <c r="A155" s="79" t="s">
        <v>56</v>
      </c>
      <c r="B155" s="79"/>
      <c r="C155" s="79"/>
    </row>
    <row r="156" spans="1:3" ht="14.65" hidden="1" thickBot="1">
      <c r="A156" s="103" t="s">
        <v>53</v>
      </c>
      <c r="B156" s="102" t="s">
        <v>18</v>
      </c>
      <c r="C156" s="17" t="s">
        <v>91</v>
      </c>
    </row>
    <row r="157" spans="1:3" hidden="1">
      <c r="A157" s="272" t="s">
        <v>55</v>
      </c>
      <c r="B157" s="298" t="s">
        <v>35</v>
      </c>
      <c r="C157" s="294">
        <f>$C$22</f>
        <v>12000</v>
      </c>
    </row>
    <row r="158" spans="1:3" hidden="1">
      <c r="A158" s="257" t="s">
        <v>87</v>
      </c>
      <c r="B158" s="278" t="s">
        <v>35</v>
      </c>
      <c r="C158" s="295">
        <f>SUM($E$66:$E$80)</f>
        <v>891.90070840207386</v>
      </c>
    </row>
    <row r="159" spans="1:3" hidden="1">
      <c r="A159" s="257" t="s">
        <v>57</v>
      </c>
      <c r="B159" s="278" t="s">
        <v>35</v>
      </c>
      <c r="C159" s="279">
        <f>C157-C158</f>
        <v>11108.099291597926</v>
      </c>
    </row>
    <row r="160" spans="1:3" hidden="1">
      <c r="A160" s="257" t="s">
        <v>4</v>
      </c>
      <c r="B160" s="278" t="s">
        <v>35</v>
      </c>
      <c r="C160" s="279">
        <f>$C$88</f>
        <v>80424</v>
      </c>
    </row>
    <row r="161" spans="1:3" hidden="1">
      <c r="A161" s="299" t="s">
        <v>59</v>
      </c>
      <c r="B161" s="260" t="s">
        <v>24</v>
      </c>
      <c r="C161" s="300">
        <f>C159/C160</f>
        <v>0.13811920933549596</v>
      </c>
    </row>
    <row r="162" spans="1:3" hidden="1">
      <c r="A162" s="257" t="s">
        <v>34</v>
      </c>
      <c r="B162" s="278" t="s">
        <v>35</v>
      </c>
      <c r="C162" s="279">
        <f>$C$24</f>
        <v>55199.999999999993</v>
      </c>
    </row>
    <row r="163" spans="1:3" hidden="1">
      <c r="A163" s="257" t="s">
        <v>32</v>
      </c>
      <c r="B163" s="278" t="s">
        <v>35</v>
      </c>
      <c r="C163" s="295">
        <f>$C$25</f>
        <v>4200</v>
      </c>
    </row>
    <row r="164" spans="1:3" hidden="1">
      <c r="A164" s="257" t="s">
        <v>33</v>
      </c>
      <c r="B164" s="278" t="s">
        <v>35</v>
      </c>
      <c r="C164" s="295">
        <f>$C$31</f>
        <v>9024</v>
      </c>
    </row>
    <row r="165" spans="1:3" hidden="1">
      <c r="A165" s="257" t="s">
        <v>87</v>
      </c>
      <c r="B165" s="278" t="s">
        <v>35</v>
      </c>
      <c r="C165" s="295">
        <f>SUM($E$66:$E$80)</f>
        <v>891.90070840207386</v>
      </c>
    </row>
    <row r="166" spans="1:3" hidden="1">
      <c r="A166" s="257" t="s">
        <v>60</v>
      </c>
      <c r="B166" s="278" t="s">
        <v>35</v>
      </c>
      <c r="C166" s="279">
        <f>SUM(C162:C165)</f>
        <v>69315.90070840207</v>
      </c>
    </row>
    <row r="167" spans="1:3" hidden="1">
      <c r="A167" s="257" t="s">
        <v>4</v>
      </c>
      <c r="B167" s="278" t="s">
        <v>35</v>
      </c>
      <c r="C167" s="279">
        <f>$C$88</f>
        <v>80424</v>
      </c>
    </row>
    <row r="168" spans="1:3" ht="14.65" hidden="1" thickBot="1">
      <c r="A168" s="301" t="s">
        <v>61</v>
      </c>
      <c r="B168" s="277" t="s">
        <v>24</v>
      </c>
      <c r="C168" s="303">
        <f>C166/C167</f>
        <v>0.86188079066450396</v>
      </c>
    </row>
    <row r="169" spans="1:3" hidden="1"/>
    <row r="170" spans="1:3" ht="14.65" hidden="1" thickBot="1">
      <c r="A170" s="79" t="s">
        <v>47</v>
      </c>
      <c r="B170" s="79"/>
      <c r="C170" s="79"/>
    </row>
    <row r="171" spans="1:3" ht="14.65" hidden="1" thickBot="1">
      <c r="A171" s="103" t="s">
        <v>53</v>
      </c>
      <c r="B171" s="102" t="s">
        <v>18</v>
      </c>
      <c r="C171" s="17" t="s">
        <v>91</v>
      </c>
    </row>
    <row r="172" spans="1:3" hidden="1">
      <c r="A172" s="272" t="s">
        <v>55</v>
      </c>
      <c r="B172" s="298" t="s">
        <v>35</v>
      </c>
      <c r="C172" s="294">
        <f>$C$22</f>
        <v>12000</v>
      </c>
    </row>
    <row r="173" spans="1:3" hidden="1">
      <c r="A173" s="257" t="s">
        <v>32</v>
      </c>
      <c r="B173" s="278" t="s">
        <v>35</v>
      </c>
      <c r="C173" s="295">
        <f>$C$25</f>
        <v>4200</v>
      </c>
    </row>
    <row r="174" spans="1:3" hidden="1">
      <c r="A174" s="257" t="s">
        <v>33</v>
      </c>
      <c r="B174" s="278" t="s">
        <v>35</v>
      </c>
      <c r="C174" s="295">
        <f>$C$31</f>
        <v>9024</v>
      </c>
    </row>
    <row r="175" spans="1:3" hidden="1">
      <c r="A175" s="257" t="s">
        <v>430</v>
      </c>
      <c r="B175" s="278" t="s">
        <v>35</v>
      </c>
      <c r="C175" s="279">
        <f>C172+C173+C174</f>
        <v>25224</v>
      </c>
    </row>
    <row r="176" spans="1:3" hidden="1">
      <c r="A176" s="257" t="s">
        <v>4</v>
      </c>
      <c r="B176" s="278" t="s">
        <v>35</v>
      </c>
      <c r="C176" s="279">
        <f>$C$88</f>
        <v>80424</v>
      </c>
    </row>
    <row r="177" spans="1:3" hidden="1">
      <c r="A177" s="299" t="s">
        <v>64</v>
      </c>
      <c r="B177" s="260" t="s">
        <v>24</v>
      </c>
      <c r="C177" s="300">
        <f>C175/C176</f>
        <v>0.31363772008355717</v>
      </c>
    </row>
    <row r="178" spans="1:3" hidden="1">
      <c r="A178" s="257" t="s">
        <v>34</v>
      </c>
      <c r="B178" s="278" t="s">
        <v>35</v>
      </c>
      <c r="C178" s="279">
        <f>$C$24</f>
        <v>55199.999999999993</v>
      </c>
    </row>
    <row r="179" spans="1:3" hidden="1">
      <c r="A179" s="257" t="s">
        <v>65</v>
      </c>
      <c r="B179" s="278" t="s">
        <v>35</v>
      </c>
      <c r="C179" s="279">
        <f>C178</f>
        <v>55199.999999999993</v>
      </c>
    </row>
    <row r="180" spans="1:3" hidden="1">
      <c r="A180" s="257" t="s">
        <v>4</v>
      </c>
      <c r="B180" s="278" t="s">
        <v>35</v>
      </c>
      <c r="C180" s="279">
        <f>$C$88</f>
        <v>80424</v>
      </c>
    </row>
    <row r="181" spans="1:3" ht="14.65" hidden="1" thickBot="1">
      <c r="A181" s="301" t="s">
        <v>66</v>
      </c>
      <c r="B181" s="277" t="s">
        <v>24</v>
      </c>
      <c r="C181" s="303">
        <f>C179/C180</f>
        <v>0.68636227991644272</v>
      </c>
    </row>
    <row r="182" spans="1:3">
      <c r="A182" s="83"/>
      <c r="B182" s="77"/>
      <c r="C182" s="96"/>
    </row>
    <row r="183" spans="1:3" ht="14.65" thickBot="1">
      <c r="A183" s="79" t="s">
        <v>288</v>
      </c>
    </row>
    <row r="184" spans="1:3" ht="14.65" thickBot="1">
      <c r="A184" s="191" t="s">
        <v>90</v>
      </c>
      <c r="B184" s="192" t="s">
        <v>18</v>
      </c>
      <c r="C184" s="193" t="s">
        <v>91</v>
      </c>
    </row>
    <row r="185" spans="1:3">
      <c r="A185" s="272" t="s">
        <v>4</v>
      </c>
      <c r="B185" s="298" t="s">
        <v>35</v>
      </c>
      <c r="C185" s="313">
        <f>$C$88</f>
        <v>80424</v>
      </c>
    </row>
    <row r="186" spans="1:3">
      <c r="A186" s="257" t="s">
        <v>130</v>
      </c>
      <c r="B186" s="278" t="s">
        <v>24</v>
      </c>
      <c r="C186" s="314">
        <f>A149</f>
        <v>0.63122277535780957</v>
      </c>
    </row>
    <row r="187" spans="1:3">
      <c r="A187" s="253" t="s">
        <v>9</v>
      </c>
      <c r="B187" s="270" t="s">
        <v>35</v>
      </c>
      <c r="C187" s="254">
        <f>C185*C186</f>
        <v>50765.460485376476</v>
      </c>
    </row>
    <row r="188" spans="1:3">
      <c r="A188" s="257" t="s">
        <v>131</v>
      </c>
      <c r="B188" s="278" t="s">
        <v>24</v>
      </c>
      <c r="C188" s="314">
        <f>B149</f>
        <v>0.36877722464219037</v>
      </c>
    </row>
    <row r="189" spans="1:3">
      <c r="A189" s="253" t="s">
        <v>190</v>
      </c>
      <c r="B189" s="270" t="s">
        <v>35</v>
      </c>
      <c r="C189" s="322">
        <f>C185*C188</f>
        <v>29658.539514623517</v>
      </c>
    </row>
    <row r="190" spans="1:3">
      <c r="A190" s="281" t="s">
        <v>355</v>
      </c>
      <c r="B190" s="278" t="s">
        <v>24</v>
      </c>
      <c r="C190" s="318">
        <f>C149</f>
        <v>0.59499999999999997</v>
      </c>
    </row>
    <row r="191" spans="1:3">
      <c r="A191" s="281" t="s">
        <v>375</v>
      </c>
      <c r="B191" s="278" t="s">
        <v>35</v>
      </c>
      <c r="C191" s="289">
        <f>C189*C190</f>
        <v>17646.831011200993</v>
      </c>
    </row>
    <row r="192" spans="1:3">
      <c r="A192" s="281" t="s">
        <v>369</v>
      </c>
      <c r="B192" s="278" t="s">
        <v>24</v>
      </c>
      <c r="C192" s="318">
        <f>1-C190</f>
        <v>0.40500000000000003</v>
      </c>
    </row>
    <row r="193" spans="1:3" ht="14.65" thickBot="1">
      <c r="A193" s="319" t="s">
        <v>370</v>
      </c>
      <c r="B193" s="320" t="s">
        <v>35</v>
      </c>
      <c r="C193" s="321">
        <f>C189*C192</f>
        <v>12011.708503422526</v>
      </c>
    </row>
    <row r="194" spans="1:3">
      <c r="A194" s="77"/>
      <c r="B194" s="77"/>
      <c r="C194" s="117"/>
    </row>
    <row r="195" spans="1:3" ht="14.65" thickBot="1">
      <c r="A195" s="79" t="s">
        <v>133</v>
      </c>
      <c r="B195" s="79"/>
      <c r="C195" s="79"/>
    </row>
    <row r="196" spans="1:3" ht="14.65" thickBot="1">
      <c r="A196" s="103" t="s">
        <v>90</v>
      </c>
      <c r="B196" s="102" t="s">
        <v>18</v>
      </c>
      <c r="C196" s="17" t="s">
        <v>106</v>
      </c>
    </row>
    <row r="197" spans="1:3">
      <c r="A197" s="276" t="s">
        <v>301</v>
      </c>
      <c r="B197" s="296" t="s">
        <v>35</v>
      </c>
      <c r="C197" s="297">
        <f>C22</f>
        <v>12000</v>
      </c>
    </row>
    <row r="198" spans="1:3">
      <c r="A198" s="257" t="s">
        <v>329</v>
      </c>
      <c r="B198" s="278" t="s">
        <v>35</v>
      </c>
      <c r="C198" s="295">
        <f>C25</f>
        <v>4200</v>
      </c>
    </row>
    <row r="199" spans="1:3">
      <c r="A199" s="257" t="s">
        <v>428</v>
      </c>
      <c r="B199" s="278" t="s">
        <v>35</v>
      </c>
      <c r="C199" s="295">
        <f>C31</f>
        <v>9024</v>
      </c>
    </row>
    <row r="200" spans="1:3">
      <c r="A200" s="281" t="s">
        <v>375</v>
      </c>
      <c r="B200" s="278" t="s">
        <v>35</v>
      </c>
      <c r="C200" s="289">
        <f>C191</f>
        <v>17646.831011200993</v>
      </c>
    </row>
    <row r="201" spans="1:3">
      <c r="A201" s="257" t="s">
        <v>341</v>
      </c>
      <c r="B201" s="278" t="s">
        <v>35</v>
      </c>
      <c r="C201" s="279">
        <f>C197+C198+C199-C200</f>
        <v>7577.1689887990069</v>
      </c>
    </row>
    <row r="202" spans="1:3">
      <c r="A202" s="257" t="s">
        <v>9</v>
      </c>
      <c r="B202" s="278" t="s">
        <v>35</v>
      </c>
      <c r="C202" s="279">
        <f>C187</f>
        <v>50765.460485376476</v>
      </c>
    </row>
    <row r="203" spans="1:3">
      <c r="A203" s="299" t="s">
        <v>64</v>
      </c>
      <c r="B203" s="260" t="s">
        <v>24</v>
      </c>
      <c r="C203" s="300">
        <f>C201/C202</f>
        <v>0.14925835235911414</v>
      </c>
    </row>
    <row r="204" spans="1:3">
      <c r="A204" s="257" t="s">
        <v>366</v>
      </c>
      <c r="B204" s="278" t="s">
        <v>35</v>
      </c>
      <c r="C204" s="279">
        <f>C24</f>
        <v>55199.999999999993</v>
      </c>
    </row>
    <row r="205" spans="1:3">
      <c r="A205" s="281" t="s">
        <v>370</v>
      </c>
      <c r="B205" s="278" t="s">
        <v>35</v>
      </c>
      <c r="C205" s="289">
        <f>C193</f>
        <v>12011.708503422526</v>
      </c>
    </row>
    <row r="206" spans="1:3">
      <c r="A206" s="257" t="s">
        <v>342</v>
      </c>
      <c r="B206" s="278" t="s">
        <v>35</v>
      </c>
      <c r="C206" s="279">
        <f>C204-C205</f>
        <v>43188.291496577469</v>
      </c>
    </row>
    <row r="207" spans="1:3">
      <c r="A207" s="257" t="s">
        <v>9</v>
      </c>
      <c r="B207" s="278" t="s">
        <v>35</v>
      </c>
      <c r="C207" s="279">
        <f>C187</f>
        <v>50765.460485376476</v>
      </c>
    </row>
    <row r="208" spans="1:3" ht="14.65" thickBot="1">
      <c r="A208" s="301" t="s">
        <v>66</v>
      </c>
      <c r="B208" s="277" t="s">
        <v>24</v>
      </c>
      <c r="C208" s="303">
        <f>C206/C207</f>
        <v>0.85074164764088589</v>
      </c>
    </row>
    <row r="209" spans="1:8">
      <c r="A209" s="77"/>
      <c r="B209" s="77"/>
      <c r="C209" s="117"/>
    </row>
    <row r="210" spans="1:8" ht="14.65" thickBot="1">
      <c r="A210" s="79" t="s">
        <v>135</v>
      </c>
    </row>
    <row r="211" spans="1:8" ht="14.65" thickBot="1">
      <c r="A211" s="419"/>
      <c r="B211" s="1028" t="s">
        <v>262</v>
      </c>
      <c r="C211" s="1029"/>
      <c r="D211" s="1031"/>
      <c r="E211" s="1036" t="s">
        <v>263</v>
      </c>
      <c r="F211" s="1037"/>
      <c r="G211" s="1037"/>
      <c r="H211" s="1038"/>
    </row>
    <row r="212" spans="1:8">
      <c r="A212" s="92" t="s">
        <v>93</v>
      </c>
      <c r="B212" s="377" t="s">
        <v>243</v>
      </c>
      <c r="C212" s="491" t="s">
        <v>341</v>
      </c>
      <c r="D212" s="492" t="s">
        <v>281</v>
      </c>
      <c r="E212" s="1039" t="s">
        <v>269</v>
      </c>
      <c r="F212" s="1040"/>
      <c r="G212" s="1022" t="s">
        <v>282</v>
      </c>
      <c r="H212" s="1023"/>
    </row>
    <row r="213" spans="1:8" ht="14.65" thickBot="1">
      <c r="A213" s="93" t="s">
        <v>18</v>
      </c>
      <c r="B213" s="403" t="s">
        <v>35</v>
      </c>
      <c r="C213" s="154" t="s">
        <v>35</v>
      </c>
      <c r="D213" s="155" t="s">
        <v>35</v>
      </c>
      <c r="E213" s="153" t="s">
        <v>257</v>
      </c>
      <c r="F213" s="423" t="s">
        <v>237</v>
      </c>
      <c r="G213" s="403" t="s">
        <v>71</v>
      </c>
      <c r="H213" s="155" t="s">
        <v>237</v>
      </c>
    </row>
    <row r="214" spans="1:8">
      <c r="A214" s="148" t="s">
        <v>72</v>
      </c>
      <c r="B214" s="540">
        <f>C124</f>
        <v>232.05227593765397</v>
      </c>
      <c r="C214" s="428">
        <f>$C$201</f>
        <v>7577.1689887990069</v>
      </c>
      <c r="D214" s="545">
        <f>$C$187</f>
        <v>50765.460485376476</v>
      </c>
      <c r="E214" s="557">
        <f>B214/C214*1000000</f>
        <v>30625.194750267092</v>
      </c>
      <c r="F214" s="554">
        <f>E214/1000000</f>
        <v>3.0625194750267093E-2</v>
      </c>
      <c r="G214" s="557">
        <f>B214/D214*1000000</f>
        <v>4571.0661091018583</v>
      </c>
      <c r="H214" s="433">
        <f>G214/1000000</f>
        <v>4.5710661091018581E-3</v>
      </c>
    </row>
    <row r="215" spans="1:8">
      <c r="A215" s="149" t="s">
        <v>73</v>
      </c>
      <c r="B215" s="541">
        <f>C125</f>
        <v>0.22172258616285537</v>
      </c>
      <c r="C215" s="235">
        <f t="shared" ref="C215:C234" si="14">$C$201</f>
        <v>7577.1689887990069</v>
      </c>
      <c r="D215" s="546">
        <f t="shared" ref="D215:D234" si="15">$C$187</f>
        <v>50765.460485376476</v>
      </c>
      <c r="E215" s="558">
        <f t="shared" ref="E215:E234" si="16">B215/C215*1000000</f>
        <v>29.261929685165796</v>
      </c>
      <c r="F215" s="555">
        <f t="shared" ref="F215:H230" si="17">E215/1000000</f>
        <v>2.9261929685165796E-5</v>
      </c>
      <c r="G215" s="558">
        <f t="shared" ref="G215:G234" si="18">B215/D215*1000000</f>
        <v>4.367587411656098</v>
      </c>
      <c r="H215" s="434">
        <f t="shared" si="17"/>
        <v>4.3675874116560978E-6</v>
      </c>
    </row>
    <row r="216" spans="1:8">
      <c r="A216" s="149" t="s">
        <v>74</v>
      </c>
      <c r="B216" s="541">
        <f t="shared" ref="B216:B219" si="19">C126</f>
        <v>89.148027629919696</v>
      </c>
      <c r="C216" s="235">
        <f t="shared" si="14"/>
        <v>7577.1689887990069</v>
      </c>
      <c r="D216" s="546">
        <f t="shared" si="15"/>
        <v>50765.460485376476</v>
      </c>
      <c r="E216" s="558">
        <f t="shared" si="16"/>
        <v>11765.347686148121</v>
      </c>
      <c r="F216" s="555">
        <f t="shared" si="17"/>
        <v>1.1765347686148122E-2</v>
      </c>
      <c r="G216" s="558">
        <f t="shared" si="18"/>
        <v>1756.0764105665842</v>
      </c>
      <c r="H216" s="434">
        <f t="shared" si="17"/>
        <v>1.7560764105665843E-3</v>
      </c>
    </row>
    <row r="217" spans="1:8">
      <c r="A217" s="149" t="s">
        <v>75</v>
      </c>
      <c r="B217" s="541" t="s">
        <v>89</v>
      </c>
      <c r="C217" s="235">
        <f t="shared" si="14"/>
        <v>7577.1689887990069</v>
      </c>
      <c r="D217" s="546">
        <f t="shared" si="15"/>
        <v>50765.460485376476</v>
      </c>
      <c r="E217" s="558" t="s">
        <v>89</v>
      </c>
      <c r="F217" s="555" t="s">
        <v>89</v>
      </c>
      <c r="G217" s="558" t="s">
        <v>89</v>
      </c>
      <c r="H217" s="434" t="s">
        <v>89</v>
      </c>
    </row>
    <row r="218" spans="1:8">
      <c r="A218" s="149" t="s">
        <v>76</v>
      </c>
      <c r="B218" s="541">
        <f t="shared" si="19"/>
        <v>0.53048300578340524</v>
      </c>
      <c r="C218" s="235">
        <f t="shared" si="14"/>
        <v>7577.1689887990069</v>
      </c>
      <c r="D218" s="546">
        <f t="shared" si="15"/>
        <v>50765.460485376476</v>
      </c>
      <c r="E218" s="558">
        <f t="shared" si="16"/>
        <v>70.010713310946969</v>
      </c>
      <c r="F218" s="555">
        <f t="shared" si="17"/>
        <v>7.0010713310946973E-5</v>
      </c>
      <c r="G218" s="558">
        <f t="shared" si="18"/>
        <v>10.449683716278244</v>
      </c>
      <c r="H218" s="434">
        <f t="shared" si="17"/>
        <v>1.0449683716278244E-5</v>
      </c>
    </row>
    <row r="219" spans="1:8">
      <c r="A219" s="150" t="s">
        <v>77</v>
      </c>
      <c r="B219" s="541">
        <f t="shared" si="19"/>
        <v>3.8026688557300705</v>
      </c>
      <c r="C219" s="235">
        <f t="shared" si="14"/>
        <v>7577.1689887990069</v>
      </c>
      <c r="D219" s="546">
        <f t="shared" si="15"/>
        <v>50765.460485376476</v>
      </c>
      <c r="E219" s="558">
        <f t="shared" si="16"/>
        <v>501.85878939104924</v>
      </c>
      <c r="F219" s="555">
        <f t="shared" si="17"/>
        <v>5.0185878939104926E-4</v>
      </c>
      <c r="G219" s="558">
        <f t="shared" si="18"/>
        <v>74.906616021447689</v>
      </c>
      <c r="H219" s="434">
        <f t="shared" si="17"/>
        <v>7.4906616021447683E-5</v>
      </c>
    </row>
    <row r="220" spans="1:8">
      <c r="A220" s="150" t="s">
        <v>78</v>
      </c>
      <c r="B220" s="541">
        <f>C130</f>
        <v>386.05902824466716</v>
      </c>
      <c r="C220" s="235">
        <f t="shared" si="14"/>
        <v>7577.1689887990069</v>
      </c>
      <c r="D220" s="546">
        <f t="shared" si="15"/>
        <v>50765.460485376476</v>
      </c>
      <c r="E220" s="558">
        <f t="shared" si="16"/>
        <v>50950.299355255382</v>
      </c>
      <c r="F220" s="555">
        <f t="shared" si="17"/>
        <v>5.0950299355255385E-2</v>
      </c>
      <c r="G220" s="558">
        <f t="shared" si="18"/>
        <v>7604.7577339690542</v>
      </c>
      <c r="H220" s="434">
        <f t="shared" si="17"/>
        <v>7.6047577339690541E-3</v>
      </c>
    </row>
    <row r="221" spans="1:8">
      <c r="A221" s="150" t="s">
        <v>79</v>
      </c>
      <c r="B221" s="541">
        <f>C131</f>
        <v>49.205527374642131</v>
      </c>
      <c r="C221" s="235">
        <f t="shared" si="14"/>
        <v>7577.1689887990069</v>
      </c>
      <c r="D221" s="546">
        <f t="shared" si="15"/>
        <v>50765.460485376476</v>
      </c>
      <c r="E221" s="558">
        <f t="shared" si="16"/>
        <v>6493.9197538527224</v>
      </c>
      <c r="F221" s="555">
        <f t="shared" si="17"/>
        <v>6.4939197538527223E-3</v>
      </c>
      <c r="G221" s="558">
        <f t="shared" si="18"/>
        <v>969.27176281236143</v>
      </c>
      <c r="H221" s="434">
        <f t="shared" si="17"/>
        <v>9.6927176281236141E-4</v>
      </c>
    </row>
    <row r="222" spans="1:8">
      <c r="A222" s="150" t="s">
        <v>80</v>
      </c>
      <c r="B222" s="541">
        <f>C132</f>
        <v>71.578956334809078</v>
      </c>
      <c r="C222" s="235">
        <f t="shared" si="14"/>
        <v>7577.1689887990069</v>
      </c>
      <c r="D222" s="546">
        <f t="shared" si="15"/>
        <v>50765.460485376476</v>
      </c>
      <c r="E222" s="558">
        <f t="shared" si="16"/>
        <v>9446.6622614093831</v>
      </c>
      <c r="F222" s="555">
        <f t="shared" si="17"/>
        <v>9.4466622614093835E-3</v>
      </c>
      <c r="G222" s="558">
        <f t="shared" si="18"/>
        <v>1409.9932444309877</v>
      </c>
      <c r="H222" s="434">
        <f t="shared" si="17"/>
        <v>1.4099932444309876E-3</v>
      </c>
    </row>
    <row r="223" spans="1:8">
      <c r="A223" s="150" t="s">
        <v>81</v>
      </c>
      <c r="B223" s="541">
        <f t="shared" ref="B223:B224" si="20">C133</f>
        <v>47.7341524369997</v>
      </c>
      <c r="C223" s="235">
        <f t="shared" si="14"/>
        <v>7577.1689887990069</v>
      </c>
      <c r="D223" s="546">
        <f t="shared" si="15"/>
        <v>50765.460485376476</v>
      </c>
      <c r="E223" s="558">
        <f t="shared" si="16"/>
        <v>6299.7344400742522</v>
      </c>
      <c r="F223" s="555">
        <f t="shared" si="17"/>
        <v>6.2997344400742526E-3</v>
      </c>
      <c r="G223" s="558">
        <f t="shared" si="18"/>
        <v>940.28798282544938</v>
      </c>
      <c r="H223" s="434">
        <f t="shared" si="17"/>
        <v>9.4028798282544933E-4</v>
      </c>
    </row>
    <row r="224" spans="1:8">
      <c r="A224" s="150" t="s">
        <v>82</v>
      </c>
      <c r="B224" s="541">
        <f t="shared" si="20"/>
        <v>0.69882090882603376</v>
      </c>
      <c r="C224" s="235">
        <f t="shared" si="14"/>
        <v>7577.1689887990069</v>
      </c>
      <c r="D224" s="546">
        <f t="shared" si="15"/>
        <v>50765.460485376476</v>
      </c>
      <c r="E224" s="558">
        <f t="shared" si="16"/>
        <v>92.227177440422636</v>
      </c>
      <c r="F224" s="555">
        <f t="shared" si="17"/>
        <v>9.2227177440422635E-5</v>
      </c>
      <c r="G224" s="558">
        <f t="shared" si="18"/>
        <v>13.765676547489143</v>
      </c>
      <c r="H224" s="434">
        <f t="shared" si="17"/>
        <v>1.3765676547489143E-5</v>
      </c>
    </row>
    <row r="225" spans="1:8">
      <c r="A225" s="150" t="s">
        <v>213</v>
      </c>
      <c r="B225" s="541" t="s">
        <v>89</v>
      </c>
      <c r="C225" s="235">
        <f t="shared" si="14"/>
        <v>7577.1689887990069</v>
      </c>
      <c r="D225" s="546">
        <f t="shared" si="15"/>
        <v>50765.460485376476</v>
      </c>
      <c r="E225" s="563" t="s">
        <v>89</v>
      </c>
      <c r="F225" s="555" t="s">
        <v>89</v>
      </c>
      <c r="G225" s="558" t="s">
        <v>89</v>
      </c>
      <c r="H225" s="434" t="s">
        <v>89</v>
      </c>
    </row>
    <row r="226" spans="1:8">
      <c r="A226" s="151" t="s">
        <v>96</v>
      </c>
      <c r="B226" s="541">
        <f>C136</f>
        <v>2854.5306122448978</v>
      </c>
      <c r="C226" s="235">
        <f t="shared" si="14"/>
        <v>7577.1689887990069</v>
      </c>
      <c r="D226" s="546">
        <f t="shared" si="15"/>
        <v>50765.460485376476</v>
      </c>
      <c r="E226" s="558">
        <f t="shared" si="16"/>
        <v>376727.85396031471</v>
      </c>
      <c r="F226" s="555">
        <f t="shared" si="17"/>
        <v>0.37672785396031472</v>
      </c>
      <c r="G226" s="558">
        <f t="shared" si="18"/>
        <v>56229.778769901546</v>
      </c>
      <c r="H226" s="434">
        <f t="shared" si="17"/>
        <v>5.6229778769901546E-2</v>
      </c>
    </row>
    <row r="227" spans="1:8">
      <c r="A227" s="150" t="s">
        <v>97</v>
      </c>
      <c r="B227" s="541" t="s">
        <v>89</v>
      </c>
      <c r="C227" s="235">
        <f t="shared" si="14"/>
        <v>7577.1689887990069</v>
      </c>
      <c r="D227" s="546">
        <f t="shared" si="15"/>
        <v>50765.460485376476</v>
      </c>
      <c r="E227" s="563" t="s">
        <v>89</v>
      </c>
      <c r="F227" s="555" t="s">
        <v>89</v>
      </c>
      <c r="G227" s="558" t="s">
        <v>89</v>
      </c>
      <c r="H227" s="434" t="s">
        <v>89</v>
      </c>
    </row>
    <row r="228" spans="1:8">
      <c r="A228" s="151" t="s">
        <v>84</v>
      </c>
      <c r="B228" s="541">
        <f t="shared" ref="B228:B233" si="21">C138</f>
        <v>0.10838288181260813</v>
      </c>
      <c r="C228" s="235">
        <f t="shared" si="14"/>
        <v>7577.1689887990069</v>
      </c>
      <c r="D228" s="546">
        <f t="shared" si="15"/>
        <v>50765.460485376476</v>
      </c>
      <c r="E228" s="558">
        <f t="shared" si="16"/>
        <v>14.303875493977467</v>
      </c>
      <c r="F228" s="555">
        <f t="shared" si="17"/>
        <v>1.4303875493977467E-5</v>
      </c>
      <c r="G228" s="558">
        <f t="shared" si="18"/>
        <v>2.1349728885809864</v>
      </c>
      <c r="H228" s="434">
        <f t="shared" si="17"/>
        <v>2.1349728885809865E-6</v>
      </c>
    </row>
    <row r="229" spans="1:8">
      <c r="A229" s="151" t="s">
        <v>249</v>
      </c>
      <c r="B229" s="541">
        <f t="shared" si="21"/>
        <v>0</v>
      </c>
      <c r="C229" s="235">
        <f t="shared" si="14"/>
        <v>7577.1689887990069</v>
      </c>
      <c r="D229" s="546">
        <f t="shared" si="15"/>
        <v>50765.460485376476</v>
      </c>
      <c r="E229" s="558">
        <f t="shared" si="16"/>
        <v>0</v>
      </c>
      <c r="F229" s="555">
        <f t="shared" si="17"/>
        <v>0</v>
      </c>
      <c r="G229" s="558">
        <f t="shared" si="18"/>
        <v>0</v>
      </c>
      <c r="H229" s="434">
        <f t="shared" si="17"/>
        <v>0</v>
      </c>
    </row>
    <row r="230" spans="1:8">
      <c r="A230" s="151" t="s">
        <v>250</v>
      </c>
      <c r="B230" s="541">
        <f t="shared" si="21"/>
        <v>0</v>
      </c>
      <c r="C230" s="235">
        <f t="shared" si="14"/>
        <v>7577.1689887990069</v>
      </c>
      <c r="D230" s="546">
        <f t="shared" si="15"/>
        <v>50765.460485376476</v>
      </c>
      <c r="E230" s="558">
        <f t="shared" si="16"/>
        <v>0</v>
      </c>
      <c r="F230" s="555">
        <f t="shared" si="17"/>
        <v>0</v>
      </c>
      <c r="G230" s="558">
        <f t="shared" si="18"/>
        <v>0</v>
      </c>
      <c r="H230" s="434">
        <f t="shared" si="17"/>
        <v>0</v>
      </c>
    </row>
    <row r="231" spans="1:8">
      <c r="A231" s="151" t="s">
        <v>251</v>
      </c>
      <c r="B231" s="541">
        <f t="shared" si="21"/>
        <v>0</v>
      </c>
      <c r="C231" s="235">
        <f t="shared" si="14"/>
        <v>7577.1689887990069</v>
      </c>
      <c r="D231" s="546">
        <f t="shared" si="15"/>
        <v>50765.460485376476</v>
      </c>
      <c r="E231" s="558">
        <f t="shared" si="16"/>
        <v>0</v>
      </c>
      <c r="F231" s="555">
        <f t="shared" ref="F231" si="22">E231/1000000</f>
        <v>0</v>
      </c>
      <c r="G231" s="558">
        <f t="shared" si="18"/>
        <v>0</v>
      </c>
      <c r="H231" s="434">
        <f t="shared" ref="H231" si="23">G231/1000000</f>
        <v>0</v>
      </c>
    </row>
    <row r="232" spans="1:8">
      <c r="A232" s="151" t="s">
        <v>238</v>
      </c>
      <c r="B232" s="541">
        <f t="shared" si="21"/>
        <v>0</v>
      </c>
      <c r="C232" s="235">
        <f t="shared" si="14"/>
        <v>7577.1689887990069</v>
      </c>
      <c r="D232" s="546">
        <f t="shared" si="15"/>
        <v>50765.460485376476</v>
      </c>
      <c r="E232" s="558">
        <f t="shared" si="16"/>
        <v>0</v>
      </c>
      <c r="F232" s="555">
        <f t="shared" ref="F232" si="24">E232/1000000</f>
        <v>0</v>
      </c>
      <c r="G232" s="558">
        <f t="shared" si="18"/>
        <v>0</v>
      </c>
      <c r="H232" s="434">
        <f t="shared" ref="H232" si="25">G232/1000000</f>
        <v>0</v>
      </c>
    </row>
    <row r="233" spans="1:8">
      <c r="A233" s="151" t="s">
        <v>239</v>
      </c>
      <c r="B233" s="541">
        <f t="shared" si="21"/>
        <v>0</v>
      </c>
      <c r="C233" s="235">
        <f t="shared" si="14"/>
        <v>7577.1689887990069</v>
      </c>
      <c r="D233" s="546">
        <f t="shared" si="15"/>
        <v>50765.460485376476</v>
      </c>
      <c r="E233" s="558">
        <f t="shared" si="16"/>
        <v>0</v>
      </c>
      <c r="F233" s="555">
        <f t="shared" ref="F233" si="26">E233/1000000</f>
        <v>0</v>
      </c>
      <c r="G233" s="558">
        <f t="shared" si="18"/>
        <v>0</v>
      </c>
      <c r="H233" s="434">
        <f t="shared" ref="H233" si="27">G233/1000000</f>
        <v>0</v>
      </c>
    </row>
    <row r="234" spans="1:8" ht="14.65" thickBot="1">
      <c r="A234" s="152" t="s">
        <v>86</v>
      </c>
      <c r="B234" s="542">
        <f t="shared" ref="B234" si="28">C144</f>
        <v>10.760662205067051</v>
      </c>
      <c r="C234" s="236">
        <f t="shared" si="14"/>
        <v>7577.1689887990069</v>
      </c>
      <c r="D234" s="547">
        <f t="shared" si="15"/>
        <v>50765.460485376476</v>
      </c>
      <c r="E234" s="558">
        <f t="shared" si="16"/>
        <v>1420.1428291983536</v>
      </c>
      <c r="F234" s="555">
        <f t="shared" ref="F234" si="29">E234/1000000</f>
        <v>1.4201428291983535E-3</v>
      </c>
      <c r="G234" s="558">
        <f t="shared" si="18"/>
        <v>211.96817880075713</v>
      </c>
      <c r="H234" s="434">
        <f t="shared" ref="H234" si="30">G234/1000000</f>
        <v>2.1196817880075712E-4</v>
      </c>
    </row>
    <row r="235" spans="1:8">
      <c r="A235" s="145"/>
      <c r="B235" s="146"/>
      <c r="C235" s="95"/>
    </row>
    <row r="236" spans="1:8" ht="14.65" thickBot="1">
      <c r="A236" s="79" t="s">
        <v>197</v>
      </c>
    </row>
    <row r="237" spans="1:8" ht="14.65" thickBot="1">
      <c r="A237" s="419"/>
      <c r="B237" s="1028" t="s">
        <v>262</v>
      </c>
      <c r="C237" s="1029"/>
      <c r="D237" s="1031"/>
      <c r="E237" s="1036" t="s">
        <v>263</v>
      </c>
      <c r="F237" s="1037"/>
      <c r="G237" s="1037"/>
      <c r="H237" s="1038"/>
    </row>
    <row r="238" spans="1:8">
      <c r="A238" s="92" t="s">
        <v>93</v>
      </c>
      <c r="B238" s="377" t="s">
        <v>256</v>
      </c>
      <c r="C238" s="491" t="s">
        <v>375</v>
      </c>
      <c r="D238" s="492" t="s">
        <v>286</v>
      </c>
      <c r="E238" s="1039" t="s">
        <v>269</v>
      </c>
      <c r="F238" s="1040"/>
      <c r="G238" s="1022" t="s">
        <v>258</v>
      </c>
      <c r="H238" s="1023"/>
    </row>
    <row r="239" spans="1:8" ht="14.65" thickBot="1">
      <c r="A239" s="93" t="s">
        <v>18</v>
      </c>
      <c r="B239" s="403" t="s">
        <v>35</v>
      </c>
      <c r="C239" s="154" t="s">
        <v>35</v>
      </c>
      <c r="D239" s="155" t="s">
        <v>35</v>
      </c>
      <c r="E239" s="153" t="s">
        <v>257</v>
      </c>
      <c r="F239" s="423" t="s">
        <v>237</v>
      </c>
      <c r="G239" s="403" t="s">
        <v>71</v>
      </c>
      <c r="H239" s="155" t="s">
        <v>237</v>
      </c>
    </row>
    <row r="240" spans="1:8">
      <c r="A240" s="222" t="s">
        <v>72</v>
      </c>
      <c r="B240" s="540">
        <f>D124</f>
        <v>235.97172406234603</v>
      </c>
      <c r="C240" s="428">
        <f>$C$191</f>
        <v>17646.831011200993</v>
      </c>
      <c r="D240" s="382">
        <f>$C$189</f>
        <v>29658.539514623517</v>
      </c>
      <c r="E240" s="551">
        <f>B240/C240*1000000</f>
        <v>13371.903652988314</v>
      </c>
      <c r="F240" s="554">
        <f>E240/1000000</f>
        <v>1.3371903652988314E-2</v>
      </c>
      <c r="G240" s="557">
        <f>B240/D240*1000000</f>
        <v>7956.2826735280478</v>
      </c>
      <c r="H240" s="433">
        <f>G240/1000000</f>
        <v>7.9562826735280479E-3</v>
      </c>
    </row>
    <row r="241" spans="1:8">
      <c r="A241" s="149" t="s">
        <v>73</v>
      </c>
      <c r="B241" s="541">
        <f>D125</f>
        <v>0.12147741383714462</v>
      </c>
      <c r="C241" s="235">
        <f t="shared" ref="C241:C260" si="31">$C$191</f>
        <v>17646.831011200993</v>
      </c>
      <c r="D241" s="82">
        <f t="shared" ref="D241:D260" si="32">$C$189</f>
        <v>29658.539514623517</v>
      </c>
      <c r="E241" s="552">
        <f t="shared" ref="E241:E260" si="33">B241/C241*1000000</f>
        <v>6.8838089830428553</v>
      </c>
      <c r="F241" s="555">
        <f t="shared" ref="F241:H250" si="34">E241/1000000</f>
        <v>6.8838089830428549E-6</v>
      </c>
      <c r="G241" s="558">
        <f t="shared" ref="G241:G260" si="35">B241/D241*1000000</f>
        <v>4.0958663449104984</v>
      </c>
      <c r="H241" s="434">
        <f t="shared" si="34"/>
        <v>4.0958663449104985E-6</v>
      </c>
    </row>
    <row r="242" spans="1:8">
      <c r="A242" s="149" t="s">
        <v>74</v>
      </c>
      <c r="B242" s="541">
        <f t="shared" ref="B242:B250" si="36">D126</f>
        <v>1818.8519723700801</v>
      </c>
      <c r="C242" s="235">
        <f t="shared" si="31"/>
        <v>17646.831011200993</v>
      </c>
      <c r="D242" s="82">
        <f t="shared" si="32"/>
        <v>29658.539514623517</v>
      </c>
      <c r="E242" s="552">
        <f t="shared" si="33"/>
        <v>103069.60899753607</v>
      </c>
      <c r="F242" s="555">
        <f t="shared" si="34"/>
        <v>0.10306960899753606</v>
      </c>
      <c r="G242" s="558">
        <f t="shared" si="35"/>
        <v>61326.417353533951</v>
      </c>
      <c r="H242" s="434">
        <f t="shared" si="34"/>
        <v>6.1326417353533953E-2</v>
      </c>
    </row>
    <row r="243" spans="1:8">
      <c r="A243" s="149" t="s">
        <v>75</v>
      </c>
      <c r="B243" s="541" t="s">
        <v>89</v>
      </c>
      <c r="C243" s="235">
        <f t="shared" si="31"/>
        <v>17646.831011200993</v>
      </c>
      <c r="D243" s="82">
        <f t="shared" si="32"/>
        <v>29658.539514623517</v>
      </c>
      <c r="E243" s="552" t="s">
        <v>89</v>
      </c>
      <c r="F243" s="555" t="s">
        <v>89</v>
      </c>
      <c r="G243" s="558" t="s">
        <v>89</v>
      </c>
      <c r="H243" s="434" t="s">
        <v>89</v>
      </c>
    </row>
    <row r="244" spans="1:8">
      <c r="A244" s="149" t="s">
        <v>76</v>
      </c>
      <c r="B244" s="541">
        <f t="shared" si="36"/>
        <v>1.1015169942165945</v>
      </c>
      <c r="C244" s="235">
        <f t="shared" si="31"/>
        <v>17646.831011200993</v>
      </c>
      <c r="D244" s="82">
        <f t="shared" si="32"/>
        <v>29658.539514623517</v>
      </c>
      <c r="E244" s="552">
        <f t="shared" si="33"/>
        <v>62.420102142839546</v>
      </c>
      <c r="F244" s="555">
        <f t="shared" si="34"/>
        <v>6.2420102142839544E-5</v>
      </c>
      <c r="G244" s="558">
        <f t="shared" si="35"/>
        <v>37.139960774989532</v>
      </c>
      <c r="H244" s="434">
        <f t="shared" si="34"/>
        <v>3.7139960774989533E-5</v>
      </c>
    </row>
    <row r="245" spans="1:8">
      <c r="A245" s="150" t="s">
        <v>77</v>
      </c>
      <c r="B245" s="541">
        <f t="shared" si="36"/>
        <v>4.0693311442699294</v>
      </c>
      <c r="C245" s="235">
        <f t="shared" si="31"/>
        <v>17646.831011200993</v>
      </c>
      <c r="D245" s="82">
        <f t="shared" si="32"/>
        <v>29658.539514623517</v>
      </c>
      <c r="E245" s="552">
        <f t="shared" si="33"/>
        <v>230.59840838771549</v>
      </c>
      <c r="F245" s="555">
        <f t="shared" si="34"/>
        <v>2.3059840838771551E-4</v>
      </c>
      <c r="G245" s="558">
        <f t="shared" si="35"/>
        <v>137.20605299069072</v>
      </c>
      <c r="H245" s="434">
        <f t="shared" si="34"/>
        <v>1.3720605299069073E-4</v>
      </c>
    </row>
    <row r="246" spans="1:8">
      <c r="A246" s="150" t="s">
        <v>78</v>
      </c>
      <c r="B246" s="541">
        <f t="shared" si="36"/>
        <v>664.86497175533282</v>
      </c>
      <c r="C246" s="235">
        <f t="shared" si="31"/>
        <v>17646.831011200993</v>
      </c>
      <c r="D246" s="82">
        <f t="shared" si="32"/>
        <v>29658.539514623517</v>
      </c>
      <c r="E246" s="552">
        <f t="shared" si="33"/>
        <v>37676.168108218539</v>
      </c>
      <c r="F246" s="555">
        <f t="shared" si="34"/>
        <v>3.7676168108218541E-2</v>
      </c>
      <c r="G246" s="558">
        <f t="shared" si="35"/>
        <v>22417.320024390032</v>
      </c>
      <c r="H246" s="434">
        <f t="shared" ref="H246" si="37">G246/1000000</f>
        <v>2.2417320024390033E-2</v>
      </c>
    </row>
    <row r="247" spans="1:8">
      <c r="A247" s="150" t="s">
        <v>79</v>
      </c>
      <c r="B247" s="541">
        <f t="shared" si="36"/>
        <v>49.554472625357874</v>
      </c>
      <c r="C247" s="235">
        <f t="shared" si="31"/>
        <v>17646.831011200993</v>
      </c>
      <c r="D247" s="82">
        <f t="shared" si="32"/>
        <v>29658.539514623517</v>
      </c>
      <c r="E247" s="552">
        <f t="shared" si="33"/>
        <v>2808.1230331895913</v>
      </c>
      <c r="F247" s="555">
        <f t="shared" si="34"/>
        <v>2.8081230331895913E-3</v>
      </c>
      <c r="G247" s="558">
        <f t="shared" si="35"/>
        <v>1670.8332047478068</v>
      </c>
      <c r="H247" s="434">
        <f t="shared" ref="H247" si="38">G247/1000000</f>
        <v>1.6708332047478069E-3</v>
      </c>
    </row>
    <row r="248" spans="1:8">
      <c r="A248" s="150" t="s">
        <v>80</v>
      </c>
      <c r="B248" s="541">
        <f t="shared" si="36"/>
        <v>83.221043665190933</v>
      </c>
      <c r="C248" s="235">
        <f t="shared" si="31"/>
        <v>17646.831011200993</v>
      </c>
      <c r="D248" s="82">
        <f t="shared" si="32"/>
        <v>29658.539514623517</v>
      </c>
      <c r="E248" s="552">
        <f t="shared" si="33"/>
        <v>4715.9200205616489</v>
      </c>
      <c r="F248" s="555">
        <f t="shared" si="34"/>
        <v>4.7159200205616489E-3</v>
      </c>
      <c r="G248" s="558">
        <f t="shared" si="35"/>
        <v>2805.9724122341813</v>
      </c>
      <c r="H248" s="434">
        <f t="shared" ref="H248:H250" si="39">G248/1000000</f>
        <v>2.8059724122341811E-3</v>
      </c>
    </row>
    <row r="249" spans="1:8">
      <c r="A249" s="150" t="s">
        <v>81</v>
      </c>
      <c r="B249" s="541">
        <f t="shared" si="36"/>
        <v>49.465847563000303</v>
      </c>
      <c r="C249" s="235">
        <f t="shared" si="31"/>
        <v>17646.831011200993</v>
      </c>
      <c r="D249" s="82">
        <f t="shared" si="32"/>
        <v>29658.539514623517</v>
      </c>
      <c r="E249" s="552">
        <f t="shared" si="33"/>
        <v>2803.1008814898714</v>
      </c>
      <c r="F249" s="555">
        <f t="shared" si="34"/>
        <v>2.8031008814898713E-3</v>
      </c>
      <c r="G249" s="558">
        <f t="shared" si="35"/>
        <v>1667.8450244864734</v>
      </c>
      <c r="H249" s="434">
        <f t="shared" si="39"/>
        <v>1.6678450244864734E-3</v>
      </c>
    </row>
    <row r="250" spans="1:8">
      <c r="A250" s="150" t="s">
        <v>82</v>
      </c>
      <c r="B250" s="541">
        <f t="shared" si="36"/>
        <v>0.80117909117396613</v>
      </c>
      <c r="C250" s="235">
        <f t="shared" si="31"/>
        <v>17646.831011200993</v>
      </c>
      <c r="D250" s="82">
        <f t="shared" si="32"/>
        <v>29658.539514623517</v>
      </c>
      <c r="E250" s="552">
        <f t="shared" si="33"/>
        <v>45.400734594524806</v>
      </c>
      <c r="F250" s="555">
        <f t="shared" si="34"/>
        <v>4.5400734594524809E-5</v>
      </c>
      <c r="G250" s="558">
        <f t="shared" si="35"/>
        <v>27.013437083742261</v>
      </c>
      <c r="H250" s="434">
        <f t="shared" si="39"/>
        <v>2.701343708374226E-5</v>
      </c>
    </row>
    <row r="251" spans="1:8">
      <c r="A251" s="150" t="s">
        <v>213</v>
      </c>
      <c r="B251" s="541" t="s">
        <v>89</v>
      </c>
      <c r="C251" s="235">
        <f t="shared" si="31"/>
        <v>17646.831011200993</v>
      </c>
      <c r="D251" s="82">
        <f t="shared" si="32"/>
        <v>29658.539514623517</v>
      </c>
      <c r="E251" s="568" t="s">
        <v>89</v>
      </c>
      <c r="F251" s="565" t="s">
        <v>89</v>
      </c>
      <c r="G251" s="563" t="s">
        <v>89</v>
      </c>
      <c r="H251" s="566" t="s">
        <v>89</v>
      </c>
    </row>
    <row r="252" spans="1:8">
      <c r="A252" s="151" t="s">
        <v>96</v>
      </c>
      <c r="B252" s="541">
        <f>D136</f>
        <v>0</v>
      </c>
      <c r="C252" s="235">
        <f t="shared" si="31"/>
        <v>17646.831011200993</v>
      </c>
      <c r="D252" s="82">
        <f t="shared" si="32"/>
        <v>29658.539514623517</v>
      </c>
      <c r="E252" s="552">
        <f t="shared" si="33"/>
        <v>0</v>
      </c>
      <c r="F252" s="555">
        <f t="shared" ref="F252:H252" si="40">E252/1000000</f>
        <v>0</v>
      </c>
      <c r="G252" s="558">
        <f t="shared" si="35"/>
        <v>0</v>
      </c>
      <c r="H252" s="434">
        <f t="shared" si="40"/>
        <v>0</v>
      </c>
    </row>
    <row r="253" spans="1:8">
      <c r="A253" s="150" t="s">
        <v>97</v>
      </c>
      <c r="B253" s="541" t="s">
        <v>89</v>
      </c>
      <c r="C253" s="235">
        <f t="shared" si="31"/>
        <v>17646.831011200993</v>
      </c>
      <c r="D253" s="82">
        <f t="shared" si="32"/>
        <v>29658.539514623517</v>
      </c>
      <c r="E253" s="568" t="s">
        <v>89</v>
      </c>
      <c r="F253" s="565" t="s">
        <v>89</v>
      </c>
      <c r="G253" s="563" t="s">
        <v>89</v>
      </c>
      <c r="H253" s="566" t="s">
        <v>89</v>
      </c>
    </row>
    <row r="254" spans="1:8">
      <c r="A254" s="151" t="s">
        <v>84</v>
      </c>
      <c r="B254" s="541">
        <f t="shared" ref="B254:B260" si="41">D138</f>
        <v>1.379617118187392</v>
      </c>
      <c r="C254" s="235">
        <f t="shared" si="31"/>
        <v>17646.831011200993</v>
      </c>
      <c r="D254" s="82">
        <f t="shared" si="32"/>
        <v>29658.539514623517</v>
      </c>
      <c r="E254" s="552">
        <f t="shared" si="33"/>
        <v>78.179312609255788</v>
      </c>
      <c r="F254" s="555">
        <f t="shared" ref="F254:H255" si="42">E254/1000000</f>
        <v>7.8179312609255795E-5</v>
      </c>
      <c r="G254" s="558">
        <f t="shared" si="35"/>
        <v>46.516691002507201</v>
      </c>
      <c r="H254" s="434">
        <f t="shared" si="42"/>
        <v>4.6516691002507201E-5</v>
      </c>
    </row>
    <row r="255" spans="1:8">
      <c r="A255" s="151" t="s">
        <v>249</v>
      </c>
      <c r="B255" s="541">
        <f t="shared" si="41"/>
        <v>226.8</v>
      </c>
      <c r="C255" s="235">
        <f t="shared" si="31"/>
        <v>17646.831011200993</v>
      </c>
      <c r="D255" s="82">
        <f t="shared" si="32"/>
        <v>29658.539514623517</v>
      </c>
      <c r="E255" s="552">
        <f t="shared" si="33"/>
        <v>12852.165913304378</v>
      </c>
      <c r="F255" s="555">
        <f t="shared" si="42"/>
        <v>1.2852165913304377E-2</v>
      </c>
      <c r="G255" s="558">
        <f t="shared" si="35"/>
        <v>7647.0387184161045</v>
      </c>
      <c r="H255" s="434">
        <f t="shared" si="42"/>
        <v>7.6470387184161045E-3</v>
      </c>
    </row>
    <row r="256" spans="1:8">
      <c r="A256" s="151" t="s">
        <v>250</v>
      </c>
      <c r="B256" s="541">
        <f t="shared" si="41"/>
        <v>1371.4285714285713</v>
      </c>
      <c r="C256" s="235">
        <f t="shared" si="31"/>
        <v>17646.831011200993</v>
      </c>
      <c r="D256" s="82">
        <f t="shared" si="32"/>
        <v>29658.539514623517</v>
      </c>
      <c r="E256" s="552">
        <f t="shared" si="33"/>
        <v>77715.288969338624</v>
      </c>
      <c r="F256" s="555">
        <f t="shared" ref="F256:H260" si="43">E256/1000000</f>
        <v>7.7715288969338631E-2</v>
      </c>
      <c r="G256" s="558">
        <f t="shared" si="35"/>
        <v>46240.59693675649</v>
      </c>
      <c r="H256" s="434">
        <f t="shared" si="43"/>
        <v>4.6240596936756494E-2</v>
      </c>
    </row>
    <row r="257" spans="1:8">
      <c r="A257" s="151" t="s">
        <v>251</v>
      </c>
      <c r="B257" s="541">
        <f t="shared" si="41"/>
        <v>1598.2285714285713</v>
      </c>
      <c r="C257" s="235">
        <f t="shared" si="31"/>
        <v>17646.831011200993</v>
      </c>
      <c r="D257" s="82">
        <f t="shared" si="32"/>
        <v>29658.539514623517</v>
      </c>
      <c r="E257" s="552">
        <f t="shared" si="33"/>
        <v>90567.454882643011</v>
      </c>
      <c r="F257" s="555">
        <f t="shared" si="43"/>
        <v>9.0567454882643006E-2</v>
      </c>
      <c r="G257" s="558">
        <f t="shared" si="35"/>
        <v>53887.635655172584</v>
      </c>
      <c r="H257" s="434">
        <f t="shared" si="43"/>
        <v>5.3887635655172586E-2</v>
      </c>
    </row>
    <row r="258" spans="1:8">
      <c r="A258" s="151" t="s">
        <v>238</v>
      </c>
      <c r="B258" s="541">
        <f t="shared" si="41"/>
        <v>4794.6857142857134</v>
      </c>
      <c r="C258" s="235">
        <f t="shared" si="31"/>
        <v>17646.831011200993</v>
      </c>
      <c r="D258" s="82">
        <f t="shared" si="32"/>
        <v>29658.539514623517</v>
      </c>
      <c r="E258" s="552">
        <f t="shared" si="33"/>
        <v>271702.36464792897</v>
      </c>
      <c r="F258" s="555">
        <f t="shared" si="43"/>
        <v>0.27170236464792896</v>
      </c>
      <c r="G258" s="558">
        <f t="shared" si="35"/>
        <v>161662.90696551773</v>
      </c>
      <c r="H258" s="434">
        <f t="shared" si="43"/>
        <v>0.16166290696551772</v>
      </c>
    </row>
    <row r="259" spans="1:8">
      <c r="A259" s="151" t="s">
        <v>239</v>
      </c>
      <c r="B259" s="541">
        <f t="shared" si="41"/>
        <v>6792.4714285714281</v>
      </c>
      <c r="C259" s="235">
        <f t="shared" si="31"/>
        <v>17646.831011200993</v>
      </c>
      <c r="D259" s="82">
        <f t="shared" si="32"/>
        <v>29658.539514623517</v>
      </c>
      <c r="E259" s="552">
        <f t="shared" si="33"/>
        <v>384911.68325123278</v>
      </c>
      <c r="F259" s="555">
        <f t="shared" si="43"/>
        <v>0.38491168325123276</v>
      </c>
      <c r="G259" s="558">
        <f t="shared" si="35"/>
        <v>229022.45153448349</v>
      </c>
      <c r="H259" s="434">
        <f t="shared" si="43"/>
        <v>0.2290224515344835</v>
      </c>
    </row>
    <row r="260" spans="1:8" ht="14.65" thickBot="1">
      <c r="A260" s="152" t="s">
        <v>86</v>
      </c>
      <c r="B260" s="542">
        <f t="shared" si="41"/>
        <v>17.475337794932951</v>
      </c>
      <c r="C260" s="236">
        <f t="shared" si="31"/>
        <v>17646.831011200993</v>
      </c>
      <c r="D260" s="237">
        <f t="shared" si="32"/>
        <v>29658.539514623517</v>
      </c>
      <c r="E260" s="553">
        <f t="shared" si="33"/>
        <v>990.28192562397237</v>
      </c>
      <c r="F260" s="556">
        <f t="shared" si="43"/>
        <v>9.9028192562397241E-4</v>
      </c>
      <c r="G260" s="559">
        <f t="shared" si="35"/>
        <v>589.21774574626363</v>
      </c>
      <c r="H260" s="439">
        <f t="shared" si="43"/>
        <v>5.8921774574626363E-4</v>
      </c>
    </row>
    <row r="261" spans="1:8">
      <c r="A261" s="145"/>
      <c r="B261" s="146"/>
      <c r="C261" s="95"/>
    </row>
    <row r="262" spans="1:8">
      <c r="A262" s="1" t="s">
        <v>199</v>
      </c>
      <c r="B262" s="1"/>
      <c r="C262" s="1"/>
    </row>
    <row r="263" spans="1:8" ht="14.65" thickBot="1">
      <c r="A263" s="79" t="s">
        <v>360</v>
      </c>
      <c r="B263" s="79"/>
      <c r="C263" s="79"/>
    </row>
    <row r="264" spans="1:8">
      <c r="A264" s="570" t="s">
        <v>100</v>
      </c>
      <c r="B264" s="569">
        <v>0.05</v>
      </c>
      <c r="C264" s="202" t="s">
        <v>101</v>
      </c>
    </row>
    <row r="265" spans="1:8">
      <c r="A265" s="571" t="s">
        <v>102</v>
      </c>
      <c r="B265" s="494">
        <v>1.86</v>
      </c>
      <c r="C265" s="72" t="s">
        <v>103</v>
      </c>
    </row>
    <row r="266" spans="1:8">
      <c r="A266" s="571" t="s">
        <v>104</v>
      </c>
      <c r="B266" s="494">
        <v>0.997</v>
      </c>
      <c r="C266" s="72" t="s">
        <v>103</v>
      </c>
    </row>
    <row r="267" spans="1:8">
      <c r="A267" s="571" t="s">
        <v>105</v>
      </c>
      <c r="B267" s="494">
        <v>1.0206786471090072</v>
      </c>
      <c r="C267" s="72" t="s">
        <v>103</v>
      </c>
    </row>
    <row r="268" spans="1:8" ht="14.65" thickBot="1">
      <c r="A268" s="572" t="s">
        <v>334</v>
      </c>
      <c r="B268" s="495">
        <v>0.02</v>
      </c>
      <c r="C268" s="76" t="s">
        <v>25</v>
      </c>
    </row>
    <row r="270" spans="1:8" ht="14.65" thickBot="1">
      <c r="A270" s="79" t="s">
        <v>271</v>
      </c>
    </row>
    <row r="271" spans="1:8" ht="14.65" thickBot="1">
      <c r="A271" s="103" t="s">
        <v>53</v>
      </c>
      <c r="B271" s="102" t="s">
        <v>18</v>
      </c>
      <c r="C271" s="17" t="s">
        <v>106</v>
      </c>
    </row>
    <row r="272" spans="1:8">
      <c r="A272" s="92" t="s">
        <v>9</v>
      </c>
      <c r="B272" s="270" t="s">
        <v>35</v>
      </c>
      <c r="C272" s="383">
        <f>$C$187</f>
        <v>50765.460485376476</v>
      </c>
    </row>
    <row r="273" spans="1:3">
      <c r="A273" s="392" t="s">
        <v>200</v>
      </c>
      <c r="B273" s="278" t="s">
        <v>108</v>
      </c>
      <c r="C273" s="450">
        <v>1.3</v>
      </c>
    </row>
    <row r="274" spans="1:3">
      <c r="A274" s="257" t="s">
        <v>201</v>
      </c>
      <c r="B274" s="278" t="s">
        <v>110</v>
      </c>
      <c r="C274" s="279">
        <f>C272/C273</f>
        <v>39050.354219520363</v>
      </c>
    </row>
    <row r="275" spans="1:3">
      <c r="A275" s="281" t="s">
        <v>334</v>
      </c>
      <c r="B275" s="305" t="s">
        <v>25</v>
      </c>
      <c r="C275" s="306">
        <f>$B$268</f>
        <v>0.02</v>
      </c>
    </row>
    <row r="276" spans="1:3">
      <c r="A276" s="281" t="s">
        <v>111</v>
      </c>
      <c r="B276" s="278" t="s">
        <v>110</v>
      </c>
      <c r="C276" s="289">
        <f>C274*C275</f>
        <v>781.00708439040727</v>
      </c>
    </row>
    <row r="277" spans="1:3">
      <c r="A277" s="281" t="s">
        <v>112</v>
      </c>
      <c r="B277" s="278" t="s">
        <v>108</v>
      </c>
      <c r="C277" s="307">
        <f>B267</f>
        <v>1.0206786471090072</v>
      </c>
    </row>
    <row r="278" spans="1:3" ht="14.65" thickBot="1">
      <c r="A278" s="255" t="s">
        <v>334</v>
      </c>
      <c r="B278" s="271" t="s">
        <v>35</v>
      </c>
      <c r="C278" s="280">
        <f>C276*C277</f>
        <v>797.15725427815119</v>
      </c>
    </row>
    <row r="279" spans="1:3" hidden="1">
      <c r="A279" s="79"/>
      <c r="B279" s="79"/>
      <c r="C279" s="79"/>
    </row>
    <row r="280" spans="1:3" ht="14.65" hidden="1" thickBot="1">
      <c r="A280" s="79" t="s">
        <v>47</v>
      </c>
      <c r="B280" s="79"/>
      <c r="C280" s="79"/>
    </row>
    <row r="281" spans="1:3" ht="14.65" hidden="1" thickBot="1">
      <c r="A281" s="103" t="s">
        <v>53</v>
      </c>
      <c r="B281" s="102" t="s">
        <v>18</v>
      </c>
      <c r="C281" s="17" t="s">
        <v>106</v>
      </c>
    </row>
    <row r="282" spans="1:3" hidden="1">
      <c r="A282" s="272" t="s">
        <v>202</v>
      </c>
      <c r="B282" s="278" t="s">
        <v>35</v>
      </c>
      <c r="C282" s="279">
        <f>$C$201</f>
        <v>7577.1689887990069</v>
      </c>
    </row>
    <row r="283" spans="1:3" hidden="1">
      <c r="A283" s="257" t="s">
        <v>115</v>
      </c>
      <c r="B283" s="278" t="s">
        <v>24</v>
      </c>
      <c r="C283" s="312">
        <v>0.05</v>
      </c>
    </row>
    <row r="284" spans="1:3" hidden="1">
      <c r="A284" s="257" t="s">
        <v>113</v>
      </c>
      <c r="B284" s="278" t="s">
        <v>35</v>
      </c>
      <c r="C284" s="295">
        <f>$C$278</f>
        <v>797.15725427815119</v>
      </c>
    </row>
    <row r="285" spans="1:3" hidden="1">
      <c r="A285" s="257" t="s">
        <v>116</v>
      </c>
      <c r="B285" s="278" t="s">
        <v>35</v>
      </c>
      <c r="C285" s="295">
        <f>C284*C283</f>
        <v>39.857862713907565</v>
      </c>
    </row>
    <row r="286" spans="1:3" hidden="1">
      <c r="A286" s="257" t="s">
        <v>430</v>
      </c>
      <c r="B286" s="278" t="s">
        <v>35</v>
      </c>
      <c r="C286" s="279">
        <f>C282+C285</f>
        <v>7617.0268515129146</v>
      </c>
    </row>
    <row r="287" spans="1:3" hidden="1">
      <c r="A287" s="257" t="s">
        <v>114</v>
      </c>
      <c r="B287" s="278" t="s">
        <v>35</v>
      </c>
      <c r="C287" s="279">
        <f>$C$272+$C$278</f>
        <v>51562.617739654626</v>
      </c>
    </row>
    <row r="288" spans="1:3" hidden="1">
      <c r="A288" s="299" t="s">
        <v>64</v>
      </c>
      <c r="B288" s="260" t="s">
        <v>24</v>
      </c>
      <c r="C288" s="300">
        <f>C286/C287</f>
        <v>0.14772381980240273</v>
      </c>
    </row>
    <row r="289" spans="1:3" hidden="1">
      <c r="A289" s="257" t="s">
        <v>134</v>
      </c>
      <c r="B289" s="278" t="s">
        <v>35</v>
      </c>
      <c r="C289" s="279">
        <f>$C$206</f>
        <v>43188.291496577469</v>
      </c>
    </row>
    <row r="290" spans="1:3" hidden="1">
      <c r="A290" s="257" t="s">
        <v>117</v>
      </c>
      <c r="B290" s="278" t="s">
        <v>24</v>
      </c>
      <c r="C290" s="312">
        <f>1-C283</f>
        <v>0.95</v>
      </c>
    </row>
    <row r="291" spans="1:3" hidden="1">
      <c r="A291" s="257" t="s">
        <v>113</v>
      </c>
      <c r="B291" s="278" t="s">
        <v>35</v>
      </c>
      <c r="C291" s="295">
        <f>$C$278</f>
        <v>797.15725427815119</v>
      </c>
    </row>
    <row r="292" spans="1:3" hidden="1">
      <c r="A292" s="257" t="s">
        <v>118</v>
      </c>
      <c r="B292" s="278" t="s">
        <v>35</v>
      </c>
      <c r="C292" s="279">
        <f>C290*C291</f>
        <v>757.29939156424359</v>
      </c>
    </row>
    <row r="293" spans="1:3" hidden="1">
      <c r="A293" s="257" t="s">
        <v>65</v>
      </c>
      <c r="B293" s="278" t="s">
        <v>35</v>
      </c>
      <c r="C293" s="279">
        <f>C289+C292</f>
        <v>43945.590888141713</v>
      </c>
    </row>
    <row r="294" spans="1:3" hidden="1">
      <c r="A294" s="257" t="s">
        <v>114</v>
      </c>
      <c r="B294" s="278" t="s">
        <v>35</v>
      </c>
      <c r="C294" s="279">
        <f>$C$272+$C$278</f>
        <v>51562.617739654626</v>
      </c>
    </row>
    <row r="295" spans="1:3" ht="14.65" hidden="1" thickBot="1">
      <c r="A295" s="301" t="s">
        <v>66</v>
      </c>
      <c r="B295" s="277" t="s">
        <v>24</v>
      </c>
      <c r="C295" s="303">
        <f>C293/C294</f>
        <v>0.85227618019759732</v>
      </c>
    </row>
    <row r="296" spans="1:3">
      <c r="A296" s="83"/>
      <c r="B296" s="77"/>
      <c r="C296" s="96"/>
    </row>
    <row r="297" spans="1:3" ht="14.65" thickBot="1">
      <c r="A297" s="79" t="s">
        <v>373</v>
      </c>
    </row>
    <row r="298" spans="1:3" ht="14.65" thickBot="1">
      <c r="A298" s="605" t="s">
        <v>23</v>
      </c>
      <c r="B298" s="1057">
        <v>1.3</v>
      </c>
      <c r="C298" s="1058"/>
    </row>
    <row r="299" spans="1:3" ht="14.65" thickBot="1">
      <c r="A299" s="2"/>
      <c r="B299" s="1059" t="s">
        <v>120</v>
      </c>
      <c r="C299" s="1060"/>
    </row>
    <row r="300" spans="1:3">
      <c r="A300" s="703" t="s">
        <v>77</v>
      </c>
      <c r="B300" s="273" t="s">
        <v>157</v>
      </c>
      <c r="C300" s="285">
        <v>0.99</v>
      </c>
    </row>
    <row r="301" spans="1:3">
      <c r="A301" s="232" t="s">
        <v>73</v>
      </c>
      <c r="B301" s="704" t="s">
        <v>158</v>
      </c>
      <c r="C301" s="705">
        <v>0.9</v>
      </c>
    </row>
    <row r="302" spans="1:3">
      <c r="A302" s="232" t="s">
        <v>86</v>
      </c>
      <c r="B302" s="704" t="s">
        <v>179</v>
      </c>
      <c r="C302" s="705">
        <v>0</v>
      </c>
    </row>
    <row r="303" spans="1:3">
      <c r="A303" s="232" t="s">
        <v>82</v>
      </c>
      <c r="B303" s="704" t="s">
        <v>179</v>
      </c>
      <c r="C303" s="705">
        <v>0</v>
      </c>
    </row>
    <row r="304" spans="1:3">
      <c r="A304" s="232" t="s">
        <v>72</v>
      </c>
      <c r="B304" s="704" t="s">
        <v>179</v>
      </c>
      <c r="C304" s="705">
        <v>0</v>
      </c>
    </row>
    <row r="305" spans="1:4">
      <c r="A305" s="232" t="s">
        <v>78</v>
      </c>
      <c r="B305" s="704" t="s">
        <v>179</v>
      </c>
      <c r="C305" s="705">
        <v>0</v>
      </c>
    </row>
    <row r="306" spans="1:4">
      <c r="A306" s="232" t="s">
        <v>80</v>
      </c>
      <c r="B306" s="704" t="s">
        <v>179</v>
      </c>
      <c r="C306" s="705">
        <v>0</v>
      </c>
    </row>
    <row r="307" spans="1:4">
      <c r="A307" s="232" t="s">
        <v>83</v>
      </c>
      <c r="B307" s="704" t="s">
        <v>179</v>
      </c>
      <c r="C307" s="705">
        <v>0</v>
      </c>
    </row>
    <row r="308" spans="1:4">
      <c r="A308" s="232" t="s">
        <v>79</v>
      </c>
      <c r="B308" s="704" t="s">
        <v>179</v>
      </c>
      <c r="C308" s="705">
        <v>0</v>
      </c>
    </row>
    <row r="309" spans="1:4">
      <c r="A309" s="232" t="s">
        <v>75</v>
      </c>
      <c r="B309" s="704" t="s">
        <v>322</v>
      </c>
      <c r="C309" s="707">
        <v>0</v>
      </c>
    </row>
    <row r="310" spans="1:4" ht="14.65" thickBot="1">
      <c r="A310" s="233" t="s">
        <v>84</v>
      </c>
      <c r="B310" s="708" t="s">
        <v>323</v>
      </c>
      <c r="C310" s="709">
        <v>0</v>
      </c>
    </row>
    <row r="311" spans="1:4">
      <c r="A311" s="78"/>
      <c r="B311" s="97"/>
      <c r="C311" s="98"/>
    </row>
    <row r="312" spans="1:4" ht="14.65" thickBot="1">
      <c r="A312" s="79" t="s">
        <v>273</v>
      </c>
    </row>
    <row r="313" spans="1:4">
      <c r="A313" s="18"/>
      <c r="B313" s="266" t="s">
        <v>120</v>
      </c>
      <c r="C313" s="274" t="s">
        <v>243</v>
      </c>
      <c r="D313" s="275" t="s">
        <v>244</v>
      </c>
    </row>
    <row r="314" spans="1:4" ht="14.65" thickBot="1">
      <c r="A314" s="21"/>
      <c r="B314" s="351" t="s">
        <v>237</v>
      </c>
      <c r="C314" s="325" t="s">
        <v>35</v>
      </c>
      <c r="D314" s="326" t="s">
        <v>35</v>
      </c>
    </row>
    <row r="315" spans="1:4">
      <c r="A315" s="106" t="s">
        <v>72</v>
      </c>
      <c r="B315" s="361">
        <f>C304</f>
        <v>0</v>
      </c>
      <c r="C315" s="378">
        <f>B214</f>
        <v>232.05227593765397</v>
      </c>
      <c r="D315" s="362">
        <f>C315*B315</f>
        <v>0</v>
      </c>
    </row>
    <row r="316" spans="1:4">
      <c r="A316" s="107" t="s">
        <v>73</v>
      </c>
      <c r="B316" s="363">
        <f>C301</f>
        <v>0.9</v>
      </c>
      <c r="C316" s="378">
        <f>B215</f>
        <v>0.22172258616285537</v>
      </c>
      <c r="D316" s="362">
        <f t="shared" ref="D316:D327" si="44">C316*B316</f>
        <v>0.19955032754656984</v>
      </c>
    </row>
    <row r="317" spans="1:4">
      <c r="A317" s="107" t="s">
        <v>75</v>
      </c>
      <c r="B317" s="363">
        <f>C309</f>
        <v>0</v>
      </c>
      <c r="C317" s="378" t="s">
        <v>89</v>
      </c>
      <c r="D317" s="362">
        <v>0</v>
      </c>
    </row>
    <row r="318" spans="1:4">
      <c r="A318" s="108" t="s">
        <v>77</v>
      </c>
      <c r="B318" s="363">
        <f>C300</f>
        <v>0.99</v>
      </c>
      <c r="C318" s="378">
        <f>B219</f>
        <v>3.8026688557300705</v>
      </c>
      <c r="D318" s="362">
        <f t="shared" si="44"/>
        <v>3.7646421671727697</v>
      </c>
    </row>
    <row r="319" spans="1:4">
      <c r="A319" s="108" t="s">
        <v>78</v>
      </c>
      <c r="B319" s="363">
        <f>C305</f>
        <v>0</v>
      </c>
      <c r="C319" s="378">
        <f>B220</f>
        <v>386.05902824466716</v>
      </c>
      <c r="D319" s="362">
        <f t="shared" si="44"/>
        <v>0</v>
      </c>
    </row>
    <row r="320" spans="1:4">
      <c r="A320" s="108" t="s">
        <v>79</v>
      </c>
      <c r="B320" s="363">
        <f>C308</f>
        <v>0</v>
      </c>
      <c r="C320" s="378">
        <f>B221</f>
        <v>49.205527374642131</v>
      </c>
      <c r="D320" s="362">
        <f t="shared" si="44"/>
        <v>0</v>
      </c>
    </row>
    <row r="321" spans="1:4">
      <c r="A321" s="108" t="s">
        <v>80</v>
      </c>
      <c r="B321" s="363">
        <f>C306</f>
        <v>0</v>
      </c>
      <c r="C321" s="378">
        <f>B222</f>
        <v>71.578956334809078</v>
      </c>
      <c r="D321" s="362">
        <f t="shared" si="44"/>
        <v>0</v>
      </c>
    </row>
    <row r="322" spans="1:4">
      <c r="A322" s="108" t="s">
        <v>82</v>
      </c>
      <c r="B322" s="363">
        <f>C303</f>
        <v>0</v>
      </c>
      <c r="C322" s="378">
        <f>B224</f>
        <v>0.69882090882603376</v>
      </c>
      <c r="D322" s="362">
        <f t="shared" si="44"/>
        <v>0</v>
      </c>
    </row>
    <row r="323" spans="1:4">
      <c r="A323" s="108" t="s">
        <v>213</v>
      </c>
      <c r="B323" s="363">
        <f>C307</f>
        <v>0</v>
      </c>
      <c r="C323" s="576" t="s">
        <v>89</v>
      </c>
      <c r="D323" s="742">
        <v>0</v>
      </c>
    </row>
    <row r="324" spans="1:4">
      <c r="A324" s="575" t="s">
        <v>96</v>
      </c>
      <c r="B324" s="363">
        <f>C307</f>
        <v>0</v>
      </c>
      <c r="C324" s="577">
        <f>B226</f>
        <v>2854.5306122448978</v>
      </c>
      <c r="D324" s="362">
        <f t="shared" si="44"/>
        <v>0</v>
      </c>
    </row>
    <row r="325" spans="1:4">
      <c r="A325" s="575" t="s">
        <v>84</v>
      </c>
      <c r="B325" s="574">
        <f>C310</f>
        <v>0</v>
      </c>
      <c r="C325" s="577">
        <f>B228</f>
        <v>0.10838288181260813</v>
      </c>
      <c r="D325" s="362">
        <f t="shared" si="44"/>
        <v>0</v>
      </c>
    </row>
    <row r="326" spans="1:4">
      <c r="A326" s="575" t="s">
        <v>248</v>
      </c>
      <c r="B326" s="574">
        <v>1</v>
      </c>
      <c r="C326" s="577">
        <f>C278*B264*32/78</f>
        <v>16.35194367750054</v>
      </c>
      <c r="D326" s="362">
        <f t="shared" si="44"/>
        <v>16.35194367750054</v>
      </c>
    </row>
    <row r="327" spans="1:4" ht="14.65" thickBot="1">
      <c r="A327" s="109" t="s">
        <v>86</v>
      </c>
      <c r="B327" s="116">
        <f>C302</f>
        <v>0</v>
      </c>
      <c r="C327" s="236">
        <f>B234</f>
        <v>10.760662205067051</v>
      </c>
      <c r="D327" s="125">
        <f t="shared" si="44"/>
        <v>0</v>
      </c>
    </row>
    <row r="329" spans="1:4" ht="14.65" thickBot="1">
      <c r="A329" s="79" t="s">
        <v>272</v>
      </c>
      <c r="D329" s="99"/>
    </row>
    <row r="330" spans="1:4" ht="14.65" thickBot="1">
      <c r="A330" s="16" t="s">
        <v>90</v>
      </c>
      <c r="B330" s="101" t="s">
        <v>18</v>
      </c>
      <c r="C330" s="17" t="s">
        <v>91</v>
      </c>
    </row>
    <row r="331" spans="1:4">
      <c r="A331" s="272" t="s">
        <v>9</v>
      </c>
      <c r="B331" s="278" t="s">
        <v>35</v>
      </c>
      <c r="C331" s="279">
        <f>$C$272</f>
        <v>50765.460485376476</v>
      </c>
    </row>
    <row r="332" spans="1:4">
      <c r="A332" s="281" t="s">
        <v>334</v>
      </c>
      <c r="B332" s="278" t="s">
        <v>35</v>
      </c>
      <c r="C332" s="289">
        <f>$C$278</f>
        <v>797.15725427815119</v>
      </c>
    </row>
    <row r="333" spans="1:4" ht="14.65" thickBot="1">
      <c r="A333" s="255" t="s">
        <v>6</v>
      </c>
      <c r="B333" s="271" t="s">
        <v>35</v>
      </c>
      <c r="C333" s="280">
        <f>C331+C332</f>
        <v>51562.617739654626</v>
      </c>
    </row>
    <row r="334" spans="1:4">
      <c r="B334" s="77"/>
      <c r="C334" s="83"/>
    </row>
    <row r="335" spans="1:4" ht="14.65" thickBot="1">
      <c r="A335" s="79" t="s">
        <v>203</v>
      </c>
      <c r="B335" s="79"/>
      <c r="C335" s="79"/>
      <c r="D335" s="99"/>
    </row>
    <row r="336" spans="1:4" ht="14.65" thickBot="1">
      <c r="A336" s="191" t="s">
        <v>90</v>
      </c>
      <c r="B336" s="192" t="s">
        <v>18</v>
      </c>
      <c r="C336" s="193" t="s">
        <v>106</v>
      </c>
      <c r="D336" s="99"/>
    </row>
    <row r="337" spans="1:4">
      <c r="A337" s="272" t="s">
        <v>202</v>
      </c>
      <c r="B337" s="298" t="s">
        <v>35</v>
      </c>
      <c r="C337" s="313">
        <f>$C$201</f>
        <v>7577.1689887990069</v>
      </c>
      <c r="D337" s="99"/>
    </row>
    <row r="338" spans="1:4">
      <c r="A338" s="257" t="s">
        <v>115</v>
      </c>
      <c r="B338" s="278" t="s">
        <v>24</v>
      </c>
      <c r="C338" s="312">
        <v>0.05</v>
      </c>
      <c r="D338" s="99"/>
    </row>
    <row r="339" spans="1:4">
      <c r="A339" s="257" t="s">
        <v>334</v>
      </c>
      <c r="B339" s="278" t="s">
        <v>35</v>
      </c>
      <c r="C339" s="295">
        <f>$C$278</f>
        <v>797.15725427815119</v>
      </c>
      <c r="D339" s="99"/>
    </row>
    <row r="340" spans="1:4">
      <c r="A340" s="257" t="s">
        <v>429</v>
      </c>
      <c r="B340" s="278" t="s">
        <v>35</v>
      </c>
      <c r="C340" s="295">
        <f>C339*C338</f>
        <v>39.857862713907565</v>
      </c>
      <c r="D340" s="99"/>
    </row>
    <row r="341" spans="1:4">
      <c r="A341" s="257" t="s">
        <v>337</v>
      </c>
      <c r="B341" s="278" t="s">
        <v>35</v>
      </c>
      <c r="C341" s="279">
        <f>C337+C340</f>
        <v>7617.0268515129146</v>
      </c>
      <c r="D341" s="99"/>
    </row>
    <row r="342" spans="1:4">
      <c r="A342" s="257" t="s">
        <v>6</v>
      </c>
      <c r="B342" s="278" t="s">
        <v>35</v>
      </c>
      <c r="C342" s="289">
        <f>$C$333</f>
        <v>51562.617739654626</v>
      </c>
      <c r="D342" s="99"/>
    </row>
    <row r="343" spans="1:4">
      <c r="A343" s="299" t="s">
        <v>64</v>
      </c>
      <c r="B343" s="260" t="s">
        <v>24</v>
      </c>
      <c r="C343" s="300">
        <f>C341/C342</f>
        <v>0.14772381980240273</v>
      </c>
      <c r="D343" s="99"/>
    </row>
    <row r="344" spans="1:4">
      <c r="A344" s="257" t="s">
        <v>342</v>
      </c>
      <c r="B344" s="278" t="s">
        <v>35</v>
      </c>
      <c r="C344" s="279">
        <f>$C$206</f>
        <v>43188.291496577469</v>
      </c>
    </row>
    <row r="345" spans="1:4">
      <c r="A345" s="257" t="s">
        <v>117</v>
      </c>
      <c r="B345" s="278" t="s">
        <v>24</v>
      </c>
      <c r="C345" s="312">
        <f>1-C338</f>
        <v>0.95</v>
      </c>
    </row>
    <row r="346" spans="1:4">
      <c r="A346" s="257" t="s">
        <v>334</v>
      </c>
      <c r="B346" s="278" t="s">
        <v>35</v>
      </c>
      <c r="C346" s="295">
        <f>$C$278</f>
        <v>797.15725427815119</v>
      </c>
    </row>
    <row r="347" spans="1:4">
      <c r="A347" s="257" t="s">
        <v>356</v>
      </c>
      <c r="B347" s="278" t="s">
        <v>35</v>
      </c>
      <c r="C347" s="279">
        <f>C345*C346</f>
        <v>757.29939156424359</v>
      </c>
    </row>
    <row r="348" spans="1:4">
      <c r="A348" s="257" t="s">
        <v>335</v>
      </c>
      <c r="B348" s="278" t="s">
        <v>35</v>
      </c>
      <c r="C348" s="279">
        <f>C344+C347</f>
        <v>43945.590888141713</v>
      </c>
    </row>
    <row r="349" spans="1:4">
      <c r="A349" s="257" t="s">
        <v>6</v>
      </c>
      <c r="B349" s="278" t="s">
        <v>35</v>
      </c>
      <c r="C349" s="289">
        <f>$C$333</f>
        <v>51562.617739654626</v>
      </c>
    </row>
    <row r="350" spans="1:4" ht="14.65" thickBot="1">
      <c r="A350" s="366" t="s">
        <v>66</v>
      </c>
      <c r="B350" s="365" t="s">
        <v>24</v>
      </c>
      <c r="C350" s="303">
        <f>C348/C349</f>
        <v>0.85227618019759732</v>
      </c>
    </row>
    <row r="351" spans="1:4">
      <c r="A351" s="83"/>
      <c r="B351" s="77"/>
      <c r="C351" s="96"/>
    </row>
    <row r="352" spans="1:4" ht="14.65" thickBot="1">
      <c r="A352" s="79" t="s">
        <v>124</v>
      </c>
    </row>
    <row r="353" spans="1:12" ht="14.65" thickBot="1">
      <c r="A353" s="419"/>
      <c r="B353" s="1062" t="s">
        <v>262</v>
      </c>
      <c r="C353" s="1063"/>
      <c r="D353" s="1063"/>
      <c r="E353" s="1063"/>
      <c r="F353" s="1064"/>
      <c r="G353" s="1062" t="s">
        <v>263</v>
      </c>
      <c r="H353" s="1063"/>
      <c r="I353" s="1063"/>
      <c r="J353" s="1063"/>
      <c r="K353" s="1063"/>
      <c r="L353" s="1066"/>
    </row>
    <row r="354" spans="1:12">
      <c r="A354" s="452"/>
      <c r="B354" s="1024" t="s">
        <v>275</v>
      </c>
      <c r="C354" s="1041" t="s">
        <v>243</v>
      </c>
      <c r="D354" s="1041" t="s">
        <v>256</v>
      </c>
      <c r="E354" s="1041" t="s">
        <v>337</v>
      </c>
      <c r="F354" s="1083" t="s">
        <v>276</v>
      </c>
      <c r="G354" s="1022" t="s">
        <v>269</v>
      </c>
      <c r="H354" s="1054"/>
      <c r="I354" s="1022" t="s">
        <v>277</v>
      </c>
      <c r="J354" s="1032"/>
      <c r="K354" s="1032"/>
      <c r="L354" s="1023"/>
    </row>
    <row r="355" spans="1:12">
      <c r="A355" s="219" t="s">
        <v>93</v>
      </c>
      <c r="B355" s="1067"/>
      <c r="C355" s="1042"/>
      <c r="D355" s="1042"/>
      <c r="E355" s="1042"/>
      <c r="F355" s="1084"/>
      <c r="G355" s="1033"/>
      <c r="H355" s="1046"/>
      <c r="I355" s="1033" t="s">
        <v>243</v>
      </c>
      <c r="J355" s="1034"/>
      <c r="K355" s="1034" t="s">
        <v>256</v>
      </c>
      <c r="L355" s="1035"/>
    </row>
    <row r="356" spans="1:12" ht="14.65" thickBot="1">
      <c r="A356" s="220" t="s">
        <v>18</v>
      </c>
      <c r="B356" s="403" t="s">
        <v>35</v>
      </c>
      <c r="C356" s="154" t="s">
        <v>35</v>
      </c>
      <c r="D356" s="154" t="s">
        <v>35</v>
      </c>
      <c r="E356" s="154" t="s">
        <v>35</v>
      </c>
      <c r="F356" s="423" t="s">
        <v>35</v>
      </c>
      <c r="G356" s="403" t="s">
        <v>257</v>
      </c>
      <c r="H356" s="423" t="s">
        <v>237</v>
      </c>
      <c r="I356" s="403" t="s">
        <v>70</v>
      </c>
      <c r="J356" s="154" t="s">
        <v>237</v>
      </c>
      <c r="K356" s="154" t="s">
        <v>70</v>
      </c>
      <c r="L356" s="155" t="s">
        <v>237</v>
      </c>
    </row>
    <row r="357" spans="1:12">
      <c r="A357" s="150" t="s">
        <v>72</v>
      </c>
      <c r="B357" s="540">
        <f>B214</f>
        <v>232.05227593765397</v>
      </c>
      <c r="C357" s="428">
        <f>B357-D357</f>
        <v>232.05227593765397</v>
      </c>
      <c r="D357" s="580">
        <f>D315</f>
        <v>0</v>
      </c>
      <c r="E357" s="428">
        <f>$C$341</f>
        <v>7617.0268515129146</v>
      </c>
      <c r="F357" s="545">
        <f>$C$333</f>
        <v>51562.617739654626</v>
      </c>
      <c r="G357" s="557">
        <f>B357/E357*1000000</f>
        <v>30464.941303385731</v>
      </c>
      <c r="H357" s="554">
        <f>G357/1000000</f>
        <v>3.0464941303385732E-2</v>
      </c>
      <c r="I357" s="557">
        <f>C357/F357*1000000</f>
        <v>4500.3974993921302</v>
      </c>
      <c r="J357" s="430">
        <f>I357/1000000</f>
        <v>4.5003974993921298E-3</v>
      </c>
      <c r="K357" s="431">
        <f>D357/F357*1000000</f>
        <v>0</v>
      </c>
      <c r="L357" s="433">
        <f>K357/1000000</f>
        <v>0</v>
      </c>
    </row>
    <row r="358" spans="1:12">
      <c r="A358" s="149" t="s">
        <v>73</v>
      </c>
      <c r="B358" s="541">
        <f>B215</f>
        <v>0.22172258616285537</v>
      </c>
      <c r="C358" s="235">
        <f t="shared" ref="C358:C372" si="45">B358-D358</f>
        <v>2.2172258616285523E-2</v>
      </c>
      <c r="D358" s="579">
        <f>D316</f>
        <v>0.19955032754656984</v>
      </c>
      <c r="E358" s="235">
        <f t="shared" ref="E358:E372" si="46">$C$341</f>
        <v>7617.0268515129146</v>
      </c>
      <c r="F358" s="546">
        <f t="shared" ref="F358:F372" si="47">$C$333</f>
        <v>51562.617739654626</v>
      </c>
      <c r="G358" s="558">
        <f t="shared" ref="G358:G372" si="48">B358/E358*1000000</f>
        <v>29.108809839473814</v>
      </c>
      <c r="H358" s="555">
        <f t="shared" ref="H358:H372" si="49">G358/1000000</f>
        <v>2.9108809839473815E-5</v>
      </c>
      <c r="I358" s="558">
        <f t="shared" ref="I358:I372" si="50">C358/F358*1000000</f>
        <v>0.43000645793888342</v>
      </c>
      <c r="J358" s="425">
        <f t="shared" ref="J358:J372" si="51">I358/1000000</f>
        <v>4.3000645793888344E-7</v>
      </c>
      <c r="K358" s="426">
        <f t="shared" ref="K358:K372" si="52">D358/F358*1000000</f>
        <v>3.8700581214499539</v>
      </c>
      <c r="L358" s="434">
        <f t="shared" ref="L358:L372" si="53">K358/1000000</f>
        <v>3.8700581214499537E-6</v>
      </c>
    </row>
    <row r="359" spans="1:12">
      <c r="A359" s="149" t="s">
        <v>74</v>
      </c>
      <c r="B359" s="541">
        <f t="shared" ref="B359:B361" si="54">B216</f>
        <v>89.148027629919696</v>
      </c>
      <c r="C359" s="235">
        <f t="shared" si="45"/>
        <v>89.148027629919696</v>
      </c>
      <c r="D359" s="579">
        <v>0</v>
      </c>
      <c r="E359" s="235">
        <f t="shared" si="46"/>
        <v>7617.0268515129146</v>
      </c>
      <c r="F359" s="546">
        <f t="shared" si="47"/>
        <v>51562.617739654626</v>
      </c>
      <c r="G359" s="558">
        <f t="shared" si="48"/>
        <v>11703.782770860636</v>
      </c>
      <c r="H359" s="555">
        <f t="shared" si="49"/>
        <v>1.1703782770860637E-2</v>
      </c>
      <c r="I359" s="558">
        <f t="shared" si="50"/>
        <v>1728.9274970490826</v>
      </c>
      <c r="J359" s="425">
        <f t="shared" si="51"/>
        <v>1.7289274970490826E-3</v>
      </c>
      <c r="K359" s="426">
        <f t="shared" si="52"/>
        <v>0</v>
      </c>
      <c r="L359" s="434">
        <f t="shared" si="53"/>
        <v>0</v>
      </c>
    </row>
    <row r="360" spans="1:12">
      <c r="A360" s="149" t="s">
        <v>75</v>
      </c>
      <c r="B360" s="541" t="s">
        <v>89</v>
      </c>
      <c r="C360" s="235" t="s">
        <v>89</v>
      </c>
      <c r="D360" s="579">
        <f>D317</f>
        <v>0</v>
      </c>
      <c r="E360" s="235">
        <f t="shared" si="46"/>
        <v>7617.0268515129146</v>
      </c>
      <c r="F360" s="546">
        <f t="shared" si="47"/>
        <v>51562.617739654626</v>
      </c>
      <c r="G360" s="558" t="s">
        <v>89</v>
      </c>
      <c r="H360" s="555" t="s">
        <v>89</v>
      </c>
      <c r="I360" s="558" t="s">
        <v>89</v>
      </c>
      <c r="J360" s="425" t="s">
        <v>89</v>
      </c>
      <c r="K360" s="426">
        <f t="shared" si="52"/>
        <v>0</v>
      </c>
      <c r="L360" s="434">
        <f t="shared" si="53"/>
        <v>0</v>
      </c>
    </row>
    <row r="361" spans="1:12">
      <c r="A361" s="149" t="s">
        <v>76</v>
      </c>
      <c r="B361" s="541">
        <f t="shared" si="54"/>
        <v>0.53048300578340524</v>
      </c>
      <c r="C361" s="235">
        <f t="shared" si="45"/>
        <v>0.53048300578340524</v>
      </c>
      <c r="D361" s="579">
        <v>0</v>
      </c>
      <c r="E361" s="235">
        <f t="shared" si="46"/>
        <v>7617.0268515129146</v>
      </c>
      <c r="F361" s="546">
        <f t="shared" si="47"/>
        <v>51562.617739654626</v>
      </c>
      <c r="G361" s="558">
        <f t="shared" si="48"/>
        <v>69.644365987503278</v>
      </c>
      <c r="H361" s="555">
        <f t="shared" si="49"/>
        <v>6.9644365987503283E-5</v>
      </c>
      <c r="I361" s="558">
        <f t="shared" si="50"/>
        <v>10.288131771390521</v>
      </c>
      <c r="J361" s="425">
        <f t="shared" si="51"/>
        <v>1.0288131771390522E-5</v>
      </c>
      <c r="K361" s="426">
        <f t="shared" si="52"/>
        <v>0</v>
      </c>
      <c r="L361" s="434">
        <f t="shared" si="53"/>
        <v>0</v>
      </c>
    </row>
    <row r="362" spans="1:12">
      <c r="A362" s="150" t="s">
        <v>77</v>
      </c>
      <c r="B362" s="541">
        <f t="shared" ref="B362:B367" si="55">B219</f>
        <v>3.8026688557300705</v>
      </c>
      <c r="C362" s="235">
        <f t="shared" si="45"/>
        <v>3.8026688557300847E-2</v>
      </c>
      <c r="D362" s="579">
        <f>D318</f>
        <v>3.7646421671727697</v>
      </c>
      <c r="E362" s="235">
        <f t="shared" si="46"/>
        <v>7617.0268515129146</v>
      </c>
      <c r="F362" s="546">
        <f t="shared" si="47"/>
        <v>51562.617739654626</v>
      </c>
      <c r="G362" s="558">
        <f t="shared" si="48"/>
        <v>499.23269667544548</v>
      </c>
      <c r="H362" s="555">
        <f t="shared" si="49"/>
        <v>4.9923269667544548E-4</v>
      </c>
      <c r="I362" s="558">
        <f t="shared" si="50"/>
        <v>0.73748560923151374</v>
      </c>
      <c r="J362" s="425">
        <f t="shared" si="51"/>
        <v>7.3748560923151372E-7</v>
      </c>
      <c r="K362" s="426">
        <f t="shared" si="52"/>
        <v>73.011075313919577</v>
      </c>
      <c r="L362" s="434">
        <f t="shared" si="53"/>
        <v>7.301107531391958E-5</v>
      </c>
    </row>
    <row r="363" spans="1:12">
      <c r="A363" s="150" t="s">
        <v>78</v>
      </c>
      <c r="B363" s="541">
        <f t="shared" si="55"/>
        <v>386.05902824466716</v>
      </c>
      <c r="C363" s="235">
        <f t="shared" si="45"/>
        <v>386.05902824466716</v>
      </c>
      <c r="D363" s="579">
        <f>D319</f>
        <v>0</v>
      </c>
      <c r="E363" s="235">
        <f t="shared" si="46"/>
        <v>7617.0268515129146</v>
      </c>
      <c r="F363" s="546">
        <f t="shared" si="47"/>
        <v>51562.617739654626</v>
      </c>
      <c r="G363" s="558">
        <f t="shared" si="48"/>
        <v>50683.690076264742</v>
      </c>
      <c r="H363" s="555">
        <f t="shared" si="49"/>
        <v>5.0683690076264741E-2</v>
      </c>
      <c r="I363" s="558">
        <f t="shared" si="50"/>
        <v>7487.1882997469602</v>
      </c>
      <c r="J363" s="425">
        <f t="shared" si="51"/>
        <v>7.4871882997469604E-3</v>
      </c>
      <c r="K363" s="426">
        <f t="shared" si="52"/>
        <v>0</v>
      </c>
      <c r="L363" s="434">
        <f t="shared" si="53"/>
        <v>0</v>
      </c>
    </row>
    <row r="364" spans="1:12">
      <c r="A364" s="150" t="s">
        <v>79</v>
      </c>
      <c r="B364" s="541">
        <f t="shared" si="55"/>
        <v>49.205527374642131</v>
      </c>
      <c r="C364" s="235">
        <f t="shared" si="45"/>
        <v>49.205527374642131</v>
      </c>
      <c r="D364" s="579">
        <f>D320</f>
        <v>0</v>
      </c>
      <c r="E364" s="235">
        <f t="shared" si="46"/>
        <v>7617.0268515129146</v>
      </c>
      <c r="F364" s="546">
        <f t="shared" si="47"/>
        <v>51562.617739654626</v>
      </c>
      <c r="G364" s="558">
        <f t="shared" si="48"/>
        <v>6459.9388099660955</v>
      </c>
      <c r="H364" s="555">
        <f t="shared" si="49"/>
        <v>6.4599388099660952E-3</v>
      </c>
      <c r="I364" s="558">
        <f t="shared" si="50"/>
        <v>954.28683669797942</v>
      </c>
      <c r="J364" s="425">
        <f t="shared" si="51"/>
        <v>9.5428683669797939E-4</v>
      </c>
      <c r="K364" s="426">
        <f t="shared" si="52"/>
        <v>0</v>
      </c>
      <c r="L364" s="434">
        <f t="shared" si="53"/>
        <v>0</v>
      </c>
    </row>
    <row r="365" spans="1:12">
      <c r="A365" s="150" t="s">
        <v>80</v>
      </c>
      <c r="B365" s="541">
        <f t="shared" si="55"/>
        <v>71.578956334809078</v>
      </c>
      <c r="C365" s="235">
        <f t="shared" si="45"/>
        <v>71.578956334809078</v>
      </c>
      <c r="D365" s="579">
        <f>D321</f>
        <v>0</v>
      </c>
      <c r="E365" s="235">
        <f t="shared" si="46"/>
        <v>7617.0268515129146</v>
      </c>
      <c r="F365" s="546">
        <f t="shared" si="47"/>
        <v>51562.617739654626</v>
      </c>
      <c r="G365" s="558">
        <f t="shared" si="48"/>
        <v>9397.2304063221036</v>
      </c>
      <c r="H365" s="555">
        <f t="shared" si="49"/>
        <v>9.3972304063221039E-3</v>
      </c>
      <c r="I365" s="558">
        <f t="shared" si="50"/>
        <v>1388.1947711851863</v>
      </c>
      <c r="J365" s="425">
        <f t="shared" si="51"/>
        <v>1.3881947711851862E-3</v>
      </c>
      <c r="K365" s="426">
        <f t="shared" si="52"/>
        <v>0</v>
      </c>
      <c r="L365" s="434">
        <f t="shared" si="53"/>
        <v>0</v>
      </c>
    </row>
    <row r="366" spans="1:12">
      <c r="A366" s="150" t="s">
        <v>81</v>
      </c>
      <c r="B366" s="541">
        <f t="shared" si="55"/>
        <v>47.7341524369997</v>
      </c>
      <c r="C366" s="235">
        <f t="shared" si="45"/>
        <v>47.7341524369997</v>
      </c>
      <c r="D366" s="579">
        <v>0</v>
      </c>
      <c r="E366" s="235">
        <f t="shared" si="46"/>
        <v>7617.0268515129146</v>
      </c>
      <c r="F366" s="546">
        <f t="shared" si="47"/>
        <v>51562.617739654626</v>
      </c>
      <c r="G366" s="558">
        <f t="shared" si="48"/>
        <v>6266.7696159583074</v>
      </c>
      <c r="H366" s="555">
        <f t="shared" si="49"/>
        <v>6.2667696159583071E-3</v>
      </c>
      <c r="I366" s="558">
        <f t="shared" si="50"/>
        <v>925.7511454909976</v>
      </c>
      <c r="J366" s="425">
        <f t="shared" si="51"/>
        <v>9.2575114549099755E-4</v>
      </c>
      <c r="K366" s="426">
        <f t="shared" si="52"/>
        <v>0</v>
      </c>
      <c r="L366" s="434">
        <f t="shared" si="53"/>
        <v>0</v>
      </c>
    </row>
    <row r="367" spans="1:12">
      <c r="A367" s="150" t="s">
        <v>82</v>
      </c>
      <c r="B367" s="541">
        <f t="shared" si="55"/>
        <v>0.69882090882603376</v>
      </c>
      <c r="C367" s="235">
        <f t="shared" si="45"/>
        <v>0.69882090882603376</v>
      </c>
      <c r="D367" s="579">
        <f t="shared" ref="D367:D372" si="56">D322</f>
        <v>0</v>
      </c>
      <c r="E367" s="235">
        <f t="shared" si="46"/>
        <v>7617.0268515129146</v>
      </c>
      <c r="F367" s="546">
        <f t="shared" si="47"/>
        <v>51562.617739654626</v>
      </c>
      <c r="G367" s="558">
        <f t="shared" si="48"/>
        <v>91.74457730672593</v>
      </c>
      <c r="H367" s="555">
        <f t="shared" si="49"/>
        <v>9.1744577306725924E-5</v>
      </c>
      <c r="I367" s="558">
        <f t="shared" si="50"/>
        <v>13.552859405906387</v>
      </c>
      <c r="J367" s="425">
        <f t="shared" si="51"/>
        <v>1.3552859405906387E-5</v>
      </c>
      <c r="K367" s="426">
        <f t="shared" si="52"/>
        <v>0</v>
      </c>
      <c r="L367" s="434">
        <f t="shared" si="53"/>
        <v>0</v>
      </c>
    </row>
    <row r="368" spans="1:12">
      <c r="A368" s="150" t="s">
        <v>213</v>
      </c>
      <c r="B368" s="33" t="s">
        <v>89</v>
      </c>
      <c r="C368" s="235" t="s">
        <v>89</v>
      </c>
      <c r="D368" s="743">
        <f t="shared" si="56"/>
        <v>0</v>
      </c>
      <c r="E368" s="235">
        <f t="shared" si="46"/>
        <v>7617.0268515129146</v>
      </c>
      <c r="F368" s="546">
        <f t="shared" si="47"/>
        <v>51562.617739654626</v>
      </c>
      <c r="G368" s="558" t="s">
        <v>89</v>
      </c>
      <c r="H368" s="555" t="s">
        <v>89</v>
      </c>
      <c r="I368" s="558" t="s">
        <v>89</v>
      </c>
      <c r="J368" s="425" t="s">
        <v>89</v>
      </c>
      <c r="K368" s="426">
        <f t="shared" si="52"/>
        <v>0</v>
      </c>
      <c r="L368" s="434">
        <f t="shared" si="53"/>
        <v>0</v>
      </c>
    </row>
    <row r="369" spans="1:12">
      <c r="A369" s="150" t="s">
        <v>96</v>
      </c>
      <c r="B369" s="541">
        <f>B226</f>
        <v>2854.5306122448978</v>
      </c>
      <c r="C369" s="235">
        <f t="shared" si="45"/>
        <v>2854.5306122448978</v>
      </c>
      <c r="D369" s="579">
        <f t="shared" si="56"/>
        <v>0</v>
      </c>
      <c r="E369" s="235">
        <f t="shared" si="46"/>
        <v>7617.0268515129146</v>
      </c>
      <c r="F369" s="546">
        <f t="shared" si="47"/>
        <v>51562.617739654626</v>
      </c>
      <c r="G369" s="558">
        <f t="shared" si="48"/>
        <v>374756.53793683602</v>
      </c>
      <c r="H369" s="555">
        <f t="shared" si="49"/>
        <v>0.374756537936836</v>
      </c>
      <c r="I369" s="558">
        <f t="shared" si="50"/>
        <v>55360.46727995346</v>
      </c>
      <c r="J369" s="425">
        <f t="shared" si="51"/>
        <v>5.536046727995346E-2</v>
      </c>
      <c r="K369" s="426">
        <f t="shared" si="52"/>
        <v>0</v>
      </c>
      <c r="L369" s="434">
        <f t="shared" si="53"/>
        <v>0</v>
      </c>
    </row>
    <row r="370" spans="1:12">
      <c r="A370" s="151" t="s">
        <v>84</v>
      </c>
      <c r="B370" s="541">
        <f>B228</f>
        <v>0.10838288181260813</v>
      </c>
      <c r="C370" s="235">
        <f t="shared" si="45"/>
        <v>0.10838288181260813</v>
      </c>
      <c r="D370" s="579">
        <f t="shared" si="56"/>
        <v>0</v>
      </c>
      <c r="E370" s="235">
        <f t="shared" si="46"/>
        <v>7617.0268515129146</v>
      </c>
      <c r="F370" s="546">
        <f t="shared" si="47"/>
        <v>51562.617739654626</v>
      </c>
      <c r="G370" s="558">
        <f t="shared" si="48"/>
        <v>14.229027142142845</v>
      </c>
      <c r="H370" s="555">
        <f t="shared" si="49"/>
        <v>1.4229027142142845E-5</v>
      </c>
      <c r="I370" s="558">
        <f t="shared" si="50"/>
        <v>2.1019662415094076</v>
      </c>
      <c r="J370" s="425">
        <f t="shared" si="51"/>
        <v>2.1019662415094075E-6</v>
      </c>
      <c r="K370" s="426">
        <f t="shared" si="52"/>
        <v>0</v>
      </c>
      <c r="L370" s="434">
        <f t="shared" si="53"/>
        <v>0</v>
      </c>
    </row>
    <row r="371" spans="1:12">
      <c r="A371" s="151" t="s">
        <v>248</v>
      </c>
      <c r="B371" s="33">
        <f>C278*B264*32/78</f>
        <v>16.35194367750054</v>
      </c>
      <c r="C371" s="235">
        <f t="shared" si="45"/>
        <v>0</v>
      </c>
      <c r="D371" s="579">
        <f t="shared" si="56"/>
        <v>16.35194367750054</v>
      </c>
      <c r="E371" s="235">
        <f t="shared" si="46"/>
        <v>7617.0268515129146</v>
      </c>
      <c r="F371" s="546">
        <f t="shared" si="47"/>
        <v>51562.617739654626</v>
      </c>
      <c r="G371" s="558">
        <f t="shared" si="48"/>
        <v>2146.7619842055137</v>
      </c>
      <c r="H371" s="555">
        <f t="shared" si="49"/>
        <v>2.1467619842055136E-3</v>
      </c>
      <c r="I371" s="558">
        <f t="shared" si="50"/>
        <v>0</v>
      </c>
      <c r="J371" s="425">
        <f t="shared" si="51"/>
        <v>0</v>
      </c>
      <c r="K371" s="426">
        <f t="shared" si="52"/>
        <v>317.12788051342386</v>
      </c>
      <c r="L371" s="434">
        <f t="shared" si="53"/>
        <v>3.1712788051342384E-4</v>
      </c>
    </row>
    <row r="372" spans="1:12" ht="14.65" thickBot="1">
      <c r="A372" s="152" t="s">
        <v>86</v>
      </c>
      <c r="B372" s="542">
        <f>B234</f>
        <v>10.760662205067051</v>
      </c>
      <c r="C372" s="236">
        <f t="shared" si="45"/>
        <v>10.760662205067051</v>
      </c>
      <c r="D372" s="581">
        <f t="shared" si="56"/>
        <v>0</v>
      </c>
      <c r="E372" s="236">
        <f t="shared" si="46"/>
        <v>7617.0268515129146</v>
      </c>
      <c r="F372" s="547">
        <f t="shared" si="47"/>
        <v>51562.617739654626</v>
      </c>
      <c r="G372" s="559">
        <f t="shared" si="48"/>
        <v>1412.7116018935576</v>
      </c>
      <c r="H372" s="556">
        <f t="shared" si="49"/>
        <v>1.4127116018935577E-3</v>
      </c>
      <c r="I372" s="559">
        <f t="shared" si="50"/>
        <v>208.69115411088762</v>
      </c>
      <c r="J372" s="436">
        <f t="shared" si="51"/>
        <v>2.0869115411088762E-4</v>
      </c>
      <c r="K372" s="437">
        <f t="shared" si="52"/>
        <v>0</v>
      </c>
      <c r="L372" s="439">
        <f t="shared" si="53"/>
        <v>0</v>
      </c>
    </row>
    <row r="374" spans="1:12">
      <c r="A374" s="1" t="s">
        <v>204</v>
      </c>
      <c r="B374" s="1"/>
      <c r="C374" s="1"/>
    </row>
    <row r="375" spans="1:12" ht="14.65" thickBot="1">
      <c r="A375" s="79" t="s">
        <v>361</v>
      </c>
    </row>
    <row r="376" spans="1:12" ht="14.65" thickBot="1">
      <c r="A376" s="453" t="s">
        <v>26</v>
      </c>
      <c r="B376" s="454" t="s">
        <v>27</v>
      </c>
      <c r="C376" s="455" t="s">
        <v>355</v>
      </c>
    </row>
    <row r="377" spans="1:12" ht="14.65" thickBot="1">
      <c r="A377" s="456">
        <v>0.98599999999999999</v>
      </c>
      <c r="B377" s="457">
        <v>1.4E-2</v>
      </c>
      <c r="C377" s="458">
        <v>0.3</v>
      </c>
    </row>
    <row r="379" spans="1:12" ht="14.65" thickBot="1">
      <c r="A379" s="79" t="s">
        <v>287</v>
      </c>
    </row>
    <row r="380" spans="1:12">
      <c r="A380" s="18" t="s">
        <v>53</v>
      </c>
      <c r="B380" s="104" t="s">
        <v>18</v>
      </c>
      <c r="C380" s="15" t="s">
        <v>106</v>
      </c>
    </row>
    <row r="381" spans="1:12" ht="14.65" thickBot="1">
      <c r="A381" s="93" t="s">
        <v>6</v>
      </c>
      <c r="B381" s="271" t="s">
        <v>35</v>
      </c>
      <c r="C381" s="384">
        <f>$C$333</f>
        <v>51562.617739654626</v>
      </c>
    </row>
    <row r="382" spans="1:12" hidden="1">
      <c r="A382" s="83"/>
      <c r="B382" s="77"/>
      <c r="C382" s="95"/>
    </row>
    <row r="383" spans="1:12" ht="14.65" hidden="1" thickBot="1">
      <c r="A383" s="79" t="s">
        <v>47</v>
      </c>
      <c r="B383" s="79"/>
      <c r="C383" s="79"/>
    </row>
    <row r="384" spans="1:12" ht="14.65" hidden="1" thickBot="1">
      <c r="A384" s="103" t="s">
        <v>53</v>
      </c>
      <c r="B384" s="102" t="s">
        <v>18</v>
      </c>
      <c r="C384" s="17" t="s">
        <v>106</v>
      </c>
    </row>
    <row r="385" spans="1:3" hidden="1">
      <c r="A385" s="272" t="s">
        <v>202</v>
      </c>
      <c r="B385" s="278" t="s">
        <v>35</v>
      </c>
      <c r="C385" s="279">
        <f>$C$201</f>
        <v>7577.1689887990069</v>
      </c>
    </row>
    <row r="386" spans="1:3" hidden="1">
      <c r="A386" s="257" t="s">
        <v>115</v>
      </c>
      <c r="B386" s="278" t="s">
        <v>24</v>
      </c>
      <c r="C386" s="312">
        <v>0.05</v>
      </c>
    </row>
    <row r="387" spans="1:3" hidden="1">
      <c r="A387" s="257" t="s">
        <v>113</v>
      </c>
      <c r="B387" s="278" t="s">
        <v>35</v>
      </c>
      <c r="C387" s="295">
        <f>$C$278</f>
        <v>797.15725427815119</v>
      </c>
    </row>
    <row r="388" spans="1:3" hidden="1">
      <c r="A388" s="257" t="s">
        <v>116</v>
      </c>
      <c r="B388" s="278" t="s">
        <v>35</v>
      </c>
      <c r="C388" s="295">
        <f>C387*C386</f>
        <v>39.857862713907565</v>
      </c>
    </row>
    <row r="389" spans="1:3" hidden="1">
      <c r="A389" s="257" t="s">
        <v>430</v>
      </c>
      <c r="B389" s="278" t="s">
        <v>35</v>
      </c>
      <c r="C389" s="279">
        <f>C385+C388</f>
        <v>7617.0268515129146</v>
      </c>
    </row>
    <row r="390" spans="1:3" ht="14.65" hidden="1" thickBot="1">
      <c r="A390" s="360" t="s">
        <v>6</v>
      </c>
      <c r="B390" s="320" t="s">
        <v>35</v>
      </c>
      <c r="C390" s="321">
        <f>$C$333</f>
        <v>51562.617739654626</v>
      </c>
    </row>
    <row r="391" spans="1:3" hidden="1">
      <c r="A391" s="299" t="s">
        <v>64</v>
      </c>
      <c r="B391" s="260" t="s">
        <v>24</v>
      </c>
      <c r="C391" s="300">
        <f>C389/C390</f>
        <v>0.14772381980240273</v>
      </c>
    </row>
    <row r="392" spans="1:3" hidden="1">
      <c r="A392" s="257" t="s">
        <v>134</v>
      </c>
      <c r="B392" s="278" t="s">
        <v>35</v>
      </c>
      <c r="C392" s="279">
        <f>$C$206</f>
        <v>43188.291496577469</v>
      </c>
    </row>
    <row r="393" spans="1:3" hidden="1">
      <c r="A393" s="257" t="s">
        <v>117</v>
      </c>
      <c r="B393" s="278" t="s">
        <v>24</v>
      </c>
      <c r="C393" s="312">
        <f>1-C386</f>
        <v>0.95</v>
      </c>
    </row>
    <row r="394" spans="1:3" hidden="1">
      <c r="A394" s="257" t="s">
        <v>113</v>
      </c>
      <c r="B394" s="278" t="s">
        <v>35</v>
      </c>
      <c r="C394" s="295">
        <f>$C$278</f>
        <v>797.15725427815119</v>
      </c>
    </row>
    <row r="395" spans="1:3" hidden="1">
      <c r="A395" s="257" t="s">
        <v>118</v>
      </c>
      <c r="B395" s="278" t="s">
        <v>35</v>
      </c>
      <c r="C395" s="279">
        <f>C393*C394</f>
        <v>757.29939156424359</v>
      </c>
    </row>
    <row r="396" spans="1:3" hidden="1">
      <c r="A396" s="257" t="s">
        <v>65</v>
      </c>
      <c r="B396" s="278" t="s">
        <v>35</v>
      </c>
      <c r="C396" s="279">
        <f>C392+C395</f>
        <v>43945.590888141713</v>
      </c>
    </row>
    <row r="397" spans="1:3" ht="14.65" hidden="1" thickBot="1">
      <c r="A397" s="360" t="s">
        <v>6</v>
      </c>
      <c r="B397" s="320" t="s">
        <v>35</v>
      </c>
      <c r="C397" s="321">
        <f>$C$333</f>
        <v>51562.617739654626</v>
      </c>
    </row>
    <row r="398" spans="1:3" ht="14.65" hidden="1" thickBot="1">
      <c r="A398" s="301" t="s">
        <v>66</v>
      </c>
      <c r="B398" s="277" t="s">
        <v>24</v>
      </c>
      <c r="C398" s="303">
        <f>C396/C397</f>
        <v>0.85227618019759732</v>
      </c>
    </row>
    <row r="399" spans="1:3">
      <c r="A399" s="83"/>
      <c r="B399" s="77"/>
      <c r="C399" s="96"/>
    </row>
    <row r="400" spans="1:3" ht="14.65" thickBot="1">
      <c r="A400" s="79" t="s">
        <v>288</v>
      </c>
    </row>
    <row r="401" spans="1:3" ht="14.65" thickBot="1">
      <c r="A401" s="103" t="s">
        <v>90</v>
      </c>
      <c r="B401" s="102" t="s">
        <v>18</v>
      </c>
      <c r="C401" s="17" t="s">
        <v>91</v>
      </c>
    </row>
    <row r="402" spans="1:3">
      <c r="A402" s="276" t="s">
        <v>6</v>
      </c>
      <c r="B402" s="296" t="s">
        <v>35</v>
      </c>
      <c r="C402" s="286">
        <f>$C$381</f>
        <v>51562.617739654626</v>
      </c>
    </row>
    <row r="403" spans="1:3">
      <c r="A403" s="257" t="s">
        <v>130</v>
      </c>
      <c r="B403" s="278" t="s">
        <v>24</v>
      </c>
      <c r="C403" s="314">
        <f>A377</f>
        <v>0.98599999999999999</v>
      </c>
    </row>
    <row r="404" spans="1:3">
      <c r="A404" s="253" t="s">
        <v>191</v>
      </c>
      <c r="B404" s="270" t="s">
        <v>35</v>
      </c>
      <c r="C404" s="254">
        <f>C402*C403</f>
        <v>50840.74109129946</v>
      </c>
    </row>
    <row r="405" spans="1:3">
      <c r="A405" s="257" t="s">
        <v>131</v>
      </c>
      <c r="B405" s="278" t="s">
        <v>24</v>
      </c>
      <c r="C405" s="314">
        <f>B377</f>
        <v>1.4E-2</v>
      </c>
    </row>
    <row r="406" spans="1:3">
      <c r="A406" s="253" t="s">
        <v>192</v>
      </c>
      <c r="B406" s="270" t="s">
        <v>35</v>
      </c>
      <c r="C406" s="322">
        <f>C402*C405</f>
        <v>721.87664835516478</v>
      </c>
    </row>
    <row r="407" spans="1:3">
      <c r="A407" s="281" t="s">
        <v>355</v>
      </c>
      <c r="B407" s="278" t="s">
        <v>24</v>
      </c>
      <c r="C407" s="318">
        <f>C377</f>
        <v>0.3</v>
      </c>
    </row>
    <row r="408" spans="1:3">
      <c r="A408" s="315" t="s">
        <v>431</v>
      </c>
      <c r="B408" s="270" t="s">
        <v>35</v>
      </c>
      <c r="C408" s="317">
        <f>C406*C407</f>
        <v>216.56299450654942</v>
      </c>
    </row>
    <row r="409" spans="1:3">
      <c r="A409" s="281" t="s">
        <v>371</v>
      </c>
      <c r="B409" s="278" t="s">
        <v>24</v>
      </c>
      <c r="C409" s="318">
        <f>1-C407</f>
        <v>0.7</v>
      </c>
    </row>
    <row r="410" spans="1:3" ht="14.65" thickBot="1">
      <c r="A410" s="345" t="s">
        <v>372</v>
      </c>
      <c r="B410" s="271" t="s">
        <v>35</v>
      </c>
      <c r="C410" s="291">
        <f>C406*C409</f>
        <v>505.31365384861533</v>
      </c>
    </row>
    <row r="411" spans="1:3">
      <c r="A411" s="77"/>
      <c r="B411" s="77"/>
      <c r="C411" s="117"/>
    </row>
    <row r="412" spans="1:3" ht="14.65" thickBot="1">
      <c r="A412" s="79" t="s">
        <v>205</v>
      </c>
      <c r="B412" s="79"/>
      <c r="C412" s="79"/>
    </row>
    <row r="413" spans="1:3">
      <c r="A413" s="3" t="s">
        <v>90</v>
      </c>
      <c r="B413" s="14" t="s">
        <v>18</v>
      </c>
      <c r="C413" s="15" t="s">
        <v>106</v>
      </c>
    </row>
    <row r="414" spans="1:3">
      <c r="A414" s="282" t="s">
        <v>206</v>
      </c>
      <c r="B414" s="288" t="s">
        <v>35</v>
      </c>
      <c r="C414" s="279">
        <f>$C$389</f>
        <v>7617.0268515129146</v>
      </c>
    </row>
    <row r="415" spans="1:3">
      <c r="A415" s="287" t="s">
        <v>431</v>
      </c>
      <c r="B415" s="288" t="s">
        <v>35</v>
      </c>
      <c r="C415" s="289">
        <f>$C$408</f>
        <v>216.56299450654942</v>
      </c>
    </row>
    <row r="416" spans="1:3">
      <c r="A416" s="282" t="s">
        <v>374</v>
      </c>
      <c r="B416" s="288" t="s">
        <v>35</v>
      </c>
      <c r="C416" s="279">
        <f>C414-C415</f>
        <v>7400.4638570063653</v>
      </c>
    </row>
    <row r="417" spans="1:8">
      <c r="A417" s="282" t="s">
        <v>191</v>
      </c>
      <c r="B417" s="288" t="s">
        <v>35</v>
      </c>
      <c r="C417" s="279">
        <f>$C$404</f>
        <v>50840.74109129946</v>
      </c>
    </row>
    <row r="418" spans="1:8">
      <c r="A418" s="310" t="s">
        <v>64</v>
      </c>
      <c r="B418" s="283" t="s">
        <v>24</v>
      </c>
      <c r="C418" s="300">
        <f>C416/C417</f>
        <v>0.14556168336957681</v>
      </c>
    </row>
    <row r="419" spans="1:8">
      <c r="A419" s="282" t="s">
        <v>335</v>
      </c>
      <c r="B419" s="288" t="s">
        <v>35</v>
      </c>
      <c r="C419" s="279">
        <f>C396</f>
        <v>43945.590888141713</v>
      </c>
    </row>
    <row r="420" spans="1:8">
      <c r="A420" s="287" t="s">
        <v>372</v>
      </c>
      <c r="B420" s="288" t="s">
        <v>35</v>
      </c>
      <c r="C420" s="289">
        <f>$C$410</f>
        <v>505.31365384861533</v>
      </c>
    </row>
    <row r="421" spans="1:8">
      <c r="A421" s="282" t="s">
        <v>376</v>
      </c>
      <c r="B421" s="288" t="s">
        <v>35</v>
      </c>
      <c r="C421" s="279">
        <f>C419-C420</f>
        <v>43440.277234293098</v>
      </c>
    </row>
    <row r="422" spans="1:8">
      <c r="A422" s="282" t="s">
        <v>191</v>
      </c>
      <c r="B422" s="288" t="s">
        <v>35</v>
      </c>
      <c r="C422" s="279">
        <f>$C$404</f>
        <v>50840.74109129946</v>
      </c>
    </row>
    <row r="423" spans="1:8" ht="14.65" thickBot="1">
      <c r="A423" s="311" t="s">
        <v>66</v>
      </c>
      <c r="B423" s="284" t="s">
        <v>24</v>
      </c>
      <c r="C423" s="303">
        <f>C421/C422</f>
        <v>0.85443831663042324</v>
      </c>
    </row>
    <row r="424" spans="1:8">
      <c r="A424" s="77"/>
      <c r="B424" s="77"/>
      <c r="C424" s="117"/>
    </row>
    <row r="425" spans="1:8" ht="14.65" thickBot="1">
      <c r="A425" s="79" t="s">
        <v>207</v>
      </c>
    </row>
    <row r="426" spans="1:8" ht="14.65" thickBot="1">
      <c r="A426" s="419"/>
      <c r="B426" s="1028" t="s">
        <v>262</v>
      </c>
      <c r="C426" s="1029"/>
      <c r="D426" s="1031"/>
      <c r="E426" s="1065" t="s">
        <v>263</v>
      </c>
      <c r="F426" s="1061"/>
      <c r="G426" s="1061"/>
      <c r="H426" s="1009"/>
    </row>
    <row r="427" spans="1:8">
      <c r="A427" s="92" t="s">
        <v>93</v>
      </c>
      <c r="B427" s="377" t="s">
        <v>243</v>
      </c>
      <c r="C427" s="491" t="s">
        <v>374</v>
      </c>
      <c r="D427" s="492" t="s">
        <v>293</v>
      </c>
      <c r="E427" s="1039" t="s">
        <v>269</v>
      </c>
      <c r="F427" s="1040"/>
      <c r="G427" s="1022" t="s">
        <v>294</v>
      </c>
      <c r="H427" s="1023"/>
    </row>
    <row r="428" spans="1:8" ht="14.65" thickBot="1">
      <c r="A428" s="93" t="s">
        <v>18</v>
      </c>
      <c r="B428" s="403" t="s">
        <v>35</v>
      </c>
      <c r="C428" s="154" t="s">
        <v>35</v>
      </c>
      <c r="D428" s="155" t="s">
        <v>35</v>
      </c>
      <c r="E428" s="153" t="s">
        <v>257</v>
      </c>
      <c r="F428" s="423" t="s">
        <v>237</v>
      </c>
      <c r="G428" s="403" t="s">
        <v>71</v>
      </c>
      <c r="H428" s="155" t="s">
        <v>237</v>
      </c>
    </row>
    <row r="429" spans="1:8">
      <c r="A429" s="150" t="s">
        <v>72</v>
      </c>
      <c r="B429" s="540">
        <f>C357</f>
        <v>232.05227593765397</v>
      </c>
      <c r="C429" s="428">
        <f>$C$416</f>
        <v>7400.4638570063653</v>
      </c>
      <c r="D429" s="545">
        <f>$C$404</f>
        <v>50840.74109129946</v>
      </c>
      <c r="E429" s="557">
        <f>B429/C429*1000000</f>
        <v>31356.4501389949</v>
      </c>
      <c r="F429" s="554">
        <f>E429/1000000</f>
        <v>3.13564501389949E-2</v>
      </c>
      <c r="G429" s="557">
        <f>B429/D429*1000000</f>
        <v>4564.2976667262983</v>
      </c>
      <c r="H429" s="433">
        <f>G429/1000000</f>
        <v>4.5642976667262984E-3</v>
      </c>
    </row>
    <row r="430" spans="1:8">
      <c r="A430" s="149" t="s">
        <v>73</v>
      </c>
      <c r="B430" s="541">
        <f>C358</f>
        <v>2.2172258616285523E-2</v>
      </c>
      <c r="C430" s="235">
        <f t="shared" ref="C430:C444" si="57">$C$416</f>
        <v>7400.4638570063653</v>
      </c>
      <c r="D430" s="546">
        <f t="shared" ref="D430:D444" si="58">$C$404</f>
        <v>50840.74109129946</v>
      </c>
      <c r="E430" s="558">
        <f t="shared" ref="E430:E444" si="59">B430/C430*1000000</f>
        <v>2.9960633609870291</v>
      </c>
      <c r="F430" s="555">
        <f t="shared" ref="F430:F444" si="60">E430/1000000</f>
        <v>2.9960633609870289E-6</v>
      </c>
      <c r="G430" s="558">
        <f t="shared" ref="G430:G444" si="61">B430/D430*1000000</f>
        <v>0.43611202630718404</v>
      </c>
      <c r="H430" s="434">
        <f t="shared" ref="H430:H444" si="62">G430/1000000</f>
        <v>4.3611202630718406E-7</v>
      </c>
    </row>
    <row r="431" spans="1:8">
      <c r="A431" s="149" t="s">
        <v>74</v>
      </c>
      <c r="B431" s="541">
        <f t="shared" ref="B431:B438" si="63">C359</f>
        <v>89.148027629919696</v>
      </c>
      <c r="C431" s="235">
        <f t="shared" si="57"/>
        <v>7400.4638570063653</v>
      </c>
      <c r="D431" s="546">
        <f t="shared" si="58"/>
        <v>50840.74109129946</v>
      </c>
      <c r="E431" s="558">
        <f t="shared" si="59"/>
        <v>12046.27565953438</v>
      </c>
      <c r="F431" s="555">
        <f t="shared" si="60"/>
        <v>1.2046275659534381E-2</v>
      </c>
      <c r="G431" s="558">
        <f t="shared" si="61"/>
        <v>1753.4761633357837</v>
      </c>
      <c r="H431" s="434">
        <f t="shared" si="62"/>
        <v>1.7534761633357836E-3</v>
      </c>
    </row>
    <row r="432" spans="1:8">
      <c r="A432" s="149" t="s">
        <v>75</v>
      </c>
      <c r="B432" s="541" t="s">
        <v>89</v>
      </c>
      <c r="C432" s="235">
        <f t="shared" si="57"/>
        <v>7400.4638570063653</v>
      </c>
      <c r="D432" s="546">
        <f t="shared" si="58"/>
        <v>50840.74109129946</v>
      </c>
      <c r="E432" s="558" t="s">
        <v>89</v>
      </c>
      <c r="F432" s="555" t="s">
        <v>89</v>
      </c>
      <c r="G432" s="558" t="s">
        <v>89</v>
      </c>
      <c r="H432" s="434" t="s">
        <v>89</v>
      </c>
    </row>
    <row r="433" spans="1:8">
      <c r="A433" s="149" t="s">
        <v>76</v>
      </c>
      <c r="B433" s="541">
        <f t="shared" si="63"/>
        <v>0.53048300578340524</v>
      </c>
      <c r="C433" s="235">
        <f t="shared" si="57"/>
        <v>7400.4638570063653</v>
      </c>
      <c r="D433" s="546">
        <f t="shared" si="58"/>
        <v>50840.74109129946</v>
      </c>
      <c r="E433" s="558">
        <f t="shared" si="59"/>
        <v>71.682399378408178</v>
      </c>
      <c r="F433" s="555">
        <f t="shared" si="60"/>
        <v>7.1682399378408175E-5</v>
      </c>
      <c r="G433" s="558">
        <f t="shared" si="61"/>
        <v>10.4342107214914</v>
      </c>
      <c r="H433" s="434">
        <f t="shared" si="62"/>
        <v>1.04342107214914E-5</v>
      </c>
    </row>
    <row r="434" spans="1:8">
      <c r="A434" s="150" t="s">
        <v>77</v>
      </c>
      <c r="B434" s="541">
        <f t="shared" si="63"/>
        <v>3.8026688557300847E-2</v>
      </c>
      <c r="C434" s="235">
        <f t="shared" si="57"/>
        <v>7400.4638570063653</v>
      </c>
      <c r="D434" s="546">
        <f t="shared" si="58"/>
        <v>50840.74109129946</v>
      </c>
      <c r="E434" s="558">
        <f t="shared" si="59"/>
        <v>5.1384196034278586</v>
      </c>
      <c r="F434" s="555">
        <f t="shared" si="60"/>
        <v>5.1384196034278582E-6</v>
      </c>
      <c r="G434" s="558">
        <f t="shared" si="61"/>
        <v>0.74795700733419235</v>
      </c>
      <c r="H434" s="434">
        <f t="shared" si="62"/>
        <v>7.4795700733419238E-7</v>
      </c>
    </row>
    <row r="435" spans="1:8">
      <c r="A435" s="150" t="s">
        <v>78</v>
      </c>
      <c r="B435" s="541">
        <f t="shared" si="63"/>
        <v>386.05902824466716</v>
      </c>
      <c r="C435" s="235">
        <f t="shared" si="57"/>
        <v>7400.4638570063653</v>
      </c>
      <c r="D435" s="546">
        <f t="shared" si="58"/>
        <v>50840.74109129946</v>
      </c>
      <c r="E435" s="558">
        <f t="shared" si="59"/>
        <v>52166.868956351573</v>
      </c>
      <c r="F435" s="555">
        <f t="shared" si="60"/>
        <v>5.2166868956351573E-2</v>
      </c>
      <c r="G435" s="558">
        <f t="shared" si="61"/>
        <v>7593.4972614066537</v>
      </c>
      <c r="H435" s="434">
        <f t="shared" si="62"/>
        <v>7.5934972614066535E-3</v>
      </c>
    </row>
    <row r="436" spans="1:8">
      <c r="A436" s="150" t="s">
        <v>79</v>
      </c>
      <c r="B436" s="541">
        <f t="shared" si="63"/>
        <v>49.205527374642131</v>
      </c>
      <c r="C436" s="235">
        <f t="shared" si="57"/>
        <v>7400.4638570063653</v>
      </c>
      <c r="D436" s="546">
        <f t="shared" si="58"/>
        <v>50840.74109129946</v>
      </c>
      <c r="E436" s="558">
        <f t="shared" si="59"/>
        <v>6648.9788107075146</v>
      </c>
      <c r="F436" s="555">
        <f t="shared" si="60"/>
        <v>6.6489788107075148E-3</v>
      </c>
      <c r="G436" s="558">
        <f t="shared" si="61"/>
        <v>967.83654837523272</v>
      </c>
      <c r="H436" s="434">
        <f t="shared" si="62"/>
        <v>9.6783654837523272E-4</v>
      </c>
    </row>
    <row r="437" spans="1:8">
      <c r="A437" s="150" t="s">
        <v>80</v>
      </c>
      <c r="B437" s="541">
        <f t="shared" si="63"/>
        <v>71.578956334809078</v>
      </c>
      <c r="C437" s="235">
        <f t="shared" si="57"/>
        <v>7400.4638570063653</v>
      </c>
      <c r="D437" s="546">
        <f t="shared" si="58"/>
        <v>50840.74109129946</v>
      </c>
      <c r="E437" s="558">
        <f t="shared" si="59"/>
        <v>9672.2256493479035</v>
      </c>
      <c r="F437" s="555">
        <f t="shared" si="60"/>
        <v>9.6722256493479031E-3</v>
      </c>
      <c r="G437" s="558">
        <f t="shared" si="61"/>
        <v>1407.905447449479</v>
      </c>
      <c r="H437" s="434">
        <f t="shared" si="62"/>
        <v>1.407905447449479E-3</v>
      </c>
    </row>
    <row r="438" spans="1:8">
      <c r="A438" s="150" t="s">
        <v>81</v>
      </c>
      <c r="B438" s="541">
        <f t="shared" si="63"/>
        <v>47.7341524369997</v>
      </c>
      <c r="C438" s="235">
        <f t="shared" si="57"/>
        <v>7400.4638570063653</v>
      </c>
      <c r="D438" s="546">
        <f t="shared" si="58"/>
        <v>50840.74109129946</v>
      </c>
      <c r="E438" s="558">
        <f t="shared" si="59"/>
        <v>6450.1568225088413</v>
      </c>
      <c r="F438" s="555">
        <f t="shared" si="60"/>
        <v>6.4501568225088417E-3</v>
      </c>
      <c r="G438" s="558">
        <f t="shared" si="61"/>
        <v>938.89568508214757</v>
      </c>
      <c r="H438" s="434">
        <f t="shared" si="62"/>
        <v>9.3889568508214762E-4</v>
      </c>
    </row>
    <row r="439" spans="1:8">
      <c r="A439" s="150" t="s">
        <v>82</v>
      </c>
      <c r="B439" s="541">
        <f>C367</f>
        <v>0.69882090882603376</v>
      </c>
      <c r="C439" s="235">
        <f t="shared" si="57"/>
        <v>7400.4638570063653</v>
      </c>
      <c r="D439" s="546">
        <f t="shared" si="58"/>
        <v>50840.74109129946</v>
      </c>
      <c r="E439" s="558">
        <f t="shared" si="59"/>
        <v>94.429338799408811</v>
      </c>
      <c r="F439" s="555">
        <f t="shared" si="60"/>
        <v>9.4429338799408816E-5</v>
      </c>
      <c r="G439" s="558">
        <f t="shared" si="61"/>
        <v>13.745293515118039</v>
      </c>
      <c r="H439" s="434">
        <f t="shared" si="62"/>
        <v>1.374529351511804E-5</v>
      </c>
    </row>
    <row r="440" spans="1:8">
      <c r="A440" s="150" t="s">
        <v>213</v>
      </c>
      <c r="B440" s="33" t="s">
        <v>89</v>
      </c>
      <c r="C440" s="235">
        <f t="shared" si="57"/>
        <v>7400.4638570063653</v>
      </c>
      <c r="D440" s="546">
        <f t="shared" si="58"/>
        <v>50840.74109129946</v>
      </c>
      <c r="E440" s="558" t="s">
        <v>89</v>
      </c>
      <c r="F440" s="555" t="s">
        <v>89</v>
      </c>
      <c r="G440" s="563" t="s">
        <v>89</v>
      </c>
      <c r="H440" s="564" t="s">
        <v>89</v>
      </c>
    </row>
    <row r="441" spans="1:8">
      <c r="A441" s="150" t="s">
        <v>96</v>
      </c>
      <c r="B441" s="541">
        <f>C369</f>
        <v>2854.5306122448978</v>
      </c>
      <c r="C441" s="235">
        <f t="shared" si="57"/>
        <v>7400.4638570063653</v>
      </c>
      <c r="D441" s="546">
        <f t="shared" si="58"/>
        <v>50840.74109129946</v>
      </c>
      <c r="E441" s="558">
        <f t="shared" si="59"/>
        <v>385723.20159936737</v>
      </c>
      <c r="F441" s="555">
        <f t="shared" si="60"/>
        <v>0.38572320159936735</v>
      </c>
      <c r="G441" s="558">
        <f t="shared" si="61"/>
        <v>56146.518539506556</v>
      </c>
      <c r="H441" s="434">
        <f t="shared" si="62"/>
        <v>5.6146518539506557E-2</v>
      </c>
    </row>
    <row r="442" spans="1:8">
      <c r="A442" s="151" t="s">
        <v>84</v>
      </c>
      <c r="B442" s="541">
        <f>C370</f>
        <v>0.10838288181260813</v>
      </c>
      <c r="C442" s="235">
        <f t="shared" si="57"/>
        <v>7400.4638570063653</v>
      </c>
      <c r="D442" s="546">
        <f t="shared" si="58"/>
        <v>50840.74109129946</v>
      </c>
      <c r="E442" s="558">
        <f t="shared" si="59"/>
        <v>14.645417355831958</v>
      </c>
      <c r="F442" s="555">
        <f t="shared" si="60"/>
        <v>1.4645417355831958E-5</v>
      </c>
      <c r="G442" s="558">
        <f t="shared" si="61"/>
        <v>2.1318116039649166</v>
      </c>
      <c r="H442" s="434">
        <f t="shared" si="62"/>
        <v>2.1318116039649166E-6</v>
      </c>
    </row>
    <row r="443" spans="1:8">
      <c r="A443" s="151" t="s">
        <v>248</v>
      </c>
      <c r="B443" s="541">
        <f>C371</f>
        <v>0</v>
      </c>
      <c r="C443" s="235">
        <f t="shared" si="57"/>
        <v>7400.4638570063653</v>
      </c>
      <c r="D443" s="546">
        <f t="shared" si="58"/>
        <v>50840.74109129946</v>
      </c>
      <c r="E443" s="558">
        <f t="shared" si="59"/>
        <v>0</v>
      </c>
      <c r="F443" s="555">
        <f t="shared" si="60"/>
        <v>0</v>
      </c>
      <c r="G443" s="558">
        <f t="shared" si="61"/>
        <v>0</v>
      </c>
      <c r="H443" s="434">
        <f t="shared" si="62"/>
        <v>0</v>
      </c>
    </row>
    <row r="444" spans="1:8" ht="14.65" thickBot="1">
      <c r="A444" s="152" t="s">
        <v>86</v>
      </c>
      <c r="B444" s="542">
        <f>C372</f>
        <v>10.760662205067051</v>
      </c>
      <c r="C444" s="236">
        <f t="shared" si="57"/>
        <v>7400.4638570063653</v>
      </c>
      <c r="D444" s="547">
        <f t="shared" si="58"/>
        <v>50840.74109129946</v>
      </c>
      <c r="E444" s="559">
        <f t="shared" si="59"/>
        <v>1454.0523963074868</v>
      </c>
      <c r="F444" s="556">
        <f t="shared" si="60"/>
        <v>1.4540523963074868E-3</v>
      </c>
      <c r="G444" s="559">
        <f t="shared" si="61"/>
        <v>211.6543145140848</v>
      </c>
      <c r="H444" s="439">
        <f t="shared" si="62"/>
        <v>2.1165431451408481E-4</v>
      </c>
    </row>
    <row r="445" spans="1:8">
      <c r="A445" s="145"/>
      <c r="B445" s="234"/>
      <c r="C445" s="96"/>
      <c r="D445" s="96"/>
      <c r="E445" s="95"/>
      <c r="F445" s="95"/>
    </row>
    <row r="446" spans="1:8" ht="14.65" thickBot="1">
      <c r="A446" s="79" t="s">
        <v>215</v>
      </c>
    </row>
    <row r="447" spans="1:8" ht="14.65" thickBot="1">
      <c r="A447" s="419"/>
      <c r="B447" s="1028" t="s">
        <v>262</v>
      </c>
      <c r="C447" s="1029"/>
      <c r="D447" s="1031"/>
      <c r="E447" s="1065" t="s">
        <v>263</v>
      </c>
      <c r="F447" s="1061"/>
      <c r="G447" s="1061"/>
      <c r="H447" s="1009"/>
    </row>
    <row r="448" spans="1:8">
      <c r="A448" s="92" t="s">
        <v>93</v>
      </c>
      <c r="B448" s="377" t="s">
        <v>256</v>
      </c>
      <c r="C448" s="491" t="s">
        <v>431</v>
      </c>
      <c r="D448" s="492" t="s">
        <v>295</v>
      </c>
      <c r="E448" s="1039" t="s">
        <v>269</v>
      </c>
      <c r="F448" s="1040"/>
      <c r="G448" s="1022" t="s">
        <v>296</v>
      </c>
      <c r="H448" s="1023"/>
    </row>
    <row r="449" spans="1:8" ht="14.65" thickBot="1">
      <c r="A449" s="93" t="s">
        <v>18</v>
      </c>
      <c r="B449" s="403" t="s">
        <v>35</v>
      </c>
      <c r="C449" s="154" t="s">
        <v>35</v>
      </c>
      <c r="D449" s="155" t="s">
        <v>35</v>
      </c>
      <c r="E449" s="153" t="s">
        <v>257</v>
      </c>
      <c r="F449" s="423" t="s">
        <v>237</v>
      </c>
      <c r="G449" s="403" t="s">
        <v>71</v>
      </c>
      <c r="H449" s="155" t="s">
        <v>237</v>
      </c>
    </row>
    <row r="450" spans="1:8">
      <c r="A450" s="150" t="s">
        <v>72</v>
      </c>
      <c r="B450" s="156">
        <f>D357</f>
        <v>0</v>
      </c>
      <c r="C450" s="428">
        <f>$C$408</f>
        <v>216.56299450654942</v>
      </c>
      <c r="D450" s="545">
        <f>$C$406</f>
        <v>721.87664835516478</v>
      </c>
      <c r="E450" s="557">
        <f>B450/C450*1000000</f>
        <v>0</v>
      </c>
      <c r="F450" s="554">
        <f>E450/1000000</f>
        <v>0</v>
      </c>
      <c r="G450" s="557">
        <f>B450/D450*1000000</f>
        <v>0</v>
      </c>
      <c r="H450" s="433">
        <f>G450/1000000</f>
        <v>0</v>
      </c>
    </row>
    <row r="451" spans="1:8">
      <c r="A451" s="149" t="s">
        <v>73</v>
      </c>
      <c r="B451" s="157">
        <f>D358</f>
        <v>0.19955032754656984</v>
      </c>
      <c r="C451" s="235">
        <f t="shared" ref="C451:C465" si="64">$C$408</f>
        <v>216.56299450654942</v>
      </c>
      <c r="D451" s="546">
        <f t="shared" ref="D451:D465" si="65">$C$406</f>
        <v>721.87664835516478</v>
      </c>
      <c r="E451" s="558">
        <f t="shared" ref="E451:E465" si="66">B451/C451*1000000</f>
        <v>921.44240986903662</v>
      </c>
      <c r="F451" s="555">
        <f t="shared" ref="F451:F465" si="67">E451/1000000</f>
        <v>9.2144240986903657E-4</v>
      </c>
      <c r="G451" s="558">
        <f t="shared" ref="G451:G465" si="68">B451/D451*1000000</f>
        <v>276.43272296071098</v>
      </c>
      <c r="H451" s="434">
        <f t="shared" ref="H451:H465" si="69">G451/1000000</f>
        <v>2.7643272296071095E-4</v>
      </c>
    </row>
    <row r="452" spans="1:8">
      <c r="A452" s="149" t="s">
        <v>74</v>
      </c>
      <c r="B452" s="157">
        <f t="shared" ref="B452:B464" si="70">D359</f>
        <v>0</v>
      </c>
      <c r="C452" s="235">
        <f t="shared" si="64"/>
        <v>216.56299450654942</v>
      </c>
      <c r="D452" s="546">
        <f t="shared" si="65"/>
        <v>721.87664835516478</v>
      </c>
      <c r="E452" s="558">
        <f t="shared" si="66"/>
        <v>0</v>
      </c>
      <c r="F452" s="555">
        <f t="shared" si="67"/>
        <v>0</v>
      </c>
      <c r="G452" s="558">
        <f t="shared" si="68"/>
        <v>0</v>
      </c>
      <c r="H452" s="434">
        <f t="shared" si="69"/>
        <v>0</v>
      </c>
    </row>
    <row r="453" spans="1:8">
      <c r="A453" s="149" t="s">
        <v>75</v>
      </c>
      <c r="B453" s="157">
        <f t="shared" si="70"/>
        <v>0</v>
      </c>
      <c r="C453" s="235">
        <f t="shared" si="64"/>
        <v>216.56299450654942</v>
      </c>
      <c r="D453" s="546">
        <f t="shared" si="65"/>
        <v>721.87664835516478</v>
      </c>
      <c r="E453" s="558">
        <f t="shared" si="66"/>
        <v>0</v>
      </c>
      <c r="F453" s="555">
        <f t="shared" si="67"/>
        <v>0</v>
      </c>
      <c r="G453" s="558">
        <f t="shared" si="68"/>
        <v>0</v>
      </c>
      <c r="H453" s="434">
        <f t="shared" si="69"/>
        <v>0</v>
      </c>
    </row>
    <row r="454" spans="1:8">
      <c r="A454" s="149" t="s">
        <v>76</v>
      </c>
      <c r="B454" s="157">
        <f t="shared" si="70"/>
        <v>0</v>
      </c>
      <c r="C454" s="235">
        <f t="shared" si="64"/>
        <v>216.56299450654942</v>
      </c>
      <c r="D454" s="546">
        <f t="shared" si="65"/>
        <v>721.87664835516478</v>
      </c>
      <c r="E454" s="558">
        <f t="shared" si="66"/>
        <v>0</v>
      </c>
      <c r="F454" s="555">
        <f t="shared" si="67"/>
        <v>0</v>
      </c>
      <c r="G454" s="558">
        <f t="shared" si="68"/>
        <v>0</v>
      </c>
      <c r="H454" s="434">
        <f t="shared" si="69"/>
        <v>0</v>
      </c>
    </row>
    <row r="455" spans="1:8">
      <c r="A455" s="150" t="s">
        <v>77</v>
      </c>
      <c r="B455" s="157">
        <f t="shared" si="70"/>
        <v>3.7646421671727697</v>
      </c>
      <c r="C455" s="235">
        <f t="shared" si="64"/>
        <v>216.56299450654942</v>
      </c>
      <c r="D455" s="546">
        <f t="shared" si="65"/>
        <v>721.87664835516478</v>
      </c>
      <c r="E455" s="558">
        <f t="shared" si="66"/>
        <v>17383.589360457045</v>
      </c>
      <c r="F455" s="555">
        <f t="shared" si="67"/>
        <v>1.7383589360457044E-2</v>
      </c>
      <c r="G455" s="558">
        <f t="shared" si="68"/>
        <v>5215.0768081371125</v>
      </c>
      <c r="H455" s="434">
        <f t="shared" si="69"/>
        <v>5.2150768081371127E-3</v>
      </c>
    </row>
    <row r="456" spans="1:8">
      <c r="A456" s="150" t="s">
        <v>78</v>
      </c>
      <c r="B456" s="157">
        <f t="shared" si="70"/>
        <v>0</v>
      </c>
      <c r="C456" s="235">
        <f t="shared" si="64"/>
        <v>216.56299450654942</v>
      </c>
      <c r="D456" s="546">
        <f t="shared" si="65"/>
        <v>721.87664835516478</v>
      </c>
      <c r="E456" s="558">
        <f t="shared" si="66"/>
        <v>0</v>
      </c>
      <c r="F456" s="555">
        <f t="shared" si="67"/>
        <v>0</v>
      </c>
      <c r="G456" s="558">
        <f t="shared" si="68"/>
        <v>0</v>
      </c>
      <c r="H456" s="434">
        <f t="shared" si="69"/>
        <v>0</v>
      </c>
    </row>
    <row r="457" spans="1:8">
      <c r="A457" s="150" t="s">
        <v>79</v>
      </c>
      <c r="B457" s="157">
        <f t="shared" si="70"/>
        <v>0</v>
      </c>
      <c r="C457" s="235">
        <f t="shared" si="64"/>
        <v>216.56299450654942</v>
      </c>
      <c r="D457" s="546">
        <f t="shared" si="65"/>
        <v>721.87664835516478</v>
      </c>
      <c r="E457" s="558">
        <f t="shared" si="66"/>
        <v>0</v>
      </c>
      <c r="F457" s="555">
        <f t="shared" si="67"/>
        <v>0</v>
      </c>
      <c r="G457" s="558">
        <f t="shared" si="68"/>
        <v>0</v>
      </c>
      <c r="H457" s="434">
        <f t="shared" si="69"/>
        <v>0</v>
      </c>
    </row>
    <row r="458" spans="1:8">
      <c r="A458" s="150" t="s">
        <v>80</v>
      </c>
      <c r="B458" s="157">
        <f t="shared" si="70"/>
        <v>0</v>
      </c>
      <c r="C458" s="235">
        <f t="shared" si="64"/>
        <v>216.56299450654942</v>
      </c>
      <c r="D458" s="546">
        <f t="shared" si="65"/>
        <v>721.87664835516478</v>
      </c>
      <c r="E458" s="558">
        <f t="shared" si="66"/>
        <v>0</v>
      </c>
      <c r="F458" s="555">
        <f t="shared" si="67"/>
        <v>0</v>
      </c>
      <c r="G458" s="558">
        <f t="shared" si="68"/>
        <v>0</v>
      </c>
      <c r="H458" s="434">
        <f t="shared" si="69"/>
        <v>0</v>
      </c>
    </row>
    <row r="459" spans="1:8">
      <c r="A459" s="150" t="s">
        <v>81</v>
      </c>
      <c r="B459" s="157">
        <f t="shared" si="70"/>
        <v>0</v>
      </c>
      <c r="C459" s="235">
        <f t="shared" si="64"/>
        <v>216.56299450654942</v>
      </c>
      <c r="D459" s="546">
        <f t="shared" si="65"/>
        <v>721.87664835516478</v>
      </c>
      <c r="E459" s="558">
        <f t="shared" si="66"/>
        <v>0</v>
      </c>
      <c r="F459" s="555">
        <f t="shared" si="67"/>
        <v>0</v>
      </c>
      <c r="G459" s="558">
        <f t="shared" si="68"/>
        <v>0</v>
      </c>
      <c r="H459" s="434">
        <f t="shared" si="69"/>
        <v>0</v>
      </c>
    </row>
    <row r="460" spans="1:8">
      <c r="A460" s="150" t="s">
        <v>82</v>
      </c>
      <c r="B460" s="157">
        <f t="shared" si="70"/>
        <v>0</v>
      </c>
      <c r="C460" s="235">
        <f t="shared" si="64"/>
        <v>216.56299450654942</v>
      </c>
      <c r="D460" s="546">
        <f t="shared" si="65"/>
        <v>721.87664835516478</v>
      </c>
      <c r="E460" s="558">
        <f t="shared" si="66"/>
        <v>0</v>
      </c>
      <c r="F460" s="555">
        <f t="shared" si="67"/>
        <v>0</v>
      </c>
      <c r="G460" s="558">
        <f t="shared" si="68"/>
        <v>0</v>
      </c>
      <c r="H460" s="434">
        <f t="shared" si="69"/>
        <v>0</v>
      </c>
    </row>
    <row r="461" spans="1:8">
      <c r="A461" s="150" t="s">
        <v>213</v>
      </c>
      <c r="B461" s="157">
        <f t="shared" si="70"/>
        <v>0</v>
      </c>
      <c r="C461" s="235">
        <f t="shared" si="64"/>
        <v>216.56299450654942</v>
      </c>
      <c r="D461" s="546">
        <f t="shared" si="65"/>
        <v>721.87664835516478</v>
      </c>
      <c r="E461" s="558">
        <f t="shared" si="66"/>
        <v>0</v>
      </c>
      <c r="F461" s="555">
        <f t="shared" si="67"/>
        <v>0</v>
      </c>
      <c r="G461" s="558">
        <f t="shared" si="68"/>
        <v>0</v>
      </c>
      <c r="H461" s="434">
        <f t="shared" si="69"/>
        <v>0</v>
      </c>
    </row>
    <row r="462" spans="1:8">
      <c r="A462" s="150" t="s">
        <v>96</v>
      </c>
      <c r="B462" s="157">
        <f t="shared" si="70"/>
        <v>0</v>
      </c>
      <c r="C462" s="235">
        <f t="shared" si="64"/>
        <v>216.56299450654942</v>
      </c>
      <c r="D462" s="546">
        <f t="shared" si="65"/>
        <v>721.87664835516478</v>
      </c>
      <c r="E462" s="558">
        <f t="shared" si="66"/>
        <v>0</v>
      </c>
      <c r="F462" s="555">
        <f t="shared" si="67"/>
        <v>0</v>
      </c>
      <c r="G462" s="558">
        <f t="shared" si="68"/>
        <v>0</v>
      </c>
      <c r="H462" s="434">
        <f t="shared" si="69"/>
        <v>0</v>
      </c>
    </row>
    <row r="463" spans="1:8">
      <c r="A463" s="151" t="s">
        <v>84</v>
      </c>
      <c r="B463" s="157">
        <f t="shared" si="70"/>
        <v>0</v>
      </c>
      <c r="C463" s="235">
        <f t="shared" si="64"/>
        <v>216.56299450654942</v>
      </c>
      <c r="D463" s="546">
        <f t="shared" si="65"/>
        <v>721.87664835516478</v>
      </c>
      <c r="E463" s="558">
        <f t="shared" si="66"/>
        <v>0</v>
      </c>
      <c r="F463" s="555">
        <f t="shared" si="67"/>
        <v>0</v>
      </c>
      <c r="G463" s="558">
        <f t="shared" si="68"/>
        <v>0</v>
      </c>
      <c r="H463" s="434">
        <f t="shared" si="69"/>
        <v>0</v>
      </c>
    </row>
    <row r="464" spans="1:8">
      <c r="A464" s="151" t="s">
        <v>248</v>
      </c>
      <c r="B464" s="157">
        <f t="shared" si="70"/>
        <v>16.35194367750054</v>
      </c>
      <c r="C464" s="235">
        <f t="shared" si="64"/>
        <v>216.56299450654942</v>
      </c>
      <c r="D464" s="546">
        <f t="shared" si="65"/>
        <v>721.87664835516478</v>
      </c>
      <c r="E464" s="558">
        <f t="shared" si="66"/>
        <v>75506.638217481872</v>
      </c>
      <c r="F464" s="555">
        <f t="shared" si="67"/>
        <v>7.5506638217481867E-2</v>
      </c>
      <c r="G464" s="558">
        <f t="shared" si="68"/>
        <v>22651.991465244559</v>
      </c>
      <c r="H464" s="434">
        <f t="shared" si="69"/>
        <v>2.2651991465244558E-2</v>
      </c>
    </row>
    <row r="465" spans="1:8" ht="14.65" thickBot="1">
      <c r="A465" s="152" t="s">
        <v>86</v>
      </c>
      <c r="B465" s="158">
        <f>D372</f>
        <v>0</v>
      </c>
      <c r="C465" s="236">
        <f t="shared" si="64"/>
        <v>216.56299450654942</v>
      </c>
      <c r="D465" s="547">
        <f t="shared" si="65"/>
        <v>721.87664835516478</v>
      </c>
      <c r="E465" s="559">
        <f t="shared" si="66"/>
        <v>0</v>
      </c>
      <c r="F465" s="556">
        <f t="shared" si="67"/>
        <v>0</v>
      </c>
      <c r="G465" s="559">
        <f t="shared" si="68"/>
        <v>0</v>
      </c>
      <c r="H465" s="439">
        <f t="shared" si="69"/>
        <v>0</v>
      </c>
    </row>
    <row r="466" spans="1:8">
      <c r="A466" s="145"/>
      <c r="B466" s="234"/>
      <c r="C466" s="96"/>
      <c r="D466" s="96"/>
      <c r="E466" s="95"/>
      <c r="F466" s="95"/>
    </row>
    <row r="467" spans="1:8">
      <c r="A467" s="1" t="s">
        <v>209</v>
      </c>
      <c r="B467" s="1"/>
      <c r="C467" s="1"/>
      <c r="D467" s="1"/>
    </row>
    <row r="468" spans="1:8" ht="14.65" thickBot="1">
      <c r="A468" s="79" t="s">
        <v>358</v>
      </c>
      <c r="B468" s="79"/>
      <c r="C468" s="79"/>
    </row>
    <row r="469" spans="1:8">
      <c r="A469" s="2"/>
      <c r="B469" s="323" t="s">
        <v>43</v>
      </c>
      <c r="C469" s="324" t="s">
        <v>44</v>
      </c>
      <c r="D469" s="369" t="s">
        <v>139</v>
      </c>
    </row>
    <row r="470" spans="1:8" ht="14.65" thickBot="1">
      <c r="A470" s="5"/>
      <c r="B470" s="215" t="s">
        <v>35</v>
      </c>
      <c r="C470" s="483" t="s">
        <v>35</v>
      </c>
      <c r="D470" s="319" t="s">
        <v>35</v>
      </c>
    </row>
    <row r="471" spans="1:8" ht="14.65" thickBot="1">
      <c r="A471" s="9" t="s">
        <v>347</v>
      </c>
      <c r="B471" s="250">
        <f>B9</f>
        <v>17500</v>
      </c>
      <c r="C471" s="729">
        <f>C9</f>
        <v>7000</v>
      </c>
      <c r="D471" s="627">
        <f>B471+C471</f>
        <v>24500</v>
      </c>
    </row>
    <row r="473" spans="1:8" ht="14.65" thickBot="1">
      <c r="A473" s="120" t="s">
        <v>304</v>
      </c>
      <c r="B473" s="79"/>
      <c r="C473" s="79"/>
    </row>
    <row r="474" spans="1:8" ht="14.65" thickBot="1">
      <c r="A474" s="519"/>
      <c r="B474" s="1056" t="s">
        <v>263</v>
      </c>
      <c r="C474" s="1056"/>
      <c r="D474" s="1021" t="s">
        <v>262</v>
      </c>
      <c r="E474" s="1021"/>
      <c r="F474" s="1020"/>
    </row>
    <row r="475" spans="1:8" ht="14.65" thickBot="1">
      <c r="A475" s="602"/>
      <c r="B475" s="1065" t="s">
        <v>259</v>
      </c>
      <c r="C475" s="1009"/>
      <c r="D475" s="1100" t="s">
        <v>260</v>
      </c>
      <c r="E475" s="1030"/>
      <c r="F475" s="9" t="s">
        <v>261</v>
      </c>
    </row>
    <row r="476" spans="1:8">
      <c r="A476" s="115"/>
      <c r="B476" s="188" t="s">
        <v>43</v>
      </c>
      <c r="C476" s="190" t="s">
        <v>44</v>
      </c>
      <c r="D476" s="266" t="s">
        <v>161</v>
      </c>
      <c r="E476" s="520" t="s">
        <v>162</v>
      </c>
      <c r="F476" s="521" t="s">
        <v>139</v>
      </c>
    </row>
    <row r="477" spans="1:8" ht="14.65" thickBot="1">
      <c r="A477" s="133" t="s">
        <v>18</v>
      </c>
      <c r="B477" s="23" t="s">
        <v>70</v>
      </c>
      <c r="C477" s="24" t="s">
        <v>71</v>
      </c>
      <c r="D477" s="367" t="s">
        <v>35</v>
      </c>
      <c r="E477" s="522" t="s">
        <v>35</v>
      </c>
      <c r="F477" s="523" t="s">
        <v>35</v>
      </c>
    </row>
    <row r="478" spans="1:8">
      <c r="A478" s="231" t="s">
        <v>72</v>
      </c>
      <c r="B478" s="261">
        <v>47700</v>
      </c>
      <c r="C478" s="355">
        <v>101832</v>
      </c>
      <c r="D478" s="227">
        <f>$B$9*B478/1000000</f>
        <v>834.75</v>
      </c>
      <c r="E478" s="524">
        <f>$C$9*C478/1000000</f>
        <v>712.82399999999996</v>
      </c>
      <c r="F478" s="525">
        <f>D478+E478</f>
        <v>1547.5740000000001</v>
      </c>
    </row>
    <row r="479" spans="1:8">
      <c r="A479" s="232" t="s">
        <v>73</v>
      </c>
      <c r="B479" s="356">
        <v>31</v>
      </c>
      <c r="C479" s="357">
        <v>10</v>
      </c>
      <c r="D479" s="229">
        <f t="shared" ref="D479:D492" si="71">$B$9*B479/1000000</f>
        <v>0.54249999999999998</v>
      </c>
      <c r="E479" s="470">
        <f t="shared" ref="E479:E492" si="72">$C$9*C479/1000000</f>
        <v>7.0000000000000007E-2</v>
      </c>
      <c r="F479" s="526">
        <f t="shared" ref="F479:F492" si="73">D479+E479</f>
        <v>0.61250000000000004</v>
      </c>
    </row>
    <row r="480" spans="1:8">
      <c r="A480" s="232" t="s">
        <v>74</v>
      </c>
      <c r="B480" s="356">
        <v>85425</v>
      </c>
      <c r="C480" s="357">
        <v>111453.2</v>
      </c>
      <c r="D480" s="229">
        <f t="shared" si="71"/>
        <v>1494.9375</v>
      </c>
      <c r="E480" s="470">
        <f t="shared" si="72"/>
        <v>780.17240000000004</v>
      </c>
      <c r="F480" s="526">
        <f t="shared" si="73"/>
        <v>2275.1098999999999</v>
      </c>
    </row>
    <row r="481" spans="1:8">
      <c r="A481" s="232" t="s">
        <v>75</v>
      </c>
      <c r="B481" s="356">
        <v>2.2000000000000002</v>
      </c>
      <c r="C481" s="357">
        <v>2</v>
      </c>
      <c r="D481" s="229">
        <f t="shared" si="71"/>
        <v>3.85E-2</v>
      </c>
      <c r="E481" s="470">
        <f t="shared" si="72"/>
        <v>1.4E-2</v>
      </c>
      <c r="F481" s="526">
        <f t="shared" si="73"/>
        <v>5.2499999999999998E-2</v>
      </c>
    </row>
    <row r="482" spans="1:8">
      <c r="A482" s="232" t="s">
        <v>76</v>
      </c>
      <c r="B482" s="356">
        <v>91</v>
      </c>
      <c r="C482" s="357">
        <v>53.9</v>
      </c>
      <c r="D482" s="229">
        <f t="shared" si="71"/>
        <v>1.5925</v>
      </c>
      <c r="E482" s="470">
        <f t="shared" si="72"/>
        <v>0.37730000000000002</v>
      </c>
      <c r="F482" s="526">
        <f t="shared" si="73"/>
        <v>1.9698</v>
      </c>
    </row>
    <row r="483" spans="1:8">
      <c r="A483" s="232" t="s">
        <v>77</v>
      </c>
      <c r="B483" s="356">
        <v>663</v>
      </c>
      <c r="C483" s="357">
        <v>1099</v>
      </c>
      <c r="D483" s="229">
        <f t="shared" si="71"/>
        <v>11.602499999999999</v>
      </c>
      <c r="E483" s="470">
        <f t="shared" si="72"/>
        <v>7.6929999999999996</v>
      </c>
      <c r="F483" s="526">
        <f t="shared" si="73"/>
        <v>19.295499999999997</v>
      </c>
    </row>
    <row r="484" spans="1:8">
      <c r="A484" s="232" t="s">
        <v>78</v>
      </c>
      <c r="B484" s="356">
        <v>109000</v>
      </c>
      <c r="C484" s="357">
        <v>24315</v>
      </c>
      <c r="D484" s="229">
        <f t="shared" si="71"/>
        <v>1907.5</v>
      </c>
      <c r="E484" s="470">
        <f t="shared" si="72"/>
        <v>170.20500000000001</v>
      </c>
      <c r="F484" s="526">
        <f t="shared" si="73"/>
        <v>2077.7049999999999</v>
      </c>
    </row>
    <row r="485" spans="1:8">
      <c r="A485" s="232" t="s">
        <v>79</v>
      </c>
      <c r="B485" s="356">
        <v>9375</v>
      </c>
      <c r="C485" s="357">
        <v>9848.1</v>
      </c>
      <c r="D485" s="229">
        <f t="shared" si="71"/>
        <v>164.0625</v>
      </c>
      <c r="E485" s="470">
        <f t="shared" si="72"/>
        <v>68.936700000000002</v>
      </c>
      <c r="F485" s="526">
        <f t="shared" si="73"/>
        <v>232.9992</v>
      </c>
    </row>
    <row r="486" spans="1:8">
      <c r="A486" s="232" t="s">
        <v>80</v>
      </c>
      <c r="B486" s="356">
        <v>12191.833333333334</v>
      </c>
      <c r="C486" s="357">
        <v>12706.1</v>
      </c>
      <c r="D486" s="229">
        <f t="shared" si="71"/>
        <v>213.35708333333335</v>
      </c>
      <c r="E486" s="470">
        <f t="shared" si="72"/>
        <v>88.942700000000002</v>
      </c>
      <c r="F486" s="526">
        <f t="shared" si="73"/>
        <v>302.29978333333338</v>
      </c>
    </row>
    <row r="487" spans="1:8">
      <c r="A487" s="232" t="s">
        <v>81</v>
      </c>
      <c r="B487" s="356">
        <v>2530</v>
      </c>
      <c r="C487" s="357">
        <v>3346.1</v>
      </c>
      <c r="D487" s="229">
        <f t="shared" si="71"/>
        <v>44.274999999999999</v>
      </c>
      <c r="E487" s="470">
        <f t="shared" si="72"/>
        <v>23.422699999999999</v>
      </c>
      <c r="F487" s="526">
        <f t="shared" si="73"/>
        <v>67.697699999999998</v>
      </c>
    </row>
    <row r="488" spans="1:8">
      <c r="A488" s="232" t="s">
        <v>82</v>
      </c>
      <c r="B488" s="356">
        <v>64.5</v>
      </c>
      <c r="C488" s="357">
        <v>47.6</v>
      </c>
      <c r="D488" s="229">
        <f t="shared" si="71"/>
        <v>1.1287499999999999</v>
      </c>
      <c r="E488" s="470">
        <f t="shared" si="72"/>
        <v>0.3332</v>
      </c>
      <c r="F488" s="526">
        <f t="shared" si="73"/>
        <v>1.4619499999999999</v>
      </c>
    </row>
    <row r="489" spans="1:8">
      <c r="A489" s="232" t="s">
        <v>83</v>
      </c>
      <c r="B489" s="356">
        <v>70700</v>
      </c>
      <c r="C489" s="357">
        <v>84567</v>
      </c>
      <c r="D489" s="229">
        <f t="shared" si="71"/>
        <v>1237.25</v>
      </c>
      <c r="E489" s="470">
        <f t="shared" si="72"/>
        <v>591.96900000000005</v>
      </c>
      <c r="F489" s="526">
        <f t="shared" si="73"/>
        <v>1829.2190000000001</v>
      </c>
    </row>
    <row r="490" spans="1:8">
      <c r="A490" s="232" t="s">
        <v>84</v>
      </c>
      <c r="B490" s="356">
        <v>117</v>
      </c>
      <c r="C490" s="357">
        <v>80.2</v>
      </c>
      <c r="D490" s="229">
        <f t="shared" si="71"/>
        <v>2.0474999999999999</v>
      </c>
      <c r="E490" s="470">
        <f t="shared" si="72"/>
        <v>0.56140000000000001</v>
      </c>
      <c r="F490" s="526">
        <f t="shared" si="73"/>
        <v>2.6088999999999998</v>
      </c>
    </row>
    <row r="491" spans="1:8">
      <c r="A491" s="232" t="s">
        <v>85</v>
      </c>
      <c r="B491" s="356">
        <v>5857.8888888888887</v>
      </c>
      <c r="C491" s="357">
        <v>3113.7</v>
      </c>
      <c r="D491" s="229">
        <f t="shared" si="71"/>
        <v>102.51305555555555</v>
      </c>
      <c r="E491" s="470">
        <f t="shared" si="72"/>
        <v>21.7959</v>
      </c>
      <c r="F491" s="526">
        <f t="shared" si="73"/>
        <v>124.30895555555556</v>
      </c>
    </row>
    <row r="492" spans="1:8" ht="14.65" thickBot="1">
      <c r="A492" s="233" t="s">
        <v>86</v>
      </c>
      <c r="B492" s="358">
        <v>2260</v>
      </c>
      <c r="C492" s="359">
        <v>1989</v>
      </c>
      <c r="D492" s="230">
        <f t="shared" si="71"/>
        <v>39.549999999999997</v>
      </c>
      <c r="E492" s="471">
        <f t="shared" si="72"/>
        <v>13.923</v>
      </c>
      <c r="F492" s="527">
        <f t="shared" si="73"/>
        <v>53.472999999999999</v>
      </c>
    </row>
    <row r="494" spans="1:8" ht="14.65" thickBot="1">
      <c r="A494" s="79" t="s">
        <v>393</v>
      </c>
    </row>
    <row r="495" spans="1:8" ht="14.65" thickBot="1">
      <c r="A495" s="419"/>
      <c r="B495" s="1019" t="s">
        <v>262</v>
      </c>
      <c r="C495" s="1021"/>
      <c r="D495" s="1021"/>
      <c r="E495" s="1021"/>
      <c r="F495" s="1021"/>
      <c r="G495" s="1019" t="s">
        <v>263</v>
      </c>
      <c r="H495" s="1020"/>
    </row>
    <row r="496" spans="1:8">
      <c r="A496" s="315" t="s">
        <v>93</v>
      </c>
      <c r="B496" s="323" t="s">
        <v>208</v>
      </c>
      <c r="C496" s="274" t="s">
        <v>198</v>
      </c>
      <c r="D496" s="274" t="s">
        <v>141</v>
      </c>
      <c r="E496" s="274" t="s">
        <v>142</v>
      </c>
      <c r="F496" s="324" t="s">
        <v>210</v>
      </c>
      <c r="G496" s="1089" t="s">
        <v>95</v>
      </c>
      <c r="H496" s="1090"/>
    </row>
    <row r="497" spans="1:8" ht="14.65" thickBot="1">
      <c r="A497" s="345" t="s">
        <v>297</v>
      </c>
      <c r="B497" s="586" t="s">
        <v>35</v>
      </c>
      <c r="C497" s="349" t="s">
        <v>35</v>
      </c>
      <c r="D497" s="349" t="s">
        <v>35</v>
      </c>
      <c r="E497" s="349" t="s">
        <v>35</v>
      </c>
      <c r="F497" s="522" t="s">
        <v>35</v>
      </c>
      <c r="G497" s="530" t="s">
        <v>70</v>
      </c>
      <c r="H497" s="155" t="s">
        <v>237</v>
      </c>
    </row>
    <row r="498" spans="1:8">
      <c r="A498" s="373" t="s">
        <v>72</v>
      </c>
      <c r="B498" s="590">
        <f>B429</f>
        <v>232.05227593765397</v>
      </c>
      <c r="C498" s="591">
        <f>B240</f>
        <v>235.97172406234603</v>
      </c>
      <c r="D498" s="591">
        <f>F478</f>
        <v>1547.5740000000001</v>
      </c>
      <c r="E498" s="591">
        <f>B498+C498+D498</f>
        <v>2015.598</v>
      </c>
      <c r="F498" s="294">
        <f>$C$416+$C$191+$D$471</f>
        <v>49547.294868207362</v>
      </c>
      <c r="G498" s="551">
        <f>E498/F498*1000000</f>
        <v>40680.283461717976</v>
      </c>
      <c r="H498" s="433">
        <f>G498/1000000</f>
        <v>4.0680283461717974E-2</v>
      </c>
    </row>
    <row r="499" spans="1:8">
      <c r="A499" s="374" t="s">
        <v>73</v>
      </c>
      <c r="B499" s="592">
        <f>B430</f>
        <v>2.2172258616285523E-2</v>
      </c>
      <c r="C499" s="364">
        <f>B241</f>
        <v>0.12147741383714462</v>
      </c>
      <c r="D499" s="364">
        <f>F479</f>
        <v>0.61250000000000004</v>
      </c>
      <c r="E499" s="364">
        <f t="shared" ref="E499:E513" si="74">B499+C499+D499</f>
        <v>0.75614967245343023</v>
      </c>
      <c r="F499" s="295">
        <f>$C$416+$C$191+$D$471</f>
        <v>49547.294868207362</v>
      </c>
      <c r="G499" s="552">
        <f t="shared" ref="G499:G514" si="75">E499/F499*1000000</f>
        <v>15.261169645381043</v>
      </c>
      <c r="H499" s="434">
        <f t="shared" ref="H499:H514" si="76">G499/1000000</f>
        <v>1.5261169645381044E-5</v>
      </c>
    </row>
    <row r="500" spans="1:8">
      <c r="A500" s="374" t="s">
        <v>74</v>
      </c>
      <c r="B500" s="592">
        <f t="shared" ref="B500:B503" si="77">B431</f>
        <v>89.148027629919696</v>
      </c>
      <c r="C500" s="364">
        <f t="shared" ref="C500:C502" si="78">B242</f>
        <v>1818.8519723700801</v>
      </c>
      <c r="D500" s="364">
        <f t="shared" ref="D500:D507" si="79">F480</f>
        <v>2275.1098999999999</v>
      </c>
      <c r="E500" s="364">
        <f t="shared" si="74"/>
        <v>4183.1098999999995</v>
      </c>
      <c r="F500" s="295">
        <f t="shared" ref="F500:F513" si="80">$C$416+$C$191+$D$471</f>
        <v>49547.294868207362</v>
      </c>
      <c r="G500" s="552">
        <f t="shared" si="75"/>
        <v>84426.605148208488</v>
      </c>
      <c r="H500" s="434">
        <f t="shared" si="76"/>
        <v>8.4426605148208489E-2</v>
      </c>
    </row>
    <row r="501" spans="1:8">
      <c r="A501" s="374" t="s">
        <v>75</v>
      </c>
      <c r="B501" s="1098">
        <f>B127</f>
        <v>4.2000000000000003E-2</v>
      </c>
      <c r="C501" s="1099"/>
      <c r="D501" s="364">
        <f t="shared" si="79"/>
        <v>5.2499999999999998E-2</v>
      </c>
      <c r="E501" s="364">
        <f>B501+D501</f>
        <v>9.4500000000000001E-2</v>
      </c>
      <c r="F501" s="295">
        <f t="shared" si="80"/>
        <v>49547.294868207362</v>
      </c>
      <c r="G501" s="552">
        <f t="shared" si="75"/>
        <v>1.9072686057102404</v>
      </c>
      <c r="H501" s="434">
        <f t="shared" si="76"/>
        <v>1.9072686057102404E-6</v>
      </c>
    </row>
    <row r="502" spans="1:8">
      <c r="A502" s="374" t="s">
        <v>76</v>
      </c>
      <c r="B502" s="592">
        <f t="shared" si="77"/>
        <v>0.53048300578340524</v>
      </c>
      <c r="C502" s="364">
        <f t="shared" si="78"/>
        <v>1.1015169942165945</v>
      </c>
      <c r="D502" s="364">
        <f t="shared" si="79"/>
        <v>1.9698</v>
      </c>
      <c r="E502" s="364">
        <f t="shared" si="74"/>
        <v>3.6017999999999999</v>
      </c>
      <c r="F502" s="295">
        <f t="shared" si="80"/>
        <v>49547.294868207362</v>
      </c>
      <c r="G502" s="552">
        <f t="shared" si="75"/>
        <v>72.694180571927433</v>
      </c>
      <c r="H502" s="434">
        <f t="shared" si="76"/>
        <v>7.2694180571927439E-5</v>
      </c>
    </row>
    <row r="503" spans="1:8">
      <c r="A503" s="375" t="s">
        <v>77</v>
      </c>
      <c r="B503" s="592">
        <f t="shared" si="77"/>
        <v>3.8026688557300847E-2</v>
      </c>
      <c r="C503" s="364">
        <f t="shared" ref="C503:C508" si="81">B245</f>
        <v>4.0693311442699294</v>
      </c>
      <c r="D503" s="364">
        <f t="shared" si="79"/>
        <v>19.295499999999997</v>
      </c>
      <c r="E503" s="364">
        <f t="shared" si="74"/>
        <v>23.402857832827227</v>
      </c>
      <c r="F503" s="295">
        <f t="shared" si="80"/>
        <v>49547.294868207362</v>
      </c>
      <c r="G503" s="552">
        <f t="shared" si="75"/>
        <v>472.33371458678693</v>
      </c>
      <c r="H503" s="434">
        <f t="shared" si="76"/>
        <v>4.7233371458678695E-4</v>
      </c>
    </row>
    <row r="504" spans="1:8">
      <c r="A504" s="375" t="s">
        <v>78</v>
      </c>
      <c r="B504" s="592">
        <f>B435</f>
        <v>386.05902824466716</v>
      </c>
      <c r="C504" s="364">
        <f t="shared" si="81"/>
        <v>664.86497175533282</v>
      </c>
      <c r="D504" s="364">
        <f t="shared" si="79"/>
        <v>2077.7049999999999</v>
      </c>
      <c r="E504" s="364">
        <f t="shared" si="74"/>
        <v>3128.6289999999999</v>
      </c>
      <c r="F504" s="295">
        <f t="shared" si="80"/>
        <v>49547.294868207362</v>
      </c>
      <c r="G504" s="552">
        <f t="shared" si="75"/>
        <v>63144.294927138872</v>
      </c>
      <c r="H504" s="434">
        <f t="shared" si="76"/>
        <v>6.3144294927138869E-2</v>
      </c>
    </row>
    <row r="505" spans="1:8">
      <c r="A505" s="375" t="s">
        <v>79</v>
      </c>
      <c r="B505" s="592">
        <f>B436</f>
        <v>49.205527374642131</v>
      </c>
      <c r="C505" s="364">
        <f t="shared" si="81"/>
        <v>49.554472625357874</v>
      </c>
      <c r="D505" s="364">
        <f t="shared" si="79"/>
        <v>232.9992</v>
      </c>
      <c r="E505" s="364">
        <f t="shared" si="74"/>
        <v>331.75920000000002</v>
      </c>
      <c r="F505" s="295">
        <f t="shared" si="80"/>
        <v>49547.294868207362</v>
      </c>
      <c r="G505" s="552">
        <f t="shared" si="75"/>
        <v>6695.8085377306325</v>
      </c>
      <c r="H505" s="434">
        <f t="shared" si="76"/>
        <v>6.6958085377306327E-3</v>
      </c>
    </row>
    <row r="506" spans="1:8">
      <c r="A506" s="375" t="s">
        <v>80</v>
      </c>
      <c r="B506" s="592">
        <f>B437</f>
        <v>71.578956334809078</v>
      </c>
      <c r="C506" s="364">
        <f t="shared" si="81"/>
        <v>83.221043665190933</v>
      </c>
      <c r="D506" s="364">
        <f t="shared" si="79"/>
        <v>302.29978333333338</v>
      </c>
      <c r="E506" s="364">
        <f t="shared" si="74"/>
        <v>457.09978333333339</v>
      </c>
      <c r="F506" s="295">
        <f t="shared" si="80"/>
        <v>49547.294868207362</v>
      </c>
      <c r="G506" s="552">
        <f t="shared" si="75"/>
        <v>9225.524512472166</v>
      </c>
      <c r="H506" s="434">
        <f t="shared" si="76"/>
        <v>9.225524512472166E-3</v>
      </c>
    </row>
    <row r="507" spans="1:8">
      <c r="A507" s="375" t="s">
        <v>81</v>
      </c>
      <c r="B507" s="592">
        <f>B438</f>
        <v>47.7341524369997</v>
      </c>
      <c r="C507" s="364">
        <f t="shared" si="81"/>
        <v>49.465847563000303</v>
      </c>
      <c r="D507" s="364">
        <f t="shared" si="79"/>
        <v>67.697699999999998</v>
      </c>
      <c r="E507" s="364">
        <f t="shared" si="74"/>
        <v>164.89769999999999</v>
      </c>
      <c r="F507" s="295">
        <f t="shared" si="80"/>
        <v>49547.294868207362</v>
      </c>
      <c r="G507" s="552">
        <f t="shared" si="75"/>
        <v>3328.0868398288412</v>
      </c>
      <c r="H507" s="434">
        <f t="shared" si="76"/>
        <v>3.3280868398288411E-3</v>
      </c>
    </row>
    <row r="508" spans="1:8">
      <c r="A508" s="375" t="s">
        <v>82</v>
      </c>
      <c r="B508" s="592">
        <f t="shared" ref="B508" si="82">B439</f>
        <v>0.69882090882603376</v>
      </c>
      <c r="C508" s="364">
        <f t="shared" si="81"/>
        <v>0.80117909117396613</v>
      </c>
      <c r="D508" s="364">
        <f>F488</f>
        <v>1.4619499999999999</v>
      </c>
      <c r="E508" s="364">
        <f t="shared" si="74"/>
        <v>2.9619499999999999</v>
      </c>
      <c r="F508" s="295">
        <f t="shared" si="80"/>
        <v>49547.294868207362</v>
      </c>
      <c r="G508" s="552">
        <f t="shared" si="75"/>
        <v>59.780256578660804</v>
      </c>
      <c r="H508" s="434">
        <f t="shared" si="76"/>
        <v>5.9780256578660804E-5</v>
      </c>
    </row>
    <row r="509" spans="1:8">
      <c r="A509" s="372" t="s">
        <v>213</v>
      </c>
      <c r="B509" s="1092">
        <f>B135</f>
        <v>979.41600000000005</v>
      </c>
      <c r="C509" s="1093"/>
      <c r="D509" s="364">
        <f>F489</f>
        <v>1829.2190000000001</v>
      </c>
      <c r="E509" s="364">
        <f>B509+D509</f>
        <v>2808.6350000000002</v>
      </c>
      <c r="F509" s="295">
        <f t="shared" si="80"/>
        <v>49547.294868207362</v>
      </c>
      <c r="G509" s="552">
        <f t="shared" si="75"/>
        <v>56685.940321682341</v>
      </c>
      <c r="H509" s="434">
        <f t="shared" si="76"/>
        <v>5.6685940321682345E-2</v>
      </c>
    </row>
    <row r="510" spans="1:8">
      <c r="A510" s="375" t="s">
        <v>96</v>
      </c>
      <c r="B510" s="1092">
        <f>B136</f>
        <v>2854.5306122448978</v>
      </c>
      <c r="C510" s="1093"/>
      <c r="D510" s="364">
        <v>0</v>
      </c>
      <c r="E510" s="364">
        <f>B510+D510</f>
        <v>2854.5306122448978</v>
      </c>
      <c r="F510" s="295">
        <f t="shared" si="80"/>
        <v>49547.294868207362</v>
      </c>
      <c r="G510" s="552">
        <f t="shared" si="75"/>
        <v>57612.239373264812</v>
      </c>
      <c r="H510" s="434">
        <f t="shared" si="76"/>
        <v>5.7612239373264811E-2</v>
      </c>
    </row>
    <row r="511" spans="1:8">
      <c r="A511" s="350" t="s">
        <v>97</v>
      </c>
      <c r="B511" s="1092">
        <f>B509+B510</f>
        <v>3833.946612244898</v>
      </c>
      <c r="C511" s="1093"/>
      <c r="D511" s="364">
        <f>D509+D510</f>
        <v>1829.2190000000001</v>
      </c>
      <c r="E511" s="364">
        <f>B511+D511</f>
        <v>5663.1656122448985</v>
      </c>
      <c r="F511" s="295">
        <f t="shared" si="80"/>
        <v>49547.294868207362</v>
      </c>
      <c r="G511" s="594">
        <f t="shared" si="75"/>
        <v>114298.17969494718</v>
      </c>
      <c r="H511" s="585">
        <f t="shared" si="76"/>
        <v>0.11429817969494717</v>
      </c>
    </row>
    <row r="512" spans="1:8">
      <c r="A512" s="398" t="s">
        <v>84</v>
      </c>
      <c r="B512" s="593">
        <f>B442</f>
        <v>0.10838288181260813</v>
      </c>
      <c r="C512" s="44">
        <f>B254</f>
        <v>1.379617118187392</v>
      </c>
      <c r="D512" s="364">
        <f>F490</f>
        <v>2.6088999999999998</v>
      </c>
      <c r="E512" s="364">
        <f t="shared" si="74"/>
        <v>4.0968999999999998</v>
      </c>
      <c r="F512" s="295">
        <f t="shared" si="80"/>
        <v>49547.294868207362</v>
      </c>
      <c r="G512" s="552">
        <f t="shared" si="75"/>
        <v>82.686653446923629</v>
      </c>
      <c r="H512" s="434">
        <f t="shared" si="76"/>
        <v>8.2686653446923633E-5</v>
      </c>
    </row>
    <row r="513" spans="1:8">
      <c r="A513" s="398" t="s">
        <v>85</v>
      </c>
      <c r="B513" s="593">
        <f>B443</f>
        <v>0</v>
      </c>
      <c r="C513" s="44">
        <f>B257</f>
        <v>1598.2285714285713</v>
      </c>
      <c r="D513" s="364">
        <f>F491</f>
        <v>124.30895555555556</v>
      </c>
      <c r="E513" s="364">
        <f t="shared" si="74"/>
        <v>1722.5375269841268</v>
      </c>
      <c r="F513" s="295">
        <f t="shared" si="80"/>
        <v>49547.294868207362</v>
      </c>
      <c r="G513" s="552">
        <f t="shared" si="75"/>
        <v>34765.521136238953</v>
      </c>
      <c r="H513" s="434">
        <f t="shared" si="76"/>
        <v>3.4765521136238951E-2</v>
      </c>
    </row>
    <row r="514" spans="1:8" ht="14.65" thickBot="1">
      <c r="A514" s="376" t="s">
        <v>86</v>
      </c>
      <c r="B514" s="595">
        <f>B444</f>
        <v>10.760662205067051</v>
      </c>
      <c r="C514" s="49">
        <f>B260</f>
        <v>17.475337794932951</v>
      </c>
      <c r="D514" s="379">
        <f>F492</f>
        <v>53.472999999999999</v>
      </c>
      <c r="E514" s="379">
        <f>B514+C514+D514</f>
        <v>81.709000000000003</v>
      </c>
      <c r="F514" s="380">
        <f>$C$416+$C$191+$D$471</f>
        <v>49547.294868207362</v>
      </c>
      <c r="G514" s="553">
        <f t="shared" si="75"/>
        <v>1649.1112222643178</v>
      </c>
      <c r="H514" s="439">
        <f t="shared" si="76"/>
        <v>1.6491112222643178E-3</v>
      </c>
    </row>
    <row r="516" spans="1:8">
      <c r="A516" s="329" t="s">
        <v>144</v>
      </c>
      <c r="B516" s="329"/>
      <c r="C516" s="329"/>
      <c r="D516" s="329"/>
      <c r="E516" s="329"/>
      <c r="F516" s="329"/>
    </row>
    <row r="517" spans="1:8">
      <c r="A517" s="329" t="s">
        <v>315</v>
      </c>
      <c r="B517" s="329"/>
      <c r="C517" s="329"/>
      <c r="D517" s="329"/>
      <c r="E517" s="329"/>
      <c r="F517" s="329"/>
    </row>
    <row r="518" spans="1:8">
      <c r="D518" s="121"/>
    </row>
    <row r="519" spans="1:8" ht="14.65" thickBot="1">
      <c r="A519" s="79" t="s">
        <v>432</v>
      </c>
      <c r="D519" s="121"/>
    </row>
    <row r="520" spans="1:8">
      <c r="A520" s="388" t="s">
        <v>93</v>
      </c>
      <c r="B520" s="323" t="s">
        <v>146</v>
      </c>
      <c r="C520" s="324" t="s">
        <v>147</v>
      </c>
      <c r="D520" s="1024" t="s">
        <v>95</v>
      </c>
      <c r="E520" s="1025"/>
    </row>
    <row r="521" spans="1:8" ht="14.65" thickBot="1">
      <c r="A521" s="220"/>
      <c r="B521" s="6" t="s">
        <v>35</v>
      </c>
      <c r="C521" s="422" t="s">
        <v>35</v>
      </c>
      <c r="D521" s="403" t="s">
        <v>257</v>
      </c>
      <c r="E521" s="155" t="s">
        <v>237</v>
      </c>
    </row>
    <row r="522" spans="1:8">
      <c r="A522" s="137" t="s">
        <v>211</v>
      </c>
      <c r="B522" s="159">
        <f>D77+E510</f>
        <v>3833.946612244898</v>
      </c>
      <c r="C522" s="501">
        <f>$C$416+$C$191</f>
        <v>25047.294868207358</v>
      </c>
      <c r="D522" s="227">
        <f>B522/C522*1000000</f>
        <v>153068.29070437237</v>
      </c>
      <c r="E522" s="433">
        <f>D522/1000000</f>
        <v>0.15306829070437236</v>
      </c>
    </row>
    <row r="523" spans="1:8">
      <c r="A523" s="113" t="s">
        <v>149</v>
      </c>
      <c r="B523" s="161">
        <f>$D$509</f>
        <v>1829.2190000000001</v>
      </c>
      <c r="C523" s="502">
        <f>$D$471</f>
        <v>24500</v>
      </c>
      <c r="D523" s="229">
        <f>B523/C523*1000000</f>
        <v>74662</v>
      </c>
      <c r="E523" s="434">
        <f t="shared" ref="E523:E525" si="83">D523/1000000</f>
        <v>7.4662000000000006E-2</v>
      </c>
    </row>
    <row r="524" spans="1:8">
      <c r="A524" s="138" t="s">
        <v>96</v>
      </c>
      <c r="B524" s="444">
        <f>C524*31/98</f>
        <v>5390.4591732285944</v>
      </c>
      <c r="C524" s="587">
        <v>17040.80641859362</v>
      </c>
      <c r="D524" s="229">
        <f>B524/C524*1000000</f>
        <v>316326.53061224491</v>
      </c>
      <c r="E524" s="434">
        <f t="shared" si="83"/>
        <v>0.31632653061224492</v>
      </c>
    </row>
    <row r="525" spans="1:8" ht="14.65" thickBot="1">
      <c r="A525" s="330" t="s">
        <v>306</v>
      </c>
      <c r="B525" s="162">
        <f>SUM($B$522:$B$524)</f>
        <v>11053.624785473494</v>
      </c>
      <c r="C525" s="503">
        <f>SUM($C$522:$C$524)</f>
        <v>66588.101286800986</v>
      </c>
      <c r="D525" s="588">
        <f>B525/C525*1000000</f>
        <v>165999.99957747001</v>
      </c>
      <c r="E525" s="589">
        <f t="shared" si="83"/>
        <v>0.16599999957747</v>
      </c>
    </row>
    <row r="527" spans="1:8" ht="14.65" thickBot="1">
      <c r="A527" s="79" t="s">
        <v>434</v>
      </c>
    </row>
    <row r="528" spans="1:8" ht="14.65" thickBot="1">
      <c r="A528" s="691"/>
      <c r="B528" s="192" t="s">
        <v>18</v>
      </c>
      <c r="C528" s="744" t="s">
        <v>106</v>
      </c>
    </row>
    <row r="529" spans="1:3">
      <c r="A529" s="172" t="s">
        <v>435</v>
      </c>
      <c r="B529" s="745" t="s">
        <v>35</v>
      </c>
      <c r="C529" s="730">
        <f>$C$524</f>
        <v>17040.80641859362</v>
      </c>
    </row>
    <row r="530" spans="1:3">
      <c r="A530" s="108" t="s">
        <v>436</v>
      </c>
      <c r="B530" s="105" t="s">
        <v>35</v>
      </c>
      <c r="C530" s="84">
        <f>C529/75%*25%</f>
        <v>5680.2688061978733</v>
      </c>
    </row>
    <row r="531" spans="1:3" ht="14.65" thickBot="1">
      <c r="A531" s="333" t="s">
        <v>437</v>
      </c>
      <c r="B531" s="381" t="s">
        <v>35</v>
      </c>
      <c r="C531" s="335">
        <f>C529+C530</f>
        <v>22721.075224791493</v>
      </c>
    </row>
    <row r="533" spans="1:3">
      <c r="A533" s="329" t="s">
        <v>316</v>
      </c>
    </row>
    <row r="534" spans="1:3">
      <c r="A534" s="329" t="s">
        <v>317</v>
      </c>
    </row>
    <row r="535" spans="1:3">
      <c r="A535" s="329"/>
    </row>
    <row r="536" spans="1:3" ht="14.65" thickBot="1">
      <c r="A536" s="329" t="s">
        <v>307</v>
      </c>
    </row>
    <row r="537" spans="1:3">
      <c r="A537" s="664" t="s">
        <v>64</v>
      </c>
      <c r="B537" s="665" t="s">
        <v>24</v>
      </c>
      <c r="C537" s="666">
        <v>0.45</v>
      </c>
    </row>
    <row r="538" spans="1:3" ht="14.65" thickBot="1">
      <c r="A538" s="667" t="s">
        <v>66</v>
      </c>
      <c r="B538" s="284" t="s">
        <v>24</v>
      </c>
      <c r="C538" s="663">
        <v>0.55000000000000004</v>
      </c>
    </row>
    <row r="539" spans="1:3">
      <c r="A539" s="329"/>
    </row>
    <row r="540" spans="1:3" ht="14.65" thickBot="1">
      <c r="A540" s="329" t="s">
        <v>363</v>
      </c>
    </row>
    <row r="541" spans="1:3" ht="14.65" thickBot="1">
      <c r="A541" s="191"/>
      <c r="B541" s="192" t="s">
        <v>18</v>
      </c>
      <c r="C541" s="193" t="s">
        <v>106</v>
      </c>
    </row>
    <row r="542" spans="1:3">
      <c r="A542" s="678" t="s">
        <v>374</v>
      </c>
      <c r="B542" s="293" t="s">
        <v>35</v>
      </c>
      <c r="C542" s="294">
        <f>$C$416</f>
        <v>7400.4638570063653</v>
      </c>
    </row>
    <row r="543" spans="1:3">
      <c r="A543" s="679" t="s">
        <v>375</v>
      </c>
      <c r="B543" s="287" t="s">
        <v>35</v>
      </c>
      <c r="C543" s="295">
        <f>$C$191</f>
        <v>17646.831011200993</v>
      </c>
    </row>
    <row r="544" spans="1:3">
      <c r="A544" s="679" t="s">
        <v>343</v>
      </c>
      <c r="B544" s="282" t="s">
        <v>35</v>
      </c>
      <c r="C544" s="370">
        <f>$B$471</f>
        <v>17500</v>
      </c>
    </row>
    <row r="545" spans="1:3">
      <c r="A545" s="679" t="s">
        <v>344</v>
      </c>
      <c r="B545" s="282" t="s">
        <v>35</v>
      </c>
      <c r="C545" s="347">
        <f>$C$471</f>
        <v>7000</v>
      </c>
    </row>
    <row r="546" spans="1:3">
      <c r="A546" s="375" t="s">
        <v>435</v>
      </c>
      <c r="B546" s="287" t="s">
        <v>35</v>
      </c>
      <c r="C546" s="279">
        <f>$C$529</f>
        <v>17040.80641859362</v>
      </c>
    </row>
    <row r="547" spans="1:3" ht="14.65" thickBot="1">
      <c r="A547" s="683" t="s">
        <v>309</v>
      </c>
      <c r="B547" s="215" t="s">
        <v>35</v>
      </c>
      <c r="C547" s="344">
        <f>C542+C543+C544+C545+C546</f>
        <v>66588.101286800986</v>
      </c>
    </row>
    <row r="548" spans="1:3">
      <c r="A548" s="675" t="s">
        <v>345</v>
      </c>
      <c r="B548" s="676" t="s">
        <v>35</v>
      </c>
      <c r="C548" s="342">
        <f>C547/C537*C538</f>
        <v>81385.457128312322</v>
      </c>
    </row>
    <row r="549" spans="1:3">
      <c r="A549" s="679" t="s">
        <v>376</v>
      </c>
      <c r="B549" s="287" t="s">
        <v>35</v>
      </c>
      <c r="C549" s="279">
        <f>$C$421</f>
        <v>43440.277234293098</v>
      </c>
    </row>
    <row r="550" spans="1:3">
      <c r="A550" s="679" t="s">
        <v>370</v>
      </c>
      <c r="B550" s="287" t="s">
        <v>35</v>
      </c>
      <c r="C550" s="279">
        <f>$C$193</f>
        <v>12011.708503422526</v>
      </c>
    </row>
    <row r="551" spans="1:3">
      <c r="A551" s="108" t="s">
        <v>436</v>
      </c>
      <c r="B551" s="287" t="s">
        <v>35</v>
      </c>
      <c r="C551" s="347">
        <f>$C$530</f>
        <v>5680.2688061978733</v>
      </c>
    </row>
    <row r="552" spans="1:3" ht="14.65" thickBot="1">
      <c r="A552" s="680" t="s">
        <v>363</v>
      </c>
      <c r="B552" s="698" t="s">
        <v>35</v>
      </c>
      <c r="C552" s="671">
        <f>C548-C549-C550-C551</f>
        <v>20253.202584398827</v>
      </c>
    </row>
    <row r="554" spans="1:3" ht="14.65" thickBot="1">
      <c r="A554" s="79" t="s">
        <v>289</v>
      </c>
    </row>
    <row r="555" spans="1:3" ht="14.65" thickBot="1">
      <c r="A555" s="191" t="s">
        <v>53</v>
      </c>
      <c r="B555" s="192" t="s">
        <v>18</v>
      </c>
      <c r="C555" s="193" t="s">
        <v>106</v>
      </c>
    </row>
    <row r="556" spans="1:3">
      <c r="A556" s="388" t="s">
        <v>191</v>
      </c>
      <c r="B556" s="3" t="s">
        <v>35</v>
      </c>
      <c r="C556" s="687">
        <f>$C$404</f>
        <v>50840.74109129946</v>
      </c>
    </row>
    <row r="557" spans="1:3">
      <c r="A557" s="219" t="s">
        <v>190</v>
      </c>
      <c r="B557" s="90" t="s">
        <v>35</v>
      </c>
      <c r="C557" s="383">
        <f>$C$189</f>
        <v>29658.539514623517</v>
      </c>
    </row>
    <row r="558" spans="1:3">
      <c r="A558" s="219" t="s">
        <v>343</v>
      </c>
      <c r="B558" s="90" t="s">
        <v>35</v>
      </c>
      <c r="C558" s="383">
        <f>$B$471</f>
        <v>17500</v>
      </c>
    </row>
    <row r="559" spans="1:3">
      <c r="A559" s="219" t="s">
        <v>344</v>
      </c>
      <c r="B559" s="90" t="s">
        <v>35</v>
      </c>
      <c r="C559" s="747">
        <f>$C$471</f>
        <v>7000</v>
      </c>
    </row>
    <row r="560" spans="1:3">
      <c r="A560" s="582" t="s">
        <v>437</v>
      </c>
      <c r="B560" s="724" t="s">
        <v>35</v>
      </c>
      <c r="C560" s="750">
        <f>C531</f>
        <v>22721.075224791493</v>
      </c>
    </row>
    <row r="561" spans="1:3" ht="14.65" thickBot="1">
      <c r="A561" s="748" t="s">
        <v>363</v>
      </c>
      <c r="B561" s="694" t="s">
        <v>35</v>
      </c>
      <c r="C561" s="749">
        <f>C552</f>
        <v>20253.202584398827</v>
      </c>
    </row>
    <row r="563" spans="1:3" ht="14.65" thickBot="1">
      <c r="A563" s="79" t="s">
        <v>290</v>
      </c>
    </row>
    <row r="564" spans="1:3" ht="14.65" thickBot="1">
      <c r="A564" s="191" t="s">
        <v>90</v>
      </c>
      <c r="B564" s="192" t="s">
        <v>18</v>
      </c>
      <c r="C564" s="193" t="s">
        <v>91</v>
      </c>
    </row>
    <row r="565" spans="1:3">
      <c r="A565" s="272" t="s">
        <v>191</v>
      </c>
      <c r="B565" s="308" t="s">
        <v>35</v>
      </c>
      <c r="C565" s="614">
        <f>$C$404</f>
        <v>50840.74109129946</v>
      </c>
    </row>
    <row r="566" spans="1:3">
      <c r="A566" s="257" t="s">
        <v>190</v>
      </c>
      <c r="B566" s="282" t="s">
        <v>35</v>
      </c>
      <c r="C566" s="370">
        <f>$C$189</f>
        <v>29658.539514623517</v>
      </c>
    </row>
    <row r="567" spans="1:3">
      <c r="A567" s="257" t="s">
        <v>343</v>
      </c>
      <c r="B567" s="282" t="s">
        <v>35</v>
      </c>
      <c r="C567" s="370">
        <f>$B$471</f>
        <v>17500</v>
      </c>
    </row>
    <row r="568" spans="1:3">
      <c r="A568" s="257" t="s">
        <v>344</v>
      </c>
      <c r="B568" s="282" t="s">
        <v>35</v>
      </c>
      <c r="C568" s="347">
        <f>$C$471</f>
        <v>7000</v>
      </c>
    </row>
    <row r="569" spans="1:3">
      <c r="A569" s="108" t="s">
        <v>437</v>
      </c>
      <c r="B569" s="178" t="s">
        <v>35</v>
      </c>
      <c r="C569" s="84">
        <f>C531</f>
        <v>22721.075224791493</v>
      </c>
    </row>
    <row r="570" spans="1:3">
      <c r="A570" s="68" t="s">
        <v>363</v>
      </c>
      <c r="B570" s="178" t="s">
        <v>35</v>
      </c>
      <c r="C570" s="82">
        <f>C552</f>
        <v>20253.202584398827</v>
      </c>
    </row>
    <row r="571" spans="1:3" ht="14.65" thickBot="1">
      <c r="A571" s="255" t="s">
        <v>305</v>
      </c>
      <c r="B571" s="677" t="s">
        <v>35</v>
      </c>
      <c r="C571" s="256">
        <f>SUM(C565:C570)</f>
        <v>147973.55841511331</v>
      </c>
    </row>
    <row r="573" spans="1:3" ht="14.65" thickBot="1">
      <c r="A573" s="79" t="s">
        <v>307</v>
      </c>
      <c r="B573" s="79"/>
      <c r="C573" s="79"/>
    </row>
    <row r="574" spans="1:3" ht="14.65" thickBot="1">
      <c r="A574" s="103" t="s">
        <v>90</v>
      </c>
      <c r="B574" s="102" t="s">
        <v>18</v>
      </c>
      <c r="C574" s="17" t="s">
        <v>106</v>
      </c>
    </row>
    <row r="575" spans="1:3">
      <c r="A575" s="276" t="s">
        <v>374</v>
      </c>
      <c r="B575" s="296" t="s">
        <v>35</v>
      </c>
      <c r="C575" s="297">
        <f>$C$416</f>
        <v>7400.4638570063653</v>
      </c>
    </row>
    <row r="576" spans="1:3">
      <c r="A576" s="257" t="s">
        <v>375</v>
      </c>
      <c r="B576" s="278" t="s">
        <v>35</v>
      </c>
      <c r="C576" s="295">
        <f>$C$191</f>
        <v>17646.831011200993</v>
      </c>
    </row>
    <row r="577" spans="1:9">
      <c r="A577" s="257" t="s">
        <v>343</v>
      </c>
      <c r="B577" s="346" t="s">
        <v>35</v>
      </c>
      <c r="C577" s="370">
        <f>$B$471</f>
        <v>17500</v>
      </c>
    </row>
    <row r="578" spans="1:9">
      <c r="A578" s="257" t="s">
        <v>344</v>
      </c>
      <c r="B578" s="346" t="s">
        <v>35</v>
      </c>
      <c r="C578" s="347">
        <f>$C$471</f>
        <v>7000</v>
      </c>
    </row>
    <row r="579" spans="1:9">
      <c r="A579" s="348" t="s">
        <v>435</v>
      </c>
      <c r="B579" s="278" t="s">
        <v>35</v>
      </c>
      <c r="C579" s="279">
        <f>$C$529</f>
        <v>17040.80641859362</v>
      </c>
    </row>
    <row r="580" spans="1:9">
      <c r="A580" s="257" t="s">
        <v>309</v>
      </c>
      <c r="B580" s="278" t="s">
        <v>35</v>
      </c>
      <c r="C580" s="279">
        <f>C575+C576+C577+C578+C579</f>
        <v>66588.101286800986</v>
      </c>
    </row>
    <row r="581" spans="1:9">
      <c r="A581" s="257" t="s">
        <v>305</v>
      </c>
      <c r="B581" s="278" t="s">
        <v>35</v>
      </c>
      <c r="C581" s="279">
        <f>C571</f>
        <v>147973.55841511331</v>
      </c>
    </row>
    <row r="582" spans="1:9">
      <c r="A582" s="299" t="s">
        <v>64</v>
      </c>
      <c r="B582" s="260" t="s">
        <v>24</v>
      </c>
      <c r="C582" s="371">
        <f>C580/C581</f>
        <v>0.44999999999999996</v>
      </c>
    </row>
    <row r="583" spans="1:9">
      <c r="A583" s="108" t="s">
        <v>437</v>
      </c>
      <c r="B583" s="178" t="s">
        <v>35</v>
      </c>
      <c r="C583" s="84">
        <f>C530</f>
        <v>5680.2688061978733</v>
      </c>
    </row>
    <row r="584" spans="1:9">
      <c r="A584" s="257" t="s">
        <v>376</v>
      </c>
      <c r="B584" s="278" t="s">
        <v>35</v>
      </c>
      <c r="C584" s="279">
        <f>$C$421</f>
        <v>43440.277234293098</v>
      </c>
    </row>
    <row r="585" spans="1:9">
      <c r="A585" s="257" t="s">
        <v>370</v>
      </c>
      <c r="B585" s="278" t="s">
        <v>35</v>
      </c>
      <c r="C585" s="279">
        <f>$C$193</f>
        <v>12011.708503422526</v>
      </c>
    </row>
    <row r="586" spans="1:9">
      <c r="A586" s="68" t="s">
        <v>363</v>
      </c>
      <c r="B586" s="178" t="s">
        <v>35</v>
      </c>
      <c r="C586" s="82">
        <f>C552</f>
        <v>20253.202584398827</v>
      </c>
    </row>
    <row r="587" spans="1:9">
      <c r="A587" s="257" t="s">
        <v>345</v>
      </c>
      <c r="B587" s="278" t="s">
        <v>35</v>
      </c>
      <c r="C587" s="279">
        <f>C583+C584+C585+C586</f>
        <v>81385.457128312322</v>
      </c>
    </row>
    <row r="588" spans="1:9">
      <c r="A588" s="257" t="s">
        <v>305</v>
      </c>
      <c r="B588" s="278" t="s">
        <v>35</v>
      </c>
      <c r="C588" s="279">
        <f>C571</f>
        <v>147973.55841511331</v>
      </c>
    </row>
    <row r="589" spans="1:9" ht="14.65" thickBot="1">
      <c r="A589" s="301" t="s">
        <v>66</v>
      </c>
      <c r="B589" s="277" t="s">
        <v>24</v>
      </c>
      <c r="C589" s="303">
        <f>C587/C588</f>
        <v>0.55000000000000004</v>
      </c>
    </row>
    <row r="591" spans="1:9" ht="14.65" thickBot="1">
      <c r="A591" s="79" t="s">
        <v>308</v>
      </c>
    </row>
    <row r="592" spans="1:9" ht="14.65" thickBot="1">
      <c r="A592" s="419"/>
      <c r="B592" s="1019" t="s">
        <v>262</v>
      </c>
      <c r="C592" s="1021"/>
      <c r="D592" s="1021"/>
      <c r="E592" s="1021"/>
      <c r="F592" s="1021"/>
      <c r="G592" s="1021"/>
      <c r="H592" s="1019" t="s">
        <v>263</v>
      </c>
      <c r="I592" s="1020"/>
    </row>
    <row r="593" spans="1:9">
      <c r="A593" s="92" t="s">
        <v>93</v>
      </c>
      <c r="B593" s="323" t="s">
        <v>208</v>
      </c>
      <c r="C593" s="274" t="s">
        <v>198</v>
      </c>
      <c r="D593" s="274" t="s">
        <v>141</v>
      </c>
      <c r="E593" s="274" t="s">
        <v>153</v>
      </c>
      <c r="F593" s="274" t="s">
        <v>142</v>
      </c>
      <c r="G593" s="324" t="s">
        <v>309</v>
      </c>
      <c r="H593" s="1094" t="s">
        <v>95</v>
      </c>
      <c r="I593" s="1095"/>
    </row>
    <row r="594" spans="1:9" ht="14.65" thickBot="1">
      <c r="A594" s="93" t="s">
        <v>297</v>
      </c>
      <c r="B594" s="6" t="s">
        <v>35</v>
      </c>
      <c r="C594" s="7" t="s">
        <v>35</v>
      </c>
      <c r="D594" s="7" t="s">
        <v>35</v>
      </c>
      <c r="E594" s="7" t="s">
        <v>35</v>
      </c>
      <c r="F594" s="7" t="s">
        <v>35</v>
      </c>
      <c r="G594" s="422" t="s">
        <v>35</v>
      </c>
      <c r="H594" s="530" t="s">
        <v>70</v>
      </c>
      <c r="I594" s="155" t="s">
        <v>237</v>
      </c>
    </row>
    <row r="595" spans="1:9">
      <c r="A595" s="111" t="s">
        <v>72</v>
      </c>
      <c r="B595" s="540">
        <f t="shared" ref="B595:D596" si="84">B498</f>
        <v>232.05227593765397</v>
      </c>
      <c r="C595" s="567">
        <f t="shared" si="84"/>
        <v>235.97172406234603</v>
      </c>
      <c r="D595" s="567">
        <f t="shared" si="84"/>
        <v>1547.5740000000001</v>
      </c>
      <c r="E595" s="428">
        <v>0</v>
      </c>
      <c r="F595" s="428">
        <f>B595+C595+D595+E595</f>
        <v>2015.598</v>
      </c>
      <c r="G595" s="545">
        <f t="shared" ref="G595:G609" si="85">$C$580</f>
        <v>66588.101286800986</v>
      </c>
      <c r="H595" s="557">
        <f>F595/G595*1000000</f>
        <v>30269.642189054721</v>
      </c>
      <c r="I595" s="433">
        <f>H595/1000000</f>
        <v>3.0269642189054719E-2</v>
      </c>
    </row>
    <row r="596" spans="1:9">
      <c r="A596" s="112" t="s">
        <v>73</v>
      </c>
      <c r="B596" s="543">
        <f t="shared" si="84"/>
        <v>2.2172258616285523E-2</v>
      </c>
      <c r="C596" s="484">
        <f t="shared" si="84"/>
        <v>0.12147741383714462</v>
      </c>
      <c r="D596" s="484">
        <f t="shared" si="84"/>
        <v>0.61250000000000004</v>
      </c>
      <c r="E596" s="235">
        <v>0</v>
      </c>
      <c r="F596" s="238">
        <f t="shared" ref="F596:F609" si="86">B596+C596+D596+E596</f>
        <v>0.75614967245343023</v>
      </c>
      <c r="G596" s="596">
        <f t="shared" si="85"/>
        <v>66588.101286800986</v>
      </c>
      <c r="H596" s="558">
        <f t="shared" ref="H596:H609" si="87">F596/G596*1000000</f>
        <v>11.355627474593772</v>
      </c>
      <c r="I596" s="434">
        <f t="shared" ref="I596:I609" si="88">H596/1000000</f>
        <v>1.1355627474593772E-5</v>
      </c>
    </row>
    <row r="597" spans="1:9">
      <c r="A597" s="112" t="s">
        <v>74</v>
      </c>
      <c r="B597" s="543">
        <f t="shared" ref="B597:B599" si="89">B500</f>
        <v>89.148027629919696</v>
      </c>
      <c r="C597" s="484">
        <f>C500</f>
        <v>1818.8519723700801</v>
      </c>
      <c r="D597" s="484">
        <f t="shared" ref="D597:D599" si="90">D500</f>
        <v>2275.1098999999999</v>
      </c>
      <c r="E597" s="235">
        <v>0</v>
      </c>
      <c r="F597" s="238">
        <f t="shared" si="86"/>
        <v>4183.1098999999995</v>
      </c>
      <c r="G597" s="596">
        <f t="shared" si="85"/>
        <v>66588.101286800986</v>
      </c>
      <c r="H597" s="558">
        <f t="shared" si="87"/>
        <v>62820.681460535518</v>
      </c>
      <c r="I597" s="434">
        <f t="shared" si="88"/>
        <v>6.2820681460535516E-2</v>
      </c>
    </row>
    <row r="598" spans="1:9">
      <c r="A598" s="112" t="s">
        <v>75</v>
      </c>
      <c r="B598" s="1096">
        <f t="shared" si="89"/>
        <v>4.2000000000000003E-2</v>
      </c>
      <c r="C598" s="1097"/>
      <c r="D598" s="484">
        <f t="shared" si="90"/>
        <v>5.2499999999999998E-2</v>
      </c>
      <c r="E598" s="235">
        <v>0</v>
      </c>
      <c r="F598" s="238">
        <f t="shared" si="86"/>
        <v>9.4500000000000001E-2</v>
      </c>
      <c r="G598" s="596">
        <f t="shared" si="85"/>
        <v>66588.101286800986</v>
      </c>
      <c r="H598" s="558">
        <f t="shared" si="87"/>
        <v>1.4191724673598958</v>
      </c>
      <c r="I598" s="434">
        <f t="shared" si="88"/>
        <v>1.4191724673598957E-6</v>
      </c>
    </row>
    <row r="599" spans="1:9">
      <c r="A599" s="112" t="s">
        <v>76</v>
      </c>
      <c r="B599" s="543">
        <f t="shared" si="89"/>
        <v>0.53048300578340524</v>
      </c>
      <c r="C599" s="484">
        <f t="shared" ref="B599:D600" si="91">C502</f>
        <v>1.1015169942165945</v>
      </c>
      <c r="D599" s="484">
        <f t="shared" si="90"/>
        <v>1.9698</v>
      </c>
      <c r="E599" s="235">
        <v>0</v>
      </c>
      <c r="F599" s="238">
        <f t="shared" si="86"/>
        <v>3.6017999999999999</v>
      </c>
      <c r="G599" s="596">
        <f t="shared" si="85"/>
        <v>66588.101286800986</v>
      </c>
      <c r="H599" s="558">
        <f t="shared" si="87"/>
        <v>54.090744898802875</v>
      </c>
      <c r="I599" s="434">
        <f t="shared" si="88"/>
        <v>5.4090744898802877E-5</v>
      </c>
    </row>
    <row r="600" spans="1:9">
      <c r="A600" s="113" t="s">
        <v>77</v>
      </c>
      <c r="B600" s="543">
        <f t="shared" si="91"/>
        <v>3.8026688557300847E-2</v>
      </c>
      <c r="C600" s="484">
        <f t="shared" si="91"/>
        <v>4.0693311442699294</v>
      </c>
      <c r="D600" s="484">
        <f t="shared" si="91"/>
        <v>19.295499999999997</v>
      </c>
      <c r="E600" s="235">
        <v>0</v>
      </c>
      <c r="F600" s="238">
        <f t="shared" si="86"/>
        <v>23.402857832827227</v>
      </c>
      <c r="G600" s="596">
        <f t="shared" si="85"/>
        <v>66588.101286800986</v>
      </c>
      <c r="H600" s="558">
        <f t="shared" si="87"/>
        <v>351.45705284535745</v>
      </c>
      <c r="I600" s="434">
        <f t="shared" si="88"/>
        <v>3.5145705284535744E-4</v>
      </c>
    </row>
    <row r="601" spans="1:9">
      <c r="A601" s="113" t="s">
        <v>78</v>
      </c>
      <c r="B601" s="543">
        <f t="shared" ref="B601:D601" si="92">B504</f>
        <v>386.05902824466716</v>
      </c>
      <c r="C601" s="484">
        <f t="shared" si="92"/>
        <v>664.86497175533282</v>
      </c>
      <c r="D601" s="484">
        <f t="shared" si="92"/>
        <v>2077.7049999999999</v>
      </c>
      <c r="E601" s="235">
        <v>0</v>
      </c>
      <c r="F601" s="238">
        <f t="shared" si="86"/>
        <v>3128.6289999999999</v>
      </c>
      <c r="G601" s="596">
        <f t="shared" si="85"/>
        <v>66588.101286800986</v>
      </c>
      <c r="H601" s="558">
        <f t="shared" si="87"/>
        <v>46984.805686600237</v>
      </c>
      <c r="I601" s="434">
        <f t="shared" si="88"/>
        <v>4.6984805686600239E-2</v>
      </c>
    </row>
    <row r="602" spans="1:9">
      <c r="A602" s="113" t="s">
        <v>79</v>
      </c>
      <c r="B602" s="543">
        <f t="shared" ref="B602:D602" si="93">B505</f>
        <v>49.205527374642131</v>
      </c>
      <c r="C602" s="484">
        <f t="shared" si="93"/>
        <v>49.554472625357874</v>
      </c>
      <c r="D602" s="484">
        <f t="shared" si="93"/>
        <v>232.9992</v>
      </c>
      <c r="E602" s="235">
        <v>0</v>
      </c>
      <c r="F602" s="238">
        <f t="shared" si="86"/>
        <v>331.75920000000002</v>
      </c>
      <c r="G602" s="596">
        <f t="shared" si="85"/>
        <v>66588.101286800986</v>
      </c>
      <c r="H602" s="558">
        <f t="shared" si="87"/>
        <v>4982.2594966491552</v>
      </c>
      <c r="I602" s="434">
        <f t="shared" si="88"/>
        <v>4.9822594966491551E-3</v>
      </c>
    </row>
    <row r="603" spans="1:9">
      <c r="A603" s="113" t="s">
        <v>80</v>
      </c>
      <c r="B603" s="543">
        <f t="shared" ref="B603:D604" si="94">B506</f>
        <v>71.578956334809078</v>
      </c>
      <c r="C603" s="484">
        <f t="shared" si="94"/>
        <v>83.221043665190933</v>
      </c>
      <c r="D603" s="484">
        <f t="shared" si="94"/>
        <v>302.29978333333338</v>
      </c>
      <c r="E603" s="235">
        <v>0</v>
      </c>
      <c r="F603" s="238">
        <f t="shared" si="86"/>
        <v>457.09978333333339</v>
      </c>
      <c r="G603" s="596">
        <f t="shared" si="85"/>
        <v>66588.101286800986</v>
      </c>
      <c r="H603" s="558">
        <f t="shared" si="87"/>
        <v>6864.58653272847</v>
      </c>
      <c r="I603" s="434">
        <f t="shared" si="88"/>
        <v>6.8645865327284696E-3</v>
      </c>
    </row>
    <row r="604" spans="1:9">
      <c r="A604" s="113" t="s">
        <v>81</v>
      </c>
      <c r="B604" s="543">
        <f t="shared" si="94"/>
        <v>47.7341524369997</v>
      </c>
      <c r="C604" s="484">
        <f t="shared" si="94"/>
        <v>49.465847563000303</v>
      </c>
      <c r="D604" s="484">
        <f t="shared" si="94"/>
        <v>67.697699999999998</v>
      </c>
      <c r="E604" s="235">
        <v>0</v>
      </c>
      <c r="F604" s="238">
        <f t="shared" si="86"/>
        <v>164.89769999999999</v>
      </c>
      <c r="G604" s="596">
        <f t="shared" si="85"/>
        <v>66588.101286800986</v>
      </c>
      <c r="H604" s="558">
        <f t="shared" si="87"/>
        <v>2476.3838705922949</v>
      </c>
      <c r="I604" s="434">
        <f t="shared" si="88"/>
        <v>2.4763838705922948E-3</v>
      </c>
    </row>
    <row r="605" spans="1:9">
      <c r="A605" s="113" t="s">
        <v>82</v>
      </c>
      <c r="B605" s="543">
        <f t="shared" ref="B605:D605" si="95">B508</f>
        <v>0.69882090882603376</v>
      </c>
      <c r="C605" s="484">
        <f t="shared" si="95"/>
        <v>0.80117909117396613</v>
      </c>
      <c r="D605" s="484">
        <f t="shared" si="95"/>
        <v>1.4619499999999999</v>
      </c>
      <c r="E605" s="235">
        <v>0</v>
      </c>
      <c r="F605" s="238">
        <f t="shared" si="86"/>
        <v>2.9619499999999999</v>
      </c>
      <c r="G605" s="596">
        <f t="shared" si="85"/>
        <v>66588.101286800986</v>
      </c>
      <c r="H605" s="558">
        <f t="shared" si="87"/>
        <v>44.481670790440667</v>
      </c>
      <c r="I605" s="434">
        <f t="shared" si="88"/>
        <v>4.4481670790440666E-5</v>
      </c>
    </row>
    <row r="606" spans="1:9">
      <c r="A606" s="327" t="s">
        <v>154</v>
      </c>
      <c r="B606" s="1096">
        <f>B511</f>
        <v>3833.946612244898</v>
      </c>
      <c r="C606" s="1097"/>
      <c r="D606" s="484">
        <f>D511</f>
        <v>1829.2190000000001</v>
      </c>
      <c r="E606" s="364">
        <f>B524</f>
        <v>5390.4591732285944</v>
      </c>
      <c r="F606" s="238">
        <f t="shared" si="86"/>
        <v>11053.624785473494</v>
      </c>
      <c r="G606" s="596">
        <f t="shared" si="85"/>
        <v>66588.101286800986</v>
      </c>
      <c r="H606" s="597">
        <f t="shared" si="87"/>
        <v>165999.99957747001</v>
      </c>
      <c r="I606" s="585">
        <f t="shared" si="88"/>
        <v>0.16599999957747</v>
      </c>
    </row>
    <row r="607" spans="1:9">
      <c r="A607" s="401" t="s">
        <v>84</v>
      </c>
      <c r="B607" s="543">
        <f t="shared" ref="B607:D609" si="96">B512</f>
        <v>0.10838288181260813</v>
      </c>
      <c r="C607" s="484">
        <f t="shared" si="96"/>
        <v>1.379617118187392</v>
      </c>
      <c r="D607" s="484">
        <f>D512</f>
        <v>2.6088999999999998</v>
      </c>
      <c r="E607" s="577">
        <v>0</v>
      </c>
      <c r="F607" s="238">
        <f t="shared" si="86"/>
        <v>4.0968999999999998</v>
      </c>
      <c r="G607" s="596">
        <f t="shared" si="85"/>
        <v>66588.101286800986</v>
      </c>
      <c r="H607" s="558">
        <f t="shared" si="87"/>
        <v>61.52600721192335</v>
      </c>
      <c r="I607" s="434">
        <f t="shared" si="88"/>
        <v>6.1526007211923353E-5</v>
      </c>
    </row>
    <row r="608" spans="1:9">
      <c r="A608" s="401" t="s">
        <v>85</v>
      </c>
      <c r="B608" s="543">
        <f t="shared" si="96"/>
        <v>0</v>
      </c>
      <c r="C608" s="484">
        <f t="shared" si="96"/>
        <v>1598.2285714285713</v>
      </c>
      <c r="D608" s="484">
        <f t="shared" si="96"/>
        <v>124.30895555555556</v>
      </c>
      <c r="E608" s="577">
        <v>0</v>
      </c>
      <c r="F608" s="238">
        <f t="shared" si="86"/>
        <v>1722.5375269841268</v>
      </c>
      <c r="G608" s="596">
        <f t="shared" si="85"/>
        <v>66588.101286800986</v>
      </c>
      <c r="H608" s="558">
        <f t="shared" si="87"/>
        <v>25868.548489842076</v>
      </c>
      <c r="I608" s="434">
        <f t="shared" si="88"/>
        <v>2.5868548489842075E-2</v>
      </c>
    </row>
    <row r="609" spans="1:9" ht="14.65" thickBot="1">
      <c r="A609" s="343" t="s">
        <v>86</v>
      </c>
      <c r="B609" s="598">
        <f t="shared" si="96"/>
        <v>10.760662205067051</v>
      </c>
      <c r="C609" s="599">
        <f t="shared" si="96"/>
        <v>17.475337794932951</v>
      </c>
      <c r="D609" s="599">
        <f t="shared" si="96"/>
        <v>53.472999999999999</v>
      </c>
      <c r="E609" s="379">
        <v>0</v>
      </c>
      <c r="F609" s="600">
        <f t="shared" si="86"/>
        <v>81.709000000000003</v>
      </c>
      <c r="G609" s="601">
        <f t="shared" si="85"/>
        <v>66588.101286800986</v>
      </c>
      <c r="H609" s="559">
        <f t="shared" si="87"/>
        <v>1227.0810913810551</v>
      </c>
      <c r="I609" s="439">
        <f t="shared" si="88"/>
        <v>1.2270810913810552E-3</v>
      </c>
    </row>
    <row r="610" spans="1:9">
      <c r="E610" s="146"/>
      <c r="F610" s="96"/>
      <c r="G610" s="95"/>
      <c r="H610" s="95"/>
    </row>
    <row r="611" spans="1:9">
      <c r="A611" s="1" t="s">
        <v>155</v>
      </c>
      <c r="B611" s="1"/>
      <c r="C611" s="1"/>
      <c r="E611" s="146"/>
      <c r="F611" s="96"/>
      <c r="G611" s="95"/>
      <c r="H611" s="95"/>
    </row>
    <row r="612" spans="1:9" ht="14.65" thickBot="1">
      <c r="A612" s="79" t="s">
        <v>291</v>
      </c>
    </row>
    <row r="613" spans="1:9" ht="14.65" thickBot="1">
      <c r="A613" s="103" t="s">
        <v>53</v>
      </c>
      <c r="B613" s="102" t="s">
        <v>18</v>
      </c>
      <c r="C613" s="17" t="s">
        <v>106</v>
      </c>
    </row>
    <row r="614" spans="1:9" ht="14.65" thickBot="1">
      <c r="A614" s="163" t="s">
        <v>305</v>
      </c>
      <c r="B614" s="290" t="s">
        <v>35</v>
      </c>
      <c r="C614" s="384">
        <f>$C$571</f>
        <v>147973.55841511331</v>
      </c>
    </row>
    <row r="616" spans="1:9">
      <c r="A616" s="329" t="s">
        <v>319</v>
      </c>
      <c r="B616" s="329"/>
    </row>
    <row r="618" spans="1:9" ht="14.65" thickBot="1">
      <c r="A618" s="79" t="s">
        <v>292</v>
      </c>
    </row>
    <row r="619" spans="1:9" ht="14.65" thickBot="1">
      <c r="A619" s="191" t="s">
        <v>90</v>
      </c>
      <c r="B619" s="192" t="s">
        <v>18</v>
      </c>
      <c r="C619" s="193" t="s">
        <v>91</v>
      </c>
    </row>
    <row r="620" spans="1:9">
      <c r="A620" s="703" t="s">
        <v>314</v>
      </c>
      <c r="B620" s="692" t="s">
        <v>35</v>
      </c>
      <c r="C620" s="730">
        <f>$C$580</f>
        <v>66588.101286800986</v>
      </c>
    </row>
    <row r="621" spans="1:9">
      <c r="A621" s="232" t="s">
        <v>320</v>
      </c>
      <c r="B621" s="178" t="s">
        <v>237</v>
      </c>
      <c r="C621" s="722">
        <v>0.95</v>
      </c>
    </row>
    <row r="622" spans="1:9">
      <c r="A622" s="720" t="s">
        <v>17</v>
      </c>
      <c r="B622" s="724" t="s">
        <v>35</v>
      </c>
      <c r="C622" s="718">
        <f>C620/C621</f>
        <v>70092.738196632621</v>
      </c>
    </row>
    <row r="623" spans="1:9">
      <c r="A623" s="232" t="s">
        <v>321</v>
      </c>
      <c r="B623" s="178" t="s">
        <v>237</v>
      </c>
      <c r="C623" s="722">
        <f>100%-C621</f>
        <v>5.0000000000000044E-2</v>
      </c>
    </row>
    <row r="624" spans="1:9">
      <c r="A624" s="232" t="s">
        <v>348</v>
      </c>
      <c r="B624" s="178" t="s">
        <v>35</v>
      </c>
      <c r="C624" s="84">
        <f>C622*C623</f>
        <v>3504.6369098316341</v>
      </c>
    </row>
    <row r="625" spans="1:5" ht="14.65" thickBot="1">
      <c r="A625" s="680" t="s">
        <v>16</v>
      </c>
      <c r="B625" s="694" t="s">
        <v>35</v>
      </c>
      <c r="C625" s="671">
        <f>$C$587-C624</f>
        <v>77880.820218480687</v>
      </c>
    </row>
    <row r="627" spans="1:5" ht="14.65" thickBot="1">
      <c r="A627" s="1" t="s">
        <v>235</v>
      </c>
      <c r="B627" s="1"/>
      <c r="C627" s="1"/>
      <c r="D627" s="79"/>
      <c r="E627" s="79"/>
    </row>
    <row r="628" spans="1:5" ht="14.65" hidden="1" thickBot="1">
      <c r="A628" s="212"/>
      <c r="B628" s="1008" t="s">
        <v>231</v>
      </c>
      <c r="C628" s="1061"/>
      <c r="D628" s="1061"/>
      <c r="E628" s="1009"/>
    </row>
    <row r="629" spans="1:5" hidden="1">
      <c r="A629" s="487" t="s">
        <v>217</v>
      </c>
      <c r="B629" s="385" t="s">
        <v>228</v>
      </c>
      <c r="C629" s="19" t="s">
        <v>229</v>
      </c>
      <c r="D629" s="19" t="s">
        <v>230</v>
      </c>
      <c r="E629" s="20" t="s">
        <v>298</v>
      </c>
    </row>
    <row r="630" spans="1:5" ht="14.65" hidden="1" thickBot="1">
      <c r="A630" s="133" t="s">
        <v>218</v>
      </c>
      <c r="B630" s="23" t="s">
        <v>35</v>
      </c>
      <c r="C630" s="7" t="s">
        <v>35</v>
      </c>
      <c r="D630" s="7" t="s">
        <v>35</v>
      </c>
      <c r="E630" s="24" t="s">
        <v>35</v>
      </c>
    </row>
    <row r="631" spans="1:5" hidden="1">
      <c r="A631" s="134" t="s">
        <v>223</v>
      </c>
      <c r="B631" s="241">
        <f>D481</f>
        <v>3.85E-2</v>
      </c>
      <c r="C631" s="241">
        <f>E481</f>
        <v>1.4E-2</v>
      </c>
      <c r="D631" s="241">
        <f>D69</f>
        <v>4.2000000000000003E-2</v>
      </c>
      <c r="E631" s="242">
        <f>SUM(B631:D631)</f>
        <v>9.4500000000000001E-2</v>
      </c>
    </row>
    <row r="632" spans="1:5" ht="14.65" hidden="1" thickBot="1">
      <c r="A632" s="73" t="s">
        <v>226</v>
      </c>
      <c r="B632" s="240">
        <f>D490</f>
        <v>2.0474999999999999</v>
      </c>
      <c r="C632" s="240">
        <f>E490</f>
        <v>0.56140000000000001</v>
      </c>
      <c r="D632" s="240">
        <f>D78</f>
        <v>1.488</v>
      </c>
      <c r="E632" s="239">
        <f>SUM(B632:D632)</f>
        <v>4.0968999999999998</v>
      </c>
    </row>
    <row r="633" spans="1:5" ht="14.65" hidden="1" thickBot="1"/>
    <row r="634" spans="1:5" ht="14.65" thickBot="1">
      <c r="A634" s="512"/>
      <c r="B634" s="249" t="s">
        <v>218</v>
      </c>
      <c r="C634" s="249" t="s">
        <v>234</v>
      </c>
    </row>
    <row r="635" spans="1:5">
      <c r="A635" s="134" t="s">
        <v>232</v>
      </c>
      <c r="B635" s="509" t="s">
        <v>233</v>
      </c>
      <c r="C635" s="248">
        <v>0.38</v>
      </c>
    </row>
    <row r="636" spans="1:5">
      <c r="A636" s="68" t="s">
        <v>314</v>
      </c>
      <c r="B636" s="510" t="s">
        <v>35</v>
      </c>
      <c r="C636" s="244">
        <f>C620</f>
        <v>66588.101286800986</v>
      </c>
    </row>
    <row r="637" spans="1:5">
      <c r="A637" s="68" t="s">
        <v>349</v>
      </c>
      <c r="B637" s="510" t="s">
        <v>35</v>
      </c>
      <c r="C637" s="245">
        <f>C636*C635</f>
        <v>25303.478488984376</v>
      </c>
    </row>
    <row r="638" spans="1:5">
      <c r="A638" s="68" t="s">
        <v>350</v>
      </c>
      <c r="B638" s="510" t="s">
        <v>35</v>
      </c>
      <c r="C638" s="246">
        <f>F598</f>
        <v>9.4500000000000001E-2</v>
      </c>
    </row>
    <row r="639" spans="1:5" ht="14.65" thickBot="1">
      <c r="A639" s="73" t="s">
        <v>351</v>
      </c>
      <c r="B639" s="511" t="s">
        <v>240</v>
      </c>
      <c r="C639" s="387">
        <f>C638/C637*1000000</f>
        <v>3.734664387789199</v>
      </c>
    </row>
    <row r="640" spans="1:5" ht="14.65" thickBot="1">
      <c r="A640" s="329"/>
    </row>
    <row r="641" spans="1:4" ht="14.65" thickBot="1">
      <c r="A641" s="212"/>
      <c r="B641" s="1087" t="s">
        <v>216</v>
      </c>
      <c r="C641" s="1091" t="s">
        <v>219</v>
      </c>
      <c r="D641" s="1012"/>
    </row>
    <row r="642" spans="1:4">
      <c r="A642" s="487" t="s">
        <v>217</v>
      </c>
      <c r="B642" s="1088"/>
      <c r="C642" s="104" t="s">
        <v>220</v>
      </c>
      <c r="D642" s="15" t="s">
        <v>221</v>
      </c>
    </row>
    <row r="643" spans="1:4" ht="14.65" thickBot="1">
      <c r="A643" s="133" t="s">
        <v>218</v>
      </c>
      <c r="B643" s="609" t="s">
        <v>241</v>
      </c>
      <c r="C643" s="23" t="s">
        <v>70</v>
      </c>
      <c r="D643" s="24" t="s">
        <v>70</v>
      </c>
    </row>
    <row r="644" spans="1:4">
      <c r="A644" s="134" t="s">
        <v>222</v>
      </c>
      <c r="B644" s="681">
        <f>H596</f>
        <v>11.355627474593772</v>
      </c>
      <c r="C644" s="484">
        <f>Rohdaten!$F$12</f>
        <v>40</v>
      </c>
      <c r="D644" s="110">
        <f>Rohdaten!$H$12</f>
        <v>40</v>
      </c>
    </row>
    <row r="645" spans="1:4">
      <c r="A645" s="68" t="s">
        <v>223</v>
      </c>
      <c r="B645" s="682">
        <f>C639</f>
        <v>3.734664387789199</v>
      </c>
      <c r="C645" s="105" t="str">
        <f>Rohdaten!$F$14</f>
        <v>50mg/kgP2O5</v>
      </c>
      <c r="D645" s="80" t="str">
        <f>Rohdaten!$H$14</f>
        <v>60mg/kgP2O5</v>
      </c>
    </row>
    <row r="646" spans="1:4">
      <c r="A646" s="68" t="s">
        <v>224</v>
      </c>
      <c r="B646" s="606">
        <f>H600</f>
        <v>351.45705284535745</v>
      </c>
      <c r="C646" s="485">
        <f>Rohdaten!$F$16</f>
        <v>900</v>
      </c>
      <c r="D646" s="82">
        <f>Rohdaten!$H$16</f>
        <v>600</v>
      </c>
    </row>
    <row r="647" spans="1:4">
      <c r="A647" s="68" t="s">
        <v>225</v>
      </c>
      <c r="B647" s="606">
        <f>H605</f>
        <v>44.481670790440667</v>
      </c>
      <c r="C647" s="485">
        <f>Rohdaten!$F$21</f>
        <v>80</v>
      </c>
      <c r="D647" s="82">
        <f>Rohdaten!$H$21</f>
        <v>100</v>
      </c>
    </row>
    <row r="648" spans="1:4">
      <c r="A648" s="68" t="s">
        <v>226</v>
      </c>
      <c r="B648" s="607">
        <f>H607</f>
        <v>61.52600721192335</v>
      </c>
      <c r="C648" s="485">
        <f>Rohdaten!$F$23</f>
        <v>150</v>
      </c>
      <c r="D648" s="82">
        <f>Rohdaten!$H$23</f>
        <v>120</v>
      </c>
    </row>
    <row r="649" spans="1:4" ht="14.65" thickBot="1">
      <c r="A649" s="73" t="s">
        <v>227</v>
      </c>
      <c r="B649" s="608">
        <f>H609</f>
        <v>1227.0810913810551</v>
      </c>
      <c r="C649" s="486">
        <f>Rohdaten!$F$25</f>
        <v>5000</v>
      </c>
      <c r="D649" s="237">
        <f>Rohdaten!$H$25</f>
        <v>1500</v>
      </c>
    </row>
  </sheetData>
  <mergeCells count="61">
    <mergeCell ref="B475:C475"/>
    <mergeCell ref="D475:E475"/>
    <mergeCell ref="B426:D426"/>
    <mergeCell ref="E426:H426"/>
    <mergeCell ref="E427:F427"/>
    <mergeCell ref="G427:H427"/>
    <mergeCell ref="B447:D447"/>
    <mergeCell ref="E447:H447"/>
    <mergeCell ref="E448:F448"/>
    <mergeCell ref="G448:H448"/>
    <mergeCell ref="B474:C474"/>
    <mergeCell ref="D474:F474"/>
    <mergeCell ref="B641:B642"/>
    <mergeCell ref="B592:G592"/>
    <mergeCell ref="G496:H496"/>
    <mergeCell ref="G495:H495"/>
    <mergeCell ref="B628:E628"/>
    <mergeCell ref="C641:D641"/>
    <mergeCell ref="B509:C509"/>
    <mergeCell ref="H592:I592"/>
    <mergeCell ref="H593:I593"/>
    <mergeCell ref="B606:C606"/>
    <mergeCell ref="B510:C510"/>
    <mergeCell ref="B511:C511"/>
    <mergeCell ref="B598:C598"/>
    <mergeCell ref="D520:E520"/>
    <mergeCell ref="B501:C501"/>
    <mergeCell ref="B495:F495"/>
    <mergeCell ref="D63:F63"/>
    <mergeCell ref="B120:F120"/>
    <mergeCell ref="G120:L120"/>
    <mergeCell ref="B121:B122"/>
    <mergeCell ref="C121:C122"/>
    <mergeCell ref="D121:D122"/>
    <mergeCell ref="E121:E122"/>
    <mergeCell ref="F121:F122"/>
    <mergeCell ref="G121:H122"/>
    <mergeCell ref="I121:L121"/>
    <mergeCell ref="I122:J122"/>
    <mergeCell ref="K122:L122"/>
    <mergeCell ref="B211:D211"/>
    <mergeCell ref="E211:H211"/>
    <mergeCell ref="E212:F212"/>
    <mergeCell ref="G212:H212"/>
    <mergeCell ref="B237:D237"/>
    <mergeCell ref="E237:H237"/>
    <mergeCell ref="E238:F238"/>
    <mergeCell ref="G238:H238"/>
    <mergeCell ref="B299:C299"/>
    <mergeCell ref="B298:C298"/>
    <mergeCell ref="D354:D355"/>
    <mergeCell ref="E354:E355"/>
    <mergeCell ref="F354:F355"/>
    <mergeCell ref="G354:H355"/>
    <mergeCell ref="B353:F353"/>
    <mergeCell ref="C354:C355"/>
    <mergeCell ref="G353:L353"/>
    <mergeCell ref="B354:B355"/>
    <mergeCell ref="I354:L354"/>
    <mergeCell ref="I355:J355"/>
    <mergeCell ref="K355:L355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34B01-43FC-45AB-A25C-E8A0CBA35FCE}">
  <sheetPr codeName="Tabelle7"/>
  <dimension ref="A44:J116"/>
  <sheetViews>
    <sheetView topLeftCell="A80" zoomScale="70" zoomScaleNormal="70" workbookViewId="0">
      <selection activeCell="F115" sqref="F115"/>
    </sheetView>
  </sheetViews>
  <sheetFormatPr baseColWidth="10" defaultColWidth="8.86328125" defaultRowHeight="14.25"/>
  <cols>
    <col min="1" max="1" width="49.6640625" style="824" customWidth="1"/>
    <col min="2" max="2" width="30.796875" style="824" customWidth="1"/>
    <col min="3" max="3" width="32.53125" style="824" customWidth="1"/>
    <col min="4" max="4" width="30.1328125" style="824" customWidth="1"/>
    <col min="5" max="5" width="30.53125" style="824" customWidth="1"/>
    <col min="6" max="6" width="30.1328125" style="824" customWidth="1"/>
    <col min="7" max="7" width="31" style="824" customWidth="1"/>
    <col min="8" max="8" width="32.796875" style="824" customWidth="1"/>
    <col min="9" max="9" width="31.796875" style="824" customWidth="1"/>
    <col min="10" max="10" width="30.53125" style="824" customWidth="1"/>
    <col min="11" max="11" width="25.86328125" style="824" customWidth="1"/>
    <col min="12" max="16384" width="8.86328125" style="824"/>
  </cols>
  <sheetData>
    <row r="44" spans="1:3" ht="14.65" thickBot="1">
      <c r="A44" s="1131" t="s">
        <v>450</v>
      </c>
      <c r="B44" s="1131"/>
      <c r="C44" s="1131"/>
    </row>
    <row r="45" spans="1:3" ht="14.65" thickBot="1">
      <c r="A45" s="1251" t="s">
        <v>586</v>
      </c>
      <c r="B45" s="1252"/>
      <c r="C45" s="1253"/>
    </row>
    <row r="46" spans="1:3">
      <c r="A46" s="943" t="s">
        <v>366</v>
      </c>
      <c r="B46" s="1147" t="s">
        <v>19</v>
      </c>
      <c r="C46" s="1254">
        <f>Rohdaten!D51</f>
        <v>2.8340000000000001</v>
      </c>
    </row>
    <row r="47" spans="1:3">
      <c r="A47" s="1149" t="s">
        <v>338</v>
      </c>
      <c r="B47" s="1150" t="s">
        <v>20</v>
      </c>
      <c r="C47" s="1151">
        <f>Rohdaten!D49</f>
        <v>0.14399999999999999</v>
      </c>
    </row>
    <row r="48" spans="1:3">
      <c r="A48" s="1149" t="s">
        <v>329</v>
      </c>
      <c r="B48" s="1150" t="s">
        <v>21</v>
      </c>
      <c r="C48" s="1151">
        <f>Rohdaten!D50</f>
        <v>0.752</v>
      </c>
    </row>
    <row r="49" spans="1:6">
      <c r="A49" s="1149" t="s">
        <v>330</v>
      </c>
      <c r="B49" s="1150" t="s">
        <v>22</v>
      </c>
      <c r="C49" s="1151">
        <f>Rohdaten!D53</f>
        <v>1.8</v>
      </c>
    </row>
    <row r="50" spans="1:6" ht="14.65" thickBot="1">
      <c r="A50" s="1152" t="s">
        <v>23</v>
      </c>
      <c r="B50" s="1153" t="s">
        <v>24</v>
      </c>
      <c r="C50" s="1154">
        <f>Rohdaten!$B$76</f>
        <v>0.02</v>
      </c>
    </row>
    <row r="51" spans="1:6">
      <c r="A51" s="1255"/>
      <c r="B51" s="1256"/>
      <c r="C51" s="1257"/>
      <c r="D51" s="1257"/>
    </row>
    <row r="52" spans="1:6" ht="14.65" thickBot="1">
      <c r="A52" s="1131" t="s">
        <v>600</v>
      </c>
      <c r="B52" s="1131"/>
      <c r="C52" s="1131"/>
      <c r="D52" s="1131"/>
    </row>
    <row r="53" spans="1:6">
      <c r="A53" s="1258"/>
      <c r="B53" s="1259" t="s">
        <v>26</v>
      </c>
      <c r="C53" s="1260" t="s">
        <v>27</v>
      </c>
      <c r="D53" s="1261" t="s">
        <v>355</v>
      </c>
    </row>
    <row r="54" spans="1:6" ht="14.65" thickBot="1">
      <c r="A54" s="1262"/>
      <c r="B54" s="1263" t="s">
        <v>237</v>
      </c>
      <c r="C54" s="1264" t="s">
        <v>237</v>
      </c>
      <c r="D54" s="1265" t="s">
        <v>237</v>
      </c>
    </row>
    <row r="55" spans="1:6">
      <c r="A55" s="1266" t="s">
        <v>187</v>
      </c>
      <c r="B55" s="947">
        <v>0.54110338189613694</v>
      </c>
      <c r="C55" s="948">
        <v>0.45889661810386317</v>
      </c>
      <c r="D55" s="1267">
        <v>0.63600000000000001</v>
      </c>
    </row>
    <row r="56" spans="1:6" ht="14.65" thickBot="1">
      <c r="A56" s="1268" t="s">
        <v>188</v>
      </c>
      <c r="B56" s="945">
        <v>0.98599999999999999</v>
      </c>
      <c r="C56" s="1269">
        <v>1.4E-2</v>
      </c>
      <c r="D56" s="1270">
        <v>0.3</v>
      </c>
    </row>
    <row r="57" spans="1:6">
      <c r="A57" s="1255"/>
      <c r="B57" s="1256"/>
      <c r="C57" s="1257"/>
      <c r="D57" s="1257"/>
    </row>
    <row r="58" spans="1:6">
      <c r="A58" s="1163"/>
      <c r="B58" s="824" t="s">
        <v>595</v>
      </c>
      <c r="C58" s="1161"/>
      <c r="D58" s="1161"/>
    </row>
    <row r="59" spans="1:6">
      <c r="A59" s="1164"/>
      <c r="B59" s="824" t="s">
        <v>594</v>
      </c>
      <c r="C59" s="1161"/>
      <c r="D59" s="1161"/>
    </row>
    <row r="60" spans="1:6">
      <c r="A60" s="1165"/>
      <c r="B60" s="824" t="s">
        <v>596</v>
      </c>
      <c r="C60" s="1161"/>
      <c r="D60" s="1161"/>
    </row>
    <row r="61" spans="1:6">
      <c r="A61" s="1166"/>
      <c r="B61" s="1166"/>
      <c r="C61" s="1166"/>
      <c r="D61" s="1166"/>
    </row>
    <row r="62" spans="1:6" ht="14.65" thickBot="1">
      <c r="A62" s="1131" t="s">
        <v>193</v>
      </c>
      <c r="B62" s="1132"/>
      <c r="C62" s="1132"/>
      <c r="D62" s="1132"/>
      <c r="E62" s="1132"/>
      <c r="F62" s="1132"/>
    </row>
    <row r="63" spans="1:6">
      <c r="A63" s="1201"/>
      <c r="B63" s="1271" t="s">
        <v>29</v>
      </c>
      <c r="C63" s="1168"/>
      <c r="D63" s="1168"/>
      <c r="E63" s="1169"/>
      <c r="F63" s="1170" t="s">
        <v>30</v>
      </c>
    </row>
    <row r="64" spans="1:6">
      <c r="A64" s="1129" t="s">
        <v>31</v>
      </c>
      <c r="B64" s="1135" t="s">
        <v>603</v>
      </c>
      <c r="C64" s="1172" t="s">
        <v>604</v>
      </c>
      <c r="D64" s="1172" t="s">
        <v>331</v>
      </c>
      <c r="E64" s="1172" t="s">
        <v>649</v>
      </c>
      <c r="F64" s="1173" t="s">
        <v>4</v>
      </c>
    </row>
    <row r="65" spans="1:6" ht="14.65" thickBot="1">
      <c r="A65" s="1216" t="s">
        <v>18</v>
      </c>
      <c r="B65" s="1138" t="s">
        <v>35</v>
      </c>
      <c r="C65" s="1176" t="s">
        <v>35</v>
      </c>
      <c r="D65" s="1177" t="s">
        <v>35</v>
      </c>
      <c r="E65" s="1177" t="s">
        <v>35</v>
      </c>
      <c r="F65" s="1178" t="s">
        <v>35</v>
      </c>
    </row>
    <row r="66" spans="1:6">
      <c r="A66" s="1179" t="s">
        <v>611</v>
      </c>
      <c r="B66" s="1240">
        <f>'SM-Ex(Sze.4 SEFoV HS)'!ISH</f>
        <v>12000</v>
      </c>
      <c r="C66" s="1181">
        <v>0</v>
      </c>
      <c r="D66" s="1182">
        <f>'SM-Ex(Sze.4 SEFoV HS)'!C30</f>
        <v>22200</v>
      </c>
      <c r="E66" s="1182">
        <f>'SM-Ex(Sze.4 SEFoV HS)'!C35</f>
        <v>22560</v>
      </c>
      <c r="F66" s="1183">
        <f>'SM-Ex(Sze.4 SEFoV HS)'!C63</f>
        <v>56760</v>
      </c>
    </row>
    <row r="67" spans="1:6" ht="14.65" thickBot="1">
      <c r="A67" s="897" t="s">
        <v>612</v>
      </c>
      <c r="B67" s="1242">
        <f>'SM-Ex(Sze.5 SEFmV HS)'!ISH</f>
        <v>12000</v>
      </c>
      <c r="C67" s="1189">
        <f>'SM-Ex(Sze.5 SEFmV HS)'!SEF</f>
        <v>7000</v>
      </c>
      <c r="D67" s="1177">
        <f>'SM-Ex(Sze.5 SEFmV HS)'!C28</f>
        <v>35150</v>
      </c>
      <c r="E67" s="1177">
        <f>'SM-Ex(Sze.5 SEFmV HS)'!C32</f>
        <v>35720</v>
      </c>
      <c r="F67" s="1178">
        <f>'SM-Ex(Sze.5 SEFmV HS)'!C60</f>
        <v>89870</v>
      </c>
    </row>
    <row r="69" spans="1:6" ht="14.65" thickBot="1">
      <c r="A69" s="1131" t="s">
        <v>189</v>
      </c>
      <c r="B69" s="1132"/>
      <c r="C69" s="1132"/>
      <c r="D69" s="1132"/>
      <c r="E69" s="1132"/>
    </row>
    <row r="70" spans="1:6">
      <c r="A70" s="1201"/>
      <c r="B70" s="1190" t="s">
        <v>29</v>
      </c>
      <c r="C70" s="1295" t="s">
        <v>30</v>
      </c>
      <c r="D70" s="1295"/>
      <c r="E70" s="1246" t="s">
        <v>30</v>
      </c>
    </row>
    <row r="71" spans="1:6">
      <c r="A71" s="1129" t="s">
        <v>31</v>
      </c>
      <c r="B71" s="1192" t="s">
        <v>4</v>
      </c>
      <c r="C71" s="354" t="s">
        <v>9</v>
      </c>
      <c r="D71" s="354" t="s">
        <v>190</v>
      </c>
      <c r="E71" s="1229" t="s">
        <v>443</v>
      </c>
    </row>
    <row r="72" spans="1:6" ht="14.65" thickBot="1">
      <c r="A72" s="1216" t="s">
        <v>18</v>
      </c>
      <c r="B72" s="1193" t="s">
        <v>35</v>
      </c>
      <c r="C72" s="1296" t="s">
        <v>35</v>
      </c>
      <c r="D72" s="1296" t="s">
        <v>35</v>
      </c>
      <c r="E72" s="1231" t="s">
        <v>35</v>
      </c>
    </row>
    <row r="73" spans="1:6">
      <c r="A73" s="1211" t="s">
        <v>611</v>
      </c>
      <c r="B73" s="1196">
        <f>'SM-Ex(Sze.4 SEFoV HS)'!C63</f>
        <v>56760</v>
      </c>
      <c r="C73" s="1297">
        <f>'SM-Ex(Sze.4 SEFoV HS)'!C146</f>
        <v>31392.111355159675</v>
      </c>
      <c r="D73" s="1297">
        <f>'SM-Ex(Sze.4 SEFoV HS)'!C148</f>
        <v>24641.89257560956</v>
      </c>
      <c r="E73" s="1233">
        <f>'SM-Ex(Sze.4 SEFoV HS)'!C143</f>
        <v>725.99606923076647</v>
      </c>
    </row>
    <row r="74" spans="1:6" ht="14.65" thickBot="1">
      <c r="A74" s="1216" t="s">
        <v>612</v>
      </c>
      <c r="B74" s="1200">
        <f>'SM-Ex(Sze.5 SEFmV HS)'!C60</f>
        <v>89870</v>
      </c>
      <c r="C74" s="1220">
        <f>'SM-Ex(Sze.5 SEFmV HS)'!C171</f>
        <v>49704.176312336152</v>
      </c>
      <c r="D74" s="1220">
        <f>'SM-Ex(Sze.5 SEFmV HS)'!C173</f>
        <v>39016.329911381799</v>
      </c>
      <c r="E74" s="1222">
        <f>'SM-Ex(Sze.5 SEFmV HS)'!C168</f>
        <v>1149.4937762820468</v>
      </c>
    </row>
    <row r="76" spans="1:6" ht="14.65" thickBot="1">
      <c r="A76" s="1131" t="s">
        <v>5</v>
      </c>
      <c r="B76" s="1132"/>
      <c r="C76" s="1132"/>
      <c r="D76" s="1132"/>
      <c r="E76" s="895"/>
      <c r="F76" s="895"/>
    </row>
    <row r="77" spans="1:6">
      <c r="A77" s="1201"/>
      <c r="B77" s="1190" t="s">
        <v>29</v>
      </c>
      <c r="C77" s="1191" t="s">
        <v>29</v>
      </c>
      <c r="D77" s="1170" t="s">
        <v>30</v>
      </c>
    </row>
    <row r="78" spans="1:6">
      <c r="A78" s="1129" t="s">
        <v>31</v>
      </c>
      <c r="B78" s="1192" t="s">
        <v>9</v>
      </c>
      <c r="C78" s="1172" t="s">
        <v>36</v>
      </c>
      <c r="D78" s="1173" t="s">
        <v>6</v>
      </c>
      <c r="E78" s="895"/>
      <c r="F78" s="895"/>
    </row>
    <row r="79" spans="1:6" ht="14.65" thickBot="1">
      <c r="A79" s="1216" t="s">
        <v>18</v>
      </c>
      <c r="B79" s="1207" t="s">
        <v>35</v>
      </c>
      <c r="C79" s="1176" t="s">
        <v>35</v>
      </c>
      <c r="D79" s="1273" t="s">
        <v>35</v>
      </c>
      <c r="E79" s="895"/>
      <c r="F79" s="895"/>
    </row>
    <row r="80" spans="1:6">
      <c r="A80" s="1179" t="s">
        <v>611</v>
      </c>
      <c r="B80" s="1213">
        <f>'SM-Ex(Sze.4 SEFoV HS)'!C146</f>
        <v>31392.111355159675</v>
      </c>
      <c r="C80" s="1182">
        <f>'SM-Ex(Sze.4 SEFoV HS)'!C243</f>
        <v>443.64818420141097</v>
      </c>
      <c r="D80" s="1183">
        <f>'SM-Ex(Sze.4 SEFoV HS)'!C282</f>
        <v>31835.759539361086</v>
      </c>
      <c r="E80" s="895"/>
      <c r="F80" s="895"/>
    </row>
    <row r="81" spans="1:8" ht="14.65" thickBot="1">
      <c r="A81" s="897" t="s">
        <v>612</v>
      </c>
      <c r="B81" s="1220">
        <f>'SM-Ex(Sze.5 SEFmV HS)'!C171</f>
        <v>49704.176312336152</v>
      </c>
      <c r="C81" s="1177">
        <f>'SM-Ex(Sze.5 SEFmV HS)'!C268</f>
        <v>702.44295831890076</v>
      </c>
      <c r="D81" s="1178">
        <f>'SM-Ex(Sze.5 SEFmV HS)'!C324</f>
        <v>50406.61927065505</v>
      </c>
      <c r="E81" s="895"/>
      <c r="F81" s="895"/>
    </row>
    <row r="83" spans="1:8" ht="14.65" thickBot="1">
      <c r="A83" s="1131" t="s">
        <v>188</v>
      </c>
      <c r="B83" s="1132"/>
      <c r="C83" s="1132"/>
      <c r="D83" s="1132"/>
    </row>
    <row r="84" spans="1:8">
      <c r="A84" s="1201"/>
      <c r="B84" s="1190" t="s">
        <v>29</v>
      </c>
      <c r="C84" s="1202" t="s">
        <v>30</v>
      </c>
      <c r="D84" s="1246" t="s">
        <v>30</v>
      </c>
    </row>
    <row r="85" spans="1:8">
      <c r="A85" s="1129" t="s">
        <v>31</v>
      </c>
      <c r="B85" s="1192" t="s">
        <v>6</v>
      </c>
      <c r="C85" s="354" t="s">
        <v>191</v>
      </c>
      <c r="D85" s="1229" t="s">
        <v>192</v>
      </c>
    </row>
    <row r="86" spans="1:8" ht="14.65" thickBot="1">
      <c r="A86" s="1216" t="s">
        <v>18</v>
      </c>
      <c r="B86" s="1207" t="s">
        <v>35</v>
      </c>
      <c r="C86" s="1208" t="s">
        <v>35</v>
      </c>
      <c r="D86" s="1210" t="s">
        <v>35</v>
      </c>
    </row>
    <row r="87" spans="1:8">
      <c r="A87" s="1179" t="s">
        <v>611</v>
      </c>
      <c r="B87" s="1213">
        <f>'SM-Ex(Sze.4 SEFoV HS)'!C282</f>
        <v>31835.759539361086</v>
      </c>
      <c r="C87" s="1213">
        <f>'SM-Ex(Sze.4 SEFoV HS)'!C373</f>
        <v>31408.638663892896</v>
      </c>
      <c r="D87" s="1215">
        <f>'SM-Ex(Sze.4 SEFoV HS)'!C375</f>
        <v>427.12087546818901</v>
      </c>
    </row>
    <row r="88" spans="1:8" ht="14.65" thickBot="1">
      <c r="A88" s="897" t="s">
        <v>612</v>
      </c>
      <c r="B88" s="1220">
        <f>'SM-Ex(Sze.5 SEFmV HS)'!C324</f>
        <v>50406.61927065505</v>
      </c>
      <c r="C88" s="1220">
        <f>'SM-Ex(Sze.5 SEFmV HS)'!C415</f>
        <v>49730.344551163747</v>
      </c>
      <c r="D88" s="1222">
        <f>'SM-Ex(Sze.5 SEFmV HS)'!C417</f>
        <v>676.27471949129927</v>
      </c>
    </row>
    <row r="90" spans="1:8" ht="14.65" thickBot="1">
      <c r="A90" s="1131" t="s">
        <v>12</v>
      </c>
      <c r="B90" s="1132"/>
      <c r="C90" s="1132"/>
      <c r="D90" s="1132"/>
      <c r="E90" s="1132"/>
      <c r="F90" s="1132"/>
      <c r="G90" s="1132"/>
      <c r="H90" s="1132"/>
    </row>
    <row r="91" spans="1:8">
      <c r="A91" s="1201"/>
      <c r="B91" s="1274" t="s">
        <v>29</v>
      </c>
      <c r="C91" s="1272"/>
      <c r="D91" s="1224" t="s">
        <v>29</v>
      </c>
      <c r="E91" s="1168"/>
      <c r="F91" s="1168"/>
      <c r="G91" s="1169"/>
      <c r="H91" s="1170" t="s">
        <v>30</v>
      </c>
    </row>
    <row r="92" spans="1:8">
      <c r="A92" s="1129" t="s">
        <v>31</v>
      </c>
      <c r="B92" s="1192" t="s">
        <v>191</v>
      </c>
      <c r="C92" s="354" t="s">
        <v>190</v>
      </c>
      <c r="D92" s="1172" t="s">
        <v>608</v>
      </c>
      <c r="E92" s="1172" t="s">
        <v>606</v>
      </c>
      <c r="F92" s="1172" t="s">
        <v>650</v>
      </c>
      <c r="G92" s="1172" t="s">
        <v>651</v>
      </c>
      <c r="H92" s="1293" t="s">
        <v>305</v>
      </c>
    </row>
    <row r="93" spans="1:8" ht="14.65" thickBot="1">
      <c r="A93" s="1216" t="s">
        <v>18</v>
      </c>
      <c r="B93" s="1207" t="s">
        <v>35</v>
      </c>
      <c r="C93" s="1208" t="s">
        <v>35</v>
      </c>
      <c r="D93" s="1176" t="s">
        <v>35</v>
      </c>
      <c r="E93" s="1176" t="s">
        <v>35</v>
      </c>
      <c r="F93" s="1177" t="s">
        <v>35</v>
      </c>
      <c r="G93" s="1177" t="s">
        <v>35</v>
      </c>
      <c r="H93" s="1273" t="s">
        <v>35</v>
      </c>
    </row>
    <row r="94" spans="1:8">
      <c r="A94" s="1179" t="s">
        <v>611</v>
      </c>
      <c r="B94" s="1213">
        <f>'SM-Ex(Sze.4 SEFoV HS)'!C373</f>
        <v>31408.638663892896</v>
      </c>
      <c r="C94" s="1213">
        <f>'SM-Ex(Sze.4 SEFoV HS)'!C148</f>
        <v>24641.89257560956</v>
      </c>
      <c r="D94" s="1181">
        <f>'SM-Ex(Sze.4 SEFoV HS)'!B442</f>
        <v>17500</v>
      </c>
      <c r="E94" s="1181">
        <f>'SM-Ex(Sze.4 SEFoV HS)'!C442</f>
        <v>7000</v>
      </c>
      <c r="F94" s="1182">
        <f>'SM-Ex(Sze.4 SEFoV HS)'!C502</f>
        <v>19647.863356059253</v>
      </c>
      <c r="G94" s="1182">
        <f>'SM-Ex(Sze.4 SEFoV HS)'!C523</f>
        <v>36233.940579787384</v>
      </c>
      <c r="H94" s="1183">
        <f>'SM-Ex(Sze.4 SEFoV HS)'!C542</f>
        <v>136432.33517534909</v>
      </c>
    </row>
    <row r="95" spans="1:8" ht="14.65" thickBot="1">
      <c r="A95" s="897" t="s">
        <v>612</v>
      </c>
      <c r="B95" s="1220">
        <f>'SM-Ex(Sze.5 SEFmV HS)'!C415</f>
        <v>49730.344551163747</v>
      </c>
      <c r="C95" s="1220">
        <f>'SM-Ex(Sze.5 SEFmV HS)'!C173</f>
        <v>39016.329911381799</v>
      </c>
      <c r="D95" s="1185">
        <f>'SM-Ex(Sze.5 SEFmV HS)'!B484</f>
        <v>17500</v>
      </c>
      <c r="E95" s="1189">
        <v>0</v>
      </c>
      <c r="F95" s="1177">
        <f>'SM-Ex(Sze.5 SEFmV HS)'!C543</f>
        <v>13861.530101179223</v>
      </c>
      <c r="G95" s="1177">
        <f>'SM-Ex(Sze.5 SEFmV HS)'!C563</f>
        <v>19848.866517016595</v>
      </c>
      <c r="H95" s="1178">
        <f>'SM-Ex(Sze.5 SEFmV HS)'!C580</f>
        <v>139957.07108074136</v>
      </c>
    </row>
    <row r="97" spans="1:10" ht="14.65" thickBot="1">
      <c r="A97" s="1131" t="s">
        <v>15</v>
      </c>
      <c r="B97" s="1132"/>
      <c r="C97" s="1132"/>
      <c r="D97" s="1132"/>
    </row>
    <row r="98" spans="1:10">
      <c r="A98" s="1201"/>
      <c r="B98" s="1190" t="s">
        <v>29</v>
      </c>
      <c r="C98" s="1203" t="s">
        <v>30</v>
      </c>
      <c r="D98" s="1204"/>
    </row>
    <row r="99" spans="1:10">
      <c r="A99" s="1129" t="s">
        <v>31</v>
      </c>
      <c r="B99" s="1192" t="s">
        <v>305</v>
      </c>
      <c r="C99" s="1205" t="s">
        <v>17</v>
      </c>
      <c r="D99" s="1229" t="s">
        <v>16</v>
      </c>
      <c r="E99" s="1275"/>
    </row>
    <row r="100" spans="1:10" ht="14.65" thickBot="1">
      <c r="A100" s="1216" t="s">
        <v>18</v>
      </c>
      <c r="B100" s="1207" t="s">
        <v>35</v>
      </c>
      <c r="C100" s="1209" t="s">
        <v>35</v>
      </c>
      <c r="D100" s="1210" t="s">
        <v>35</v>
      </c>
      <c r="E100" s="895"/>
    </row>
    <row r="101" spans="1:10">
      <c r="A101" s="1179" t="s">
        <v>611</v>
      </c>
      <c r="B101" s="1213">
        <f>'SM-Ex(Sze.4 SEFoV HS)'!C542</f>
        <v>136432.33517534909</v>
      </c>
      <c r="C101" s="1214">
        <f>'SM-Ex(Sze.4 SEFoV HS)'!C593</f>
        <v>64625.842977796936</v>
      </c>
      <c r="D101" s="1215">
        <f>'SM-Ex(Sze.4 SEFoV HS)'!C596</f>
        <v>71806.492197552157</v>
      </c>
      <c r="E101" s="895"/>
    </row>
    <row r="102" spans="1:10" ht="14.65" thickBot="1">
      <c r="A102" s="897" t="s">
        <v>612</v>
      </c>
      <c r="B102" s="1220">
        <f>'SM-Ex(Sze.5 SEFmV HS)'!C580</f>
        <v>139957.07108074136</v>
      </c>
      <c r="C102" s="1221">
        <f>'SM-Ex(Sze.5 SEFmV HS)'!C630</f>
        <v>66295.454722456445</v>
      </c>
      <c r="D102" s="1222">
        <f>'SM-Ex(Sze.5 SEFmV HS)'!C633</f>
        <v>73661.616358284926</v>
      </c>
      <c r="E102" s="895"/>
    </row>
    <row r="104" spans="1:10" ht="14.65" thickBot="1">
      <c r="A104" s="1131" t="s">
        <v>38</v>
      </c>
      <c r="B104" s="1131"/>
      <c r="C104" s="1131"/>
      <c r="D104" s="1131"/>
      <c r="E104" s="1131"/>
      <c r="F104" s="1131"/>
      <c r="G104" s="1131"/>
      <c r="H104" s="1131"/>
      <c r="I104" s="1131"/>
      <c r="J104" s="1131"/>
    </row>
    <row r="105" spans="1:10">
      <c r="A105" s="1201" t="s">
        <v>39</v>
      </c>
      <c r="B105" s="1234" t="s">
        <v>29</v>
      </c>
      <c r="C105" s="1235"/>
      <c r="D105" s="1235"/>
      <c r="E105" s="1235"/>
      <c r="F105" s="1235"/>
      <c r="G105" s="1235"/>
      <c r="H105" s="1235"/>
      <c r="I105" s="1235"/>
      <c r="J105" s="1236"/>
    </row>
    <row r="106" spans="1:10">
      <c r="A106" s="1129" t="s">
        <v>31</v>
      </c>
      <c r="B106" s="1135" t="s">
        <v>603</v>
      </c>
      <c r="C106" s="1237" t="s">
        <v>604</v>
      </c>
      <c r="D106" s="1237" t="s">
        <v>331</v>
      </c>
      <c r="E106" s="1237" t="s">
        <v>649</v>
      </c>
      <c r="F106" s="1237" t="s">
        <v>36</v>
      </c>
      <c r="G106" s="1237" t="s">
        <v>608</v>
      </c>
      <c r="H106" s="1237" t="s">
        <v>606</v>
      </c>
      <c r="I106" s="1237" t="s">
        <v>650</v>
      </c>
      <c r="J106" s="1238" t="s">
        <v>651</v>
      </c>
    </row>
    <row r="107" spans="1:10" ht="14.65" thickBot="1">
      <c r="A107" s="1216" t="s">
        <v>18</v>
      </c>
      <c r="B107" s="1138" t="s">
        <v>35</v>
      </c>
      <c r="C107" s="1176" t="s">
        <v>35</v>
      </c>
      <c r="D107" s="1177" t="s">
        <v>35</v>
      </c>
      <c r="E107" s="1177" t="s">
        <v>35</v>
      </c>
      <c r="F107" s="1176" t="s">
        <v>35</v>
      </c>
      <c r="G107" s="1177" t="s">
        <v>35</v>
      </c>
      <c r="H107" s="1189" t="s">
        <v>35</v>
      </c>
      <c r="I107" s="1189" t="s">
        <v>35</v>
      </c>
      <c r="J107" s="1239" t="s">
        <v>35</v>
      </c>
    </row>
    <row r="108" spans="1:10">
      <c r="A108" s="1211" t="s">
        <v>611</v>
      </c>
      <c r="B108" s="1240">
        <f>'SM-Ex(Sze.4 SEFoV HS)'!ISH</f>
        <v>12000</v>
      </c>
      <c r="C108" s="1181">
        <v>0</v>
      </c>
      <c r="D108" s="1182">
        <f>'SM-Ex(Sze.4 SEFoV HS)'!C30</f>
        <v>22200</v>
      </c>
      <c r="E108" s="1182">
        <f>'SM-Ex(Sze.4 SEFoV HS)'!C35</f>
        <v>22560</v>
      </c>
      <c r="F108" s="1182">
        <f>'SM-Ex(Sze.4 SEFoV HS)'!C243</f>
        <v>443.64818420141097</v>
      </c>
      <c r="G108" s="1182">
        <f>'SM-Ex(Sze.4 SEFoV HS)'!B442</f>
        <v>17500</v>
      </c>
      <c r="H108" s="1181">
        <f>'SM-Ex(Sze.4 SEFoV HS)'!C442</f>
        <v>7000</v>
      </c>
      <c r="I108" s="1181">
        <f>'SM-Ex(Sze.4 SEFoV HS)'!C502</f>
        <v>19647.863356059253</v>
      </c>
      <c r="J108" s="1128">
        <f>'SM-Ex(Sze.4 SEFoV HS)'!C523</f>
        <v>36233.940579787384</v>
      </c>
    </row>
    <row r="109" spans="1:10" ht="14.65" thickBot="1">
      <c r="A109" s="1216" t="s">
        <v>612</v>
      </c>
      <c r="B109" s="1242">
        <f>'SM-Ex(Sze.5 SEFmV HS)'!ISH</f>
        <v>12000</v>
      </c>
      <c r="C109" s="1189">
        <f>'SM-Ex(Sze.5 SEFmV HS)'!SEF</f>
        <v>7000</v>
      </c>
      <c r="D109" s="1177">
        <f>'SM-Ex(Sze.5 SEFmV HS)'!C28</f>
        <v>35150</v>
      </c>
      <c r="E109" s="1177">
        <f>'SM-Ex(Sze.5 SEFmV HS)'!C32</f>
        <v>35720</v>
      </c>
      <c r="F109" s="1177">
        <f>'SM-Ex(Sze.5 SEFmV HS)'!C268</f>
        <v>702.44295831890076</v>
      </c>
      <c r="G109" s="1177">
        <f>'SM-Ex(Sze.5 SEFmV HS)'!B484</f>
        <v>17500</v>
      </c>
      <c r="H109" s="1189">
        <v>0</v>
      </c>
      <c r="I109" s="1189">
        <f>'SM-Ex(Sze.5 SEFmV HS)'!C543</f>
        <v>13861.530101179223</v>
      </c>
      <c r="J109" s="1239">
        <f>'SM-Ex(Sze.5 SEFmV HS)'!C563</f>
        <v>19848.866517016595</v>
      </c>
    </row>
    <row r="111" spans="1:10" ht="14.65" thickBot="1">
      <c r="A111" s="1131" t="s">
        <v>40</v>
      </c>
      <c r="B111" s="1131"/>
      <c r="C111" s="1131"/>
      <c r="D111" s="1131"/>
      <c r="E111" s="1131"/>
    </row>
    <row r="112" spans="1:10">
      <c r="A112" s="1201" t="s">
        <v>39</v>
      </c>
      <c r="B112" s="1247" t="s">
        <v>30</v>
      </c>
      <c r="C112" s="1203"/>
      <c r="D112" s="1203"/>
      <c r="E112" s="1204"/>
    </row>
    <row r="113" spans="1:5">
      <c r="A113" s="1129" t="s">
        <v>31</v>
      </c>
      <c r="B113" s="1276" t="s">
        <v>443</v>
      </c>
      <c r="C113" s="1130" t="s">
        <v>192</v>
      </c>
      <c r="D113" s="1205" t="s">
        <v>17</v>
      </c>
      <c r="E113" s="1294" t="s">
        <v>16</v>
      </c>
    </row>
    <row r="114" spans="1:5" ht="14.65" thickBot="1">
      <c r="A114" s="1216" t="s">
        <v>18</v>
      </c>
      <c r="B114" s="1250" t="s">
        <v>35</v>
      </c>
      <c r="C114" s="1230" t="s">
        <v>35</v>
      </c>
      <c r="D114" s="1230" t="s">
        <v>35</v>
      </c>
      <c r="E114" s="1243" t="s">
        <v>35</v>
      </c>
    </row>
    <row r="115" spans="1:5">
      <c r="A115" s="1211" t="s">
        <v>611</v>
      </c>
      <c r="B115" s="1244">
        <f>'SM-Ex(Sze.4 SEFoV HS)'!C143</f>
        <v>725.99606923076647</v>
      </c>
      <c r="C115" s="1232">
        <f>'SM-Ex(Sze.4 SEFoV HS)'!C375</f>
        <v>427.12087546818901</v>
      </c>
      <c r="D115" s="1232">
        <f>'SM-Ex(Sze.4 SEFoV HS)'!C593</f>
        <v>64625.842977796936</v>
      </c>
      <c r="E115" s="1233">
        <f>'SM-Ex(Sze.4 SEFoV HS)'!C596</f>
        <v>71806.492197552157</v>
      </c>
    </row>
    <row r="116" spans="1:5" ht="14.65" thickBot="1">
      <c r="A116" s="1216" t="s">
        <v>612</v>
      </c>
      <c r="B116" s="1245">
        <f>'SM-Ex(Sze.5 SEFmV HS)'!C168</f>
        <v>1149.4937762820468</v>
      </c>
      <c r="C116" s="1221">
        <f>'SM-Ex(Sze.5 SEFmV HS)'!C417</f>
        <v>676.27471949129927</v>
      </c>
      <c r="D116" s="1221">
        <f>'SM-Ex(Sze.5 SEFmV HS)'!C630</f>
        <v>66295.454722456445</v>
      </c>
      <c r="E116" s="1222">
        <f>'SM-Ex(Sze.5 SEFmV HS)'!C633</f>
        <v>73661.616358284926</v>
      </c>
    </row>
  </sheetData>
  <mergeCells count="8">
    <mergeCell ref="B112:E112"/>
    <mergeCell ref="C98:D98"/>
    <mergeCell ref="C70:D70"/>
    <mergeCell ref="B91:C91"/>
    <mergeCell ref="D91:G91"/>
    <mergeCell ref="A45:C45"/>
    <mergeCell ref="B63:E63"/>
    <mergeCell ref="B105:J105"/>
  </mergeCells>
  <phoneticPr fontId="2" type="noConversion"/>
  <pageMargins left="0.7" right="0.7" top="0.75" bottom="0.75" header="0.3" footer="0.3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9BD4D-C4AE-4405-892D-ABE15A571913}">
  <sheetPr codeName="Tabelle20"/>
  <dimension ref="A1:L564"/>
  <sheetViews>
    <sheetView topLeftCell="A526" zoomScale="70" zoomScaleNormal="70" workbookViewId="0">
      <selection activeCell="C292" sqref="C292"/>
    </sheetView>
  </sheetViews>
  <sheetFormatPr baseColWidth="10" defaultColWidth="8.86328125" defaultRowHeight="14.25"/>
  <cols>
    <col min="1" max="1" width="46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4.73046875" customWidth="1"/>
    <col min="7" max="7" width="34.59765625" customWidth="1"/>
    <col min="8" max="8" width="32.33203125" customWidth="1"/>
    <col min="9" max="9" width="20.0664062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5" spans="1:4">
      <c r="A5" s="1" t="s">
        <v>194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"/>
      <c r="B7" s="166" t="s">
        <v>614</v>
      </c>
      <c r="C7" s="189" t="s">
        <v>615</v>
      </c>
      <c r="D7" s="190" t="s">
        <v>622</v>
      </c>
    </row>
    <row r="8" spans="1:4" ht="14.65" thickBot="1">
      <c r="A8" s="5"/>
      <c r="B8" s="6" t="s">
        <v>35</v>
      </c>
      <c r="C8" s="7" t="s">
        <v>35</v>
      </c>
      <c r="D8" s="24" t="s">
        <v>35</v>
      </c>
    </row>
    <row r="9" spans="1:4" ht="14.65" thickBot="1">
      <c r="A9" s="513" t="s">
        <v>347</v>
      </c>
      <c r="B9" s="263">
        <v>17500</v>
      </c>
      <c r="C9" s="603">
        <v>7000</v>
      </c>
      <c r="D9" s="604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164"/>
      <c r="B12" s="192" t="s">
        <v>18</v>
      </c>
      <c r="C12" s="193" t="s">
        <v>48</v>
      </c>
    </row>
    <row r="13" spans="1:4">
      <c r="A13" s="528" t="s">
        <v>353</v>
      </c>
      <c r="B13" s="173" t="s">
        <v>21</v>
      </c>
      <c r="C13" s="518">
        <v>0.14399999999999999</v>
      </c>
    </row>
    <row r="14" spans="1:4">
      <c r="A14" s="415" t="s">
        <v>346</v>
      </c>
      <c r="B14" s="37" t="s">
        <v>22</v>
      </c>
      <c r="C14" s="529">
        <v>0.752</v>
      </c>
    </row>
    <row r="15" spans="1:4">
      <c r="A15" s="415" t="s">
        <v>332</v>
      </c>
      <c r="B15" s="37" t="s">
        <v>19</v>
      </c>
      <c r="C15" s="529">
        <v>2.8340000000000001</v>
      </c>
    </row>
    <row r="16" spans="1:4" ht="14.65" thickBot="1">
      <c r="A16" s="417" t="s">
        <v>23</v>
      </c>
      <c r="B16" s="215" t="s">
        <v>237</v>
      </c>
      <c r="C16" s="416">
        <v>1.8</v>
      </c>
    </row>
    <row r="17" spans="1:3">
      <c r="A17" s="5"/>
    </row>
    <row r="18" spans="1:3">
      <c r="A18" s="731" t="s">
        <v>470</v>
      </c>
    </row>
    <row r="20" spans="1:3" ht="14.65" thickBot="1">
      <c r="A20" s="79" t="s">
        <v>364</v>
      </c>
    </row>
    <row r="21" spans="1:3" ht="14.65" thickBot="1">
      <c r="A21" s="103" t="s">
        <v>53</v>
      </c>
      <c r="B21" s="192" t="s">
        <v>18</v>
      </c>
      <c r="C21" s="193" t="s">
        <v>54</v>
      </c>
    </row>
    <row r="22" spans="1:3">
      <c r="A22" s="733" t="s">
        <v>627</v>
      </c>
      <c r="B22" s="735" t="s">
        <v>35</v>
      </c>
      <c r="C22" s="736">
        <f>$D$9</f>
        <v>12000</v>
      </c>
    </row>
    <row r="23" spans="1:3" hidden="1">
      <c r="A23" s="679" t="s">
        <v>49</v>
      </c>
      <c r="B23" s="721" t="s">
        <v>21</v>
      </c>
      <c r="C23" s="87">
        <f>$C$13</f>
        <v>0.14399999999999999</v>
      </c>
    </row>
    <row r="24" spans="1:3">
      <c r="A24" s="232" t="s">
        <v>366</v>
      </c>
      <c r="B24" s="178" t="s">
        <v>35</v>
      </c>
      <c r="C24" s="468">
        <f>C22*WK</f>
        <v>34008</v>
      </c>
    </row>
    <row r="25" spans="1:3">
      <c r="A25" s="232" t="s">
        <v>329</v>
      </c>
      <c r="B25" s="178" t="s">
        <v>35</v>
      </c>
      <c r="C25" s="468">
        <f>C22*SSK</f>
        <v>1727.9999999999998</v>
      </c>
    </row>
    <row r="26" spans="1:3" hidden="1">
      <c r="A26" s="232" t="s">
        <v>50</v>
      </c>
      <c r="B26" s="178" t="s">
        <v>35</v>
      </c>
      <c r="C26" s="85">
        <f>$C$14</f>
        <v>0.752</v>
      </c>
    </row>
    <row r="27" spans="1:3">
      <c r="A27" s="232" t="s">
        <v>327</v>
      </c>
      <c r="B27" s="178" t="s">
        <v>237</v>
      </c>
      <c r="C27" s="732">
        <f>C25/(C25+C28)</f>
        <v>7.7837837837837834E-2</v>
      </c>
    </row>
    <row r="28" spans="1:3">
      <c r="A28" s="232" t="s">
        <v>367</v>
      </c>
      <c r="B28" s="178" t="s">
        <v>35</v>
      </c>
      <c r="C28" s="468">
        <f>C24-C33</f>
        <v>20472</v>
      </c>
    </row>
    <row r="29" spans="1:3">
      <c r="A29" s="720" t="s">
        <v>331</v>
      </c>
      <c r="B29" s="724" t="s">
        <v>35</v>
      </c>
      <c r="C29" s="737">
        <f>C25+C28</f>
        <v>22200</v>
      </c>
    </row>
    <row r="30" spans="1:3" hidden="1">
      <c r="A30" s="232" t="s">
        <v>51</v>
      </c>
      <c r="B30" s="178" t="s">
        <v>35</v>
      </c>
      <c r="C30" s="468">
        <f>$C$15</f>
        <v>2.8340000000000001</v>
      </c>
    </row>
    <row r="31" spans="1:3">
      <c r="A31" s="734" t="s">
        <v>428</v>
      </c>
      <c r="B31" s="178" t="s">
        <v>35</v>
      </c>
      <c r="C31" s="468">
        <f>C22*PSK</f>
        <v>9024</v>
      </c>
    </row>
    <row r="32" spans="1:3">
      <c r="A32" s="734" t="s">
        <v>326</v>
      </c>
      <c r="B32" s="37" t="s">
        <v>237</v>
      </c>
      <c r="C32" s="732">
        <v>0.4</v>
      </c>
    </row>
    <row r="33" spans="1:6">
      <c r="A33" s="734" t="s">
        <v>426</v>
      </c>
      <c r="B33" s="178" t="s">
        <v>35</v>
      </c>
      <c r="C33" s="468">
        <f>C31/C32*(1-C32)</f>
        <v>13536</v>
      </c>
    </row>
    <row r="34" spans="1:6" ht="14.65" thickBot="1">
      <c r="A34" s="680" t="s">
        <v>427</v>
      </c>
      <c r="B34" s="694" t="s">
        <v>35</v>
      </c>
      <c r="C34" s="738">
        <f>C31+C33</f>
        <v>22560</v>
      </c>
    </row>
    <row r="35" spans="1:6">
      <c r="A35" s="83"/>
      <c r="B35" s="77"/>
      <c r="C35" s="95"/>
    </row>
    <row r="36" spans="1:6" ht="14.65" thickBot="1">
      <c r="A36" s="183" t="s">
        <v>644</v>
      </c>
    </row>
    <row r="37" spans="1:6" ht="14.65" thickBot="1">
      <c r="A37" s="410"/>
      <c r="B37" s="164"/>
      <c r="C37" s="514" t="s">
        <v>263</v>
      </c>
      <c r="D37" s="1043" t="s">
        <v>262</v>
      </c>
      <c r="E37" s="1044"/>
      <c r="F37" s="1045"/>
    </row>
    <row r="38" spans="1:6">
      <c r="A38" s="115"/>
      <c r="B38" s="537" t="s">
        <v>88</v>
      </c>
      <c r="C38" s="532" t="s">
        <v>622</v>
      </c>
      <c r="D38" s="521" t="s">
        <v>624</v>
      </c>
      <c r="E38" s="266" t="s">
        <v>625</v>
      </c>
      <c r="F38" s="275" t="s">
        <v>634</v>
      </c>
    </row>
    <row r="39" spans="1:6" ht="14.65" thickBot="1">
      <c r="A39" s="93" t="s">
        <v>93</v>
      </c>
      <c r="B39" s="538" t="s">
        <v>24</v>
      </c>
      <c r="C39" s="533" t="s">
        <v>71</v>
      </c>
      <c r="D39" s="530" t="s">
        <v>35</v>
      </c>
      <c r="E39" s="153" t="s">
        <v>35</v>
      </c>
      <c r="F39" s="155" t="s">
        <v>35</v>
      </c>
    </row>
    <row r="40" spans="1:6">
      <c r="A40" s="184" t="s">
        <v>72</v>
      </c>
      <c r="B40" s="539">
        <v>0.35466079587700855</v>
      </c>
      <c r="C40" s="534">
        <v>39002</v>
      </c>
      <c r="D40" s="531">
        <f t="shared" ref="D40:D54" si="0">$D$9*C40/1000000</f>
        <v>468.024</v>
      </c>
      <c r="E40" s="459">
        <f>B40*D40</f>
        <v>165.98976432954106</v>
      </c>
      <c r="F40" s="467">
        <f>D40*(1-B40)</f>
        <v>302.034235670459</v>
      </c>
    </row>
    <row r="41" spans="1:6">
      <c r="A41" s="185" t="s">
        <v>73</v>
      </c>
      <c r="B41" s="448">
        <v>0.50448951725767621</v>
      </c>
      <c r="C41" s="535">
        <v>28.6</v>
      </c>
      <c r="D41" s="473">
        <f t="shared" si="0"/>
        <v>0.34320000000000001</v>
      </c>
      <c r="E41" s="461">
        <f t="shared" ref="E41:E54" si="1">B41*D41</f>
        <v>0.17314080232283449</v>
      </c>
      <c r="F41" s="468">
        <f t="shared" ref="F41:F54" si="2">D41*(1-B41)</f>
        <v>0.17005919767716551</v>
      </c>
    </row>
    <row r="42" spans="1:6">
      <c r="A42" s="186" t="s">
        <v>74</v>
      </c>
      <c r="B42" s="448">
        <v>0.23599546857054995</v>
      </c>
      <c r="C42" s="535">
        <v>159000</v>
      </c>
      <c r="D42" s="473">
        <f t="shared" si="0"/>
        <v>1908</v>
      </c>
      <c r="E42" s="461">
        <f t="shared" si="1"/>
        <v>450.27935403260932</v>
      </c>
      <c r="F42" s="468">
        <f t="shared" si="2"/>
        <v>1457.7206459673907</v>
      </c>
    </row>
    <row r="43" spans="1:6">
      <c r="A43" s="186" t="s">
        <v>75</v>
      </c>
      <c r="B43" s="448" t="s">
        <v>89</v>
      </c>
      <c r="C43" s="535">
        <v>3.5</v>
      </c>
      <c r="D43" s="473">
        <f t="shared" si="0"/>
        <v>4.2000000000000003E-2</v>
      </c>
      <c r="E43" s="461" t="s">
        <v>89</v>
      </c>
      <c r="F43" s="468" t="s">
        <v>89</v>
      </c>
    </row>
    <row r="44" spans="1:6">
      <c r="A44" s="186" t="s">
        <v>76</v>
      </c>
      <c r="B44" s="448">
        <v>0.1621584892527064</v>
      </c>
      <c r="C44" s="535">
        <v>136</v>
      </c>
      <c r="D44" s="473">
        <f t="shared" si="0"/>
        <v>1.6319999999999999</v>
      </c>
      <c r="E44" s="461">
        <f t="shared" si="1"/>
        <v>0.26464265446041685</v>
      </c>
      <c r="F44" s="468">
        <f t="shared" si="2"/>
        <v>1.3673573455395831</v>
      </c>
    </row>
    <row r="45" spans="1:6">
      <c r="A45" s="186" t="s">
        <v>77</v>
      </c>
      <c r="B45" s="448">
        <v>0.24756668082287775</v>
      </c>
      <c r="C45" s="535">
        <v>656</v>
      </c>
      <c r="D45" s="473">
        <f t="shared" si="0"/>
        <v>7.8719999999999999</v>
      </c>
      <c r="E45" s="461">
        <f t="shared" si="1"/>
        <v>1.9488449114376936</v>
      </c>
      <c r="F45" s="468">
        <f t="shared" si="2"/>
        <v>5.9231550885623054</v>
      </c>
    </row>
    <row r="46" spans="1:6">
      <c r="A46" s="186" t="s">
        <v>78</v>
      </c>
      <c r="B46" s="448">
        <v>0.20907175359723923</v>
      </c>
      <c r="C46" s="535">
        <v>87577</v>
      </c>
      <c r="D46" s="473">
        <f t="shared" si="0"/>
        <v>1050.924</v>
      </c>
      <c r="E46" s="461">
        <f t="shared" si="1"/>
        <v>219.71852357742503</v>
      </c>
      <c r="F46" s="468">
        <f t="shared" si="2"/>
        <v>831.20547642257486</v>
      </c>
    </row>
    <row r="47" spans="1:6">
      <c r="A47" s="186" t="s">
        <v>79</v>
      </c>
      <c r="B47" s="448">
        <v>0.36314397789298258</v>
      </c>
      <c r="C47" s="535">
        <v>8230</v>
      </c>
      <c r="D47" s="473">
        <f t="shared" si="0"/>
        <v>98.76</v>
      </c>
      <c r="E47" s="461">
        <f t="shared" si="1"/>
        <v>35.864099256710965</v>
      </c>
      <c r="F47" s="468">
        <f t="shared" si="2"/>
        <v>62.89590074328904</v>
      </c>
    </row>
    <row r="48" spans="1:6">
      <c r="A48" s="186" t="s">
        <v>80</v>
      </c>
      <c r="B48" s="448">
        <v>0.43110184372496846</v>
      </c>
      <c r="C48" s="535">
        <v>12900</v>
      </c>
      <c r="D48" s="473">
        <f t="shared" si="0"/>
        <v>154.80000000000001</v>
      </c>
      <c r="E48" s="461">
        <f t="shared" si="1"/>
        <v>66.734565408625116</v>
      </c>
      <c r="F48" s="468">
        <f t="shared" si="2"/>
        <v>88.065434591374881</v>
      </c>
    </row>
    <row r="49" spans="1:6">
      <c r="A49" s="186" t="s">
        <v>81</v>
      </c>
      <c r="B49" s="448">
        <v>0.38317241660064177</v>
      </c>
      <c r="C49" s="535">
        <v>8100</v>
      </c>
      <c r="D49" s="473">
        <f t="shared" si="0"/>
        <v>97.2</v>
      </c>
      <c r="E49" s="461">
        <f t="shared" si="1"/>
        <v>37.24435889358238</v>
      </c>
      <c r="F49" s="468">
        <f t="shared" si="2"/>
        <v>59.955641106417616</v>
      </c>
    </row>
    <row r="50" spans="1:6">
      <c r="A50" s="186" t="s">
        <v>82</v>
      </c>
      <c r="B50" s="448">
        <v>0.30725168652454959</v>
      </c>
      <c r="C50" s="535">
        <v>125</v>
      </c>
      <c r="D50" s="473">
        <f t="shared" si="0"/>
        <v>1.5</v>
      </c>
      <c r="E50" s="461">
        <f t="shared" si="1"/>
        <v>0.46087752978682439</v>
      </c>
      <c r="F50" s="468">
        <f t="shared" si="2"/>
        <v>1.0391224702131756</v>
      </c>
    </row>
    <row r="51" spans="1:6">
      <c r="A51" s="186" t="s">
        <v>83</v>
      </c>
      <c r="B51" s="448" t="s">
        <v>89</v>
      </c>
      <c r="C51" s="535">
        <v>81618</v>
      </c>
      <c r="D51" s="473">
        <f t="shared" si="0"/>
        <v>979.41600000000005</v>
      </c>
      <c r="E51" s="461" t="s">
        <v>89</v>
      </c>
      <c r="F51" s="468" t="s">
        <v>89</v>
      </c>
    </row>
    <row r="52" spans="1:6">
      <c r="A52" s="186" t="s">
        <v>84</v>
      </c>
      <c r="B52" s="448">
        <v>6.169422691786923E-2</v>
      </c>
      <c r="C52" s="535">
        <v>124</v>
      </c>
      <c r="D52" s="473">
        <f t="shared" si="0"/>
        <v>1.488</v>
      </c>
      <c r="E52" s="461">
        <f t="shared" si="1"/>
        <v>9.1801009653789414E-2</v>
      </c>
      <c r="F52" s="468">
        <f t="shared" si="2"/>
        <v>1.3961989903462106</v>
      </c>
    </row>
    <row r="53" spans="1:6">
      <c r="A53" s="186" t="s">
        <v>85</v>
      </c>
      <c r="B53" s="448" t="s">
        <v>89</v>
      </c>
      <c r="C53" s="535">
        <v>18900</v>
      </c>
      <c r="D53" s="473">
        <f t="shared" si="0"/>
        <v>226.8</v>
      </c>
      <c r="E53" s="461" t="s">
        <v>89</v>
      </c>
      <c r="F53" s="578" t="s">
        <v>89</v>
      </c>
    </row>
    <row r="54" spans="1:6" ht="14.65" thickBot="1">
      <c r="A54" s="187" t="s">
        <v>86</v>
      </c>
      <c r="B54" s="449">
        <v>0.25701474780786782</v>
      </c>
      <c r="C54" s="536">
        <v>2353</v>
      </c>
      <c r="D54" s="474">
        <f t="shared" si="0"/>
        <v>28.236000000000001</v>
      </c>
      <c r="E54" s="463">
        <f t="shared" si="1"/>
        <v>7.2570684191029562</v>
      </c>
      <c r="F54" s="469">
        <f t="shared" si="2"/>
        <v>20.978931580897044</v>
      </c>
    </row>
    <row r="56" spans="1:6" ht="14.65" thickBot="1">
      <c r="A56" s="79" t="s">
        <v>368</v>
      </c>
    </row>
    <row r="57" spans="1:6" ht="14.65" thickBot="1">
      <c r="A57" s="103" t="s">
        <v>90</v>
      </c>
      <c r="B57" s="102" t="s">
        <v>18</v>
      </c>
      <c r="C57" s="17" t="s">
        <v>91</v>
      </c>
    </row>
    <row r="58" spans="1:6">
      <c r="A58" s="272" t="s">
        <v>623</v>
      </c>
      <c r="B58" s="298" t="s">
        <v>35</v>
      </c>
      <c r="C58" s="294">
        <f>C22</f>
        <v>12000</v>
      </c>
    </row>
    <row r="59" spans="1:6">
      <c r="A59" s="815" t="s">
        <v>366</v>
      </c>
      <c r="B59" s="278" t="s">
        <v>35</v>
      </c>
      <c r="C59" s="297">
        <f>C24</f>
        <v>34008</v>
      </c>
    </row>
    <row r="60" spans="1:6">
      <c r="A60" s="257" t="s">
        <v>329</v>
      </c>
      <c r="B60" s="278" t="s">
        <v>35</v>
      </c>
      <c r="C60" s="289">
        <f>C25</f>
        <v>1727.9999999999998</v>
      </c>
    </row>
    <row r="61" spans="1:6">
      <c r="A61" s="257" t="s">
        <v>428</v>
      </c>
      <c r="B61" s="278" t="s">
        <v>35</v>
      </c>
      <c r="C61" s="289">
        <f>C31</f>
        <v>9024</v>
      </c>
    </row>
    <row r="62" spans="1:6" ht="14.65" thickBot="1">
      <c r="A62" s="255" t="s">
        <v>4</v>
      </c>
      <c r="B62" s="271" t="s">
        <v>35</v>
      </c>
      <c r="C62" s="256">
        <f>C58+C59+C60+C61</f>
        <v>56760</v>
      </c>
    </row>
    <row r="64" spans="1:6" ht="14.65" thickBot="1">
      <c r="A64" s="79" t="s">
        <v>278</v>
      </c>
      <c r="B64" s="79"/>
      <c r="C64" s="79"/>
    </row>
    <row r="65" spans="1:12" ht="14.65" thickBot="1">
      <c r="A65" s="103" t="s">
        <v>90</v>
      </c>
      <c r="B65" s="102" t="s">
        <v>18</v>
      </c>
      <c r="C65" s="17" t="s">
        <v>91</v>
      </c>
    </row>
    <row r="66" spans="1:12">
      <c r="A66" s="272" t="s">
        <v>623</v>
      </c>
      <c r="B66" s="298" t="s">
        <v>35</v>
      </c>
      <c r="C66" s="294">
        <f>$C$22</f>
        <v>12000</v>
      </c>
    </row>
    <row r="67" spans="1:12">
      <c r="A67" s="257" t="s">
        <v>329</v>
      </c>
      <c r="B67" s="278" t="s">
        <v>35</v>
      </c>
      <c r="C67" s="295">
        <f>C25</f>
        <v>1727.9999999999998</v>
      </c>
    </row>
    <row r="68" spans="1:12">
      <c r="A68" s="257" t="s">
        <v>428</v>
      </c>
      <c r="B68" s="278" t="s">
        <v>35</v>
      </c>
      <c r="C68" s="295">
        <f>C31</f>
        <v>9024</v>
      </c>
    </row>
    <row r="69" spans="1:12">
      <c r="A69" s="257" t="s">
        <v>336</v>
      </c>
      <c r="B69" s="278" t="s">
        <v>35</v>
      </c>
      <c r="C69" s="279">
        <f>C66+C67+C68</f>
        <v>22752</v>
      </c>
    </row>
    <row r="70" spans="1:12">
      <c r="A70" s="257" t="s">
        <v>4</v>
      </c>
      <c r="B70" s="278" t="s">
        <v>35</v>
      </c>
      <c r="C70" s="279">
        <f>C62</f>
        <v>56760</v>
      </c>
    </row>
    <row r="71" spans="1:12">
      <c r="A71" s="299" t="s">
        <v>64</v>
      </c>
      <c r="B71" s="260" t="s">
        <v>24</v>
      </c>
      <c r="C71" s="300">
        <f>C69/C70</f>
        <v>0.40084566596194504</v>
      </c>
    </row>
    <row r="72" spans="1:12">
      <c r="A72" s="257" t="s">
        <v>366</v>
      </c>
      <c r="B72" s="278" t="s">
        <v>35</v>
      </c>
      <c r="C72" s="279">
        <f>C24</f>
        <v>34008</v>
      </c>
    </row>
    <row r="73" spans="1:12">
      <c r="A73" s="257" t="s">
        <v>333</v>
      </c>
      <c r="B73" s="278" t="s">
        <v>35</v>
      </c>
      <c r="C73" s="279">
        <f>C72</f>
        <v>34008</v>
      </c>
    </row>
    <row r="74" spans="1:12">
      <c r="A74" s="257" t="s">
        <v>4</v>
      </c>
      <c r="B74" s="278" t="s">
        <v>35</v>
      </c>
      <c r="C74" s="279">
        <f>$C$62</f>
        <v>56760</v>
      </c>
    </row>
    <row r="75" spans="1:12" ht="14.65" thickBot="1">
      <c r="A75" s="301" t="s">
        <v>66</v>
      </c>
      <c r="B75" s="277" t="s">
        <v>24</v>
      </c>
      <c r="C75" s="303">
        <f>C73/C74</f>
        <v>0.59915433403805496</v>
      </c>
    </row>
    <row r="76" spans="1:12">
      <c r="A76" s="83"/>
      <c r="B76" s="77"/>
      <c r="C76" s="96"/>
    </row>
    <row r="77" spans="1:12" ht="14.65" thickBot="1">
      <c r="A77" s="79" t="s">
        <v>92</v>
      </c>
    </row>
    <row r="78" spans="1:12" ht="14.65" thickBot="1">
      <c r="A78" s="419"/>
      <c r="B78" s="1062" t="s">
        <v>262</v>
      </c>
      <c r="C78" s="1063"/>
      <c r="D78" s="1063"/>
      <c r="E78" s="1063"/>
      <c r="F78" s="1064"/>
      <c r="G78" s="1062" t="s">
        <v>263</v>
      </c>
      <c r="H78" s="1063"/>
      <c r="I78" s="1063"/>
      <c r="J78" s="1063"/>
      <c r="K78" s="1063"/>
      <c r="L78" s="1066"/>
    </row>
    <row r="79" spans="1:12">
      <c r="A79" s="452"/>
      <c r="B79" s="1024" t="s">
        <v>270</v>
      </c>
      <c r="C79" s="1041" t="s">
        <v>243</v>
      </c>
      <c r="D79" s="1041" t="s">
        <v>256</v>
      </c>
      <c r="E79" s="1041" t="s">
        <v>336</v>
      </c>
      <c r="F79" s="1083" t="s">
        <v>266</v>
      </c>
      <c r="G79" s="1022" t="s">
        <v>269</v>
      </c>
      <c r="H79" s="1023"/>
      <c r="I79" s="1085" t="s">
        <v>267</v>
      </c>
      <c r="J79" s="1032"/>
      <c r="K79" s="1032"/>
      <c r="L79" s="1023"/>
    </row>
    <row r="80" spans="1:12">
      <c r="A80" s="219" t="s">
        <v>93</v>
      </c>
      <c r="B80" s="1067"/>
      <c r="C80" s="1042"/>
      <c r="D80" s="1042"/>
      <c r="E80" s="1042"/>
      <c r="F80" s="1084"/>
      <c r="G80" s="1033"/>
      <c r="H80" s="1035"/>
      <c r="I80" s="1086" t="s">
        <v>243</v>
      </c>
      <c r="J80" s="1034"/>
      <c r="K80" s="1034" t="s">
        <v>256</v>
      </c>
      <c r="L80" s="1035"/>
    </row>
    <row r="81" spans="1:12" ht="14.65" thickBot="1">
      <c r="A81" s="220" t="s">
        <v>18</v>
      </c>
      <c r="B81" s="403" t="s">
        <v>35</v>
      </c>
      <c r="C81" s="154" t="s">
        <v>35</v>
      </c>
      <c r="D81" s="154" t="s">
        <v>35</v>
      </c>
      <c r="E81" s="154" t="s">
        <v>35</v>
      </c>
      <c r="F81" s="423" t="s">
        <v>35</v>
      </c>
      <c r="G81" s="403" t="s">
        <v>257</v>
      </c>
      <c r="H81" s="155" t="s">
        <v>237</v>
      </c>
      <c r="I81" s="153" t="s">
        <v>70</v>
      </c>
      <c r="J81" s="154" t="s">
        <v>237</v>
      </c>
      <c r="K81" s="154" t="s">
        <v>70</v>
      </c>
      <c r="L81" s="155" t="s">
        <v>237</v>
      </c>
    </row>
    <row r="82" spans="1:12">
      <c r="A82" s="148" t="s">
        <v>72</v>
      </c>
      <c r="B82" s="540">
        <f>D40</f>
        <v>468.024</v>
      </c>
      <c r="C82" s="428">
        <f>E40</f>
        <v>165.98976432954106</v>
      </c>
      <c r="D82" s="428">
        <f>F40</f>
        <v>302.034235670459</v>
      </c>
      <c r="E82" s="428">
        <f>$C$69</f>
        <v>22752</v>
      </c>
      <c r="F82" s="545">
        <f>$C$62</f>
        <v>56760</v>
      </c>
      <c r="G82" s="548">
        <f t="shared" ref="G82:G102" si="3">B82/E82*1000000</f>
        <v>20570.675105485232</v>
      </c>
      <c r="H82" s="433">
        <f>G82/1000000</f>
        <v>2.0570675105485232E-2</v>
      </c>
      <c r="I82" s="551">
        <f t="shared" ref="I82:I102" si="4">C82/F82*1000000</f>
        <v>2924.4144525993843</v>
      </c>
      <c r="J82" s="432">
        <f>I82/1000000</f>
        <v>2.9244144525993844E-3</v>
      </c>
      <c r="K82" s="431">
        <f t="shared" ref="K82:K102" si="5">D82/F82*1000000</f>
        <v>5321.2515093456477</v>
      </c>
      <c r="L82" s="433">
        <f>K82/1000000</f>
        <v>5.3212515093456481E-3</v>
      </c>
    </row>
    <row r="83" spans="1:12">
      <c r="A83" s="149" t="s">
        <v>73</v>
      </c>
      <c r="B83" s="541">
        <f>D41</f>
        <v>0.34320000000000001</v>
      </c>
      <c r="C83" s="235">
        <f>E41</f>
        <v>0.17314080232283449</v>
      </c>
      <c r="D83" s="235">
        <f>F41</f>
        <v>0.17005919767716551</v>
      </c>
      <c r="E83" s="235">
        <f t="shared" ref="E83:E102" si="6">$C$69</f>
        <v>22752</v>
      </c>
      <c r="F83" s="546">
        <f t="shared" ref="F83:F102" si="7">$C$62</f>
        <v>56760</v>
      </c>
      <c r="G83" s="549">
        <f t="shared" si="3"/>
        <v>15.084388185654008</v>
      </c>
      <c r="H83" s="434">
        <f t="shared" ref="H83:H102" si="8">G83/1000000</f>
        <v>1.5084388185654009E-5</v>
      </c>
      <c r="I83" s="552">
        <f t="shared" si="4"/>
        <v>3.0504017322557173</v>
      </c>
      <c r="J83" s="427">
        <f t="shared" ref="J83:J102" si="9">I83/1000000</f>
        <v>3.0504017322557171E-6</v>
      </c>
      <c r="K83" s="426">
        <f t="shared" si="5"/>
        <v>2.99610989565126</v>
      </c>
      <c r="L83" s="434">
        <f t="shared" ref="L83:L102" si="10">K83/1000000</f>
        <v>2.9961098956512599E-6</v>
      </c>
    </row>
    <row r="84" spans="1:12">
      <c r="A84" s="149" t="s">
        <v>74</v>
      </c>
      <c r="B84" s="541">
        <f>D42</f>
        <v>1908</v>
      </c>
      <c r="C84" s="235">
        <f>E42</f>
        <v>450.27935403260932</v>
      </c>
      <c r="D84" s="235">
        <f>F42</f>
        <v>1457.7206459673907</v>
      </c>
      <c r="E84" s="235">
        <f t="shared" si="6"/>
        <v>22752</v>
      </c>
      <c r="F84" s="546">
        <f t="shared" si="7"/>
        <v>56760</v>
      </c>
      <c r="G84" s="549">
        <f t="shared" si="3"/>
        <v>83860.759493670892</v>
      </c>
      <c r="H84" s="434">
        <f t="shared" si="8"/>
        <v>8.3860759493670889E-2</v>
      </c>
      <c r="I84" s="552">
        <f t="shared" si="4"/>
        <v>7933.0400639994587</v>
      </c>
      <c r="J84" s="427">
        <f t="shared" si="9"/>
        <v>7.9330400639994591E-3</v>
      </c>
      <c r="K84" s="426">
        <f t="shared" si="5"/>
        <v>25682.181923315551</v>
      </c>
      <c r="L84" s="434">
        <f t="shared" si="10"/>
        <v>2.5682181923315551E-2</v>
      </c>
    </row>
    <row r="85" spans="1:12">
      <c r="A85" s="149" t="s">
        <v>354</v>
      </c>
      <c r="B85" s="541">
        <f>D43</f>
        <v>4.2000000000000003E-2</v>
      </c>
      <c r="C85" s="235" t="s">
        <v>89</v>
      </c>
      <c r="D85" s="235" t="s">
        <v>89</v>
      </c>
      <c r="E85" s="235">
        <f t="shared" si="6"/>
        <v>22752</v>
      </c>
      <c r="F85" s="546">
        <f t="shared" si="7"/>
        <v>56760</v>
      </c>
      <c r="G85" s="549">
        <f t="shared" si="3"/>
        <v>1.8459915611814346</v>
      </c>
      <c r="H85" s="434">
        <f t="shared" si="8"/>
        <v>1.8459915611814346E-6</v>
      </c>
      <c r="I85" s="552" t="s">
        <v>89</v>
      </c>
      <c r="J85" s="427" t="s">
        <v>89</v>
      </c>
      <c r="K85" s="426" t="s">
        <v>89</v>
      </c>
      <c r="L85" s="434" t="s">
        <v>89</v>
      </c>
    </row>
    <row r="86" spans="1:12">
      <c r="A86" s="149" t="s">
        <v>76</v>
      </c>
      <c r="B86" s="541">
        <f>D44</f>
        <v>1.6319999999999999</v>
      </c>
      <c r="C86" s="235">
        <f>E44</f>
        <v>0.26464265446041685</v>
      </c>
      <c r="D86" s="235">
        <f>F44</f>
        <v>1.3673573455395831</v>
      </c>
      <c r="E86" s="235">
        <f t="shared" si="6"/>
        <v>22752</v>
      </c>
      <c r="F86" s="546">
        <f t="shared" si="7"/>
        <v>56760</v>
      </c>
      <c r="G86" s="549">
        <f t="shared" si="3"/>
        <v>71.729957805907162</v>
      </c>
      <c r="H86" s="434">
        <f t="shared" si="8"/>
        <v>7.1729957805907168E-5</v>
      </c>
      <c r="I86" s="552">
        <f t="shared" si="4"/>
        <v>4.6624851032490637</v>
      </c>
      <c r="J86" s="427">
        <f t="shared" si="9"/>
        <v>4.6624851032490638E-6</v>
      </c>
      <c r="K86" s="426">
        <f t="shared" si="5"/>
        <v>24.090157602882012</v>
      </c>
      <c r="L86" s="434">
        <f t="shared" si="10"/>
        <v>2.4090157602882013E-5</v>
      </c>
    </row>
    <row r="87" spans="1:12">
      <c r="A87" s="150" t="s">
        <v>77</v>
      </c>
      <c r="B87" s="541">
        <f>D45</f>
        <v>7.8719999999999999</v>
      </c>
      <c r="C87" s="235">
        <f>E45</f>
        <v>1.9488449114376936</v>
      </c>
      <c r="D87" s="235">
        <f>F45</f>
        <v>5.9231550885623054</v>
      </c>
      <c r="E87" s="235">
        <f t="shared" si="6"/>
        <v>22752</v>
      </c>
      <c r="F87" s="546">
        <f t="shared" si="7"/>
        <v>56760</v>
      </c>
      <c r="G87" s="549">
        <f t="shared" si="3"/>
        <v>345.99156118143458</v>
      </c>
      <c r="H87" s="434">
        <f t="shared" si="8"/>
        <v>3.4599156118143458E-4</v>
      </c>
      <c r="I87" s="552">
        <f t="shared" si="4"/>
        <v>34.334829306513278</v>
      </c>
      <c r="J87" s="427">
        <f t="shared" si="9"/>
        <v>3.433482930651328E-5</v>
      </c>
      <c r="K87" s="426">
        <f t="shared" si="5"/>
        <v>104.35438845247189</v>
      </c>
      <c r="L87" s="434">
        <f t="shared" si="10"/>
        <v>1.043543884524719E-4</v>
      </c>
    </row>
    <row r="88" spans="1:12">
      <c r="A88" s="150" t="s">
        <v>78</v>
      </c>
      <c r="B88" s="541">
        <f>D46</f>
        <v>1050.924</v>
      </c>
      <c r="C88" s="235">
        <f>E46</f>
        <v>219.71852357742503</v>
      </c>
      <c r="D88" s="235">
        <f>F46</f>
        <v>831.20547642257486</v>
      </c>
      <c r="E88" s="235">
        <f t="shared" si="6"/>
        <v>22752</v>
      </c>
      <c r="F88" s="546">
        <f t="shared" si="7"/>
        <v>56760</v>
      </c>
      <c r="G88" s="549">
        <f t="shared" si="3"/>
        <v>46190.400843881856</v>
      </c>
      <c r="H88" s="434">
        <f t="shared" si="8"/>
        <v>4.619040084388186E-2</v>
      </c>
      <c r="I88" s="552">
        <f t="shared" si="4"/>
        <v>3871.0099291301099</v>
      </c>
      <c r="J88" s="427">
        <f t="shared" si="9"/>
        <v>3.87100992913011E-3</v>
      </c>
      <c r="K88" s="426">
        <f t="shared" si="5"/>
        <v>14644.212058184898</v>
      </c>
      <c r="L88" s="434">
        <f t="shared" si="10"/>
        <v>1.4644212058184898E-2</v>
      </c>
    </row>
    <row r="89" spans="1:12">
      <c r="A89" s="150" t="s">
        <v>79</v>
      </c>
      <c r="B89" s="541">
        <f>D47</f>
        <v>98.76</v>
      </c>
      <c r="C89" s="235">
        <f>E47</f>
        <v>35.864099256710965</v>
      </c>
      <c r="D89" s="235">
        <f>F47</f>
        <v>62.89590074328904</v>
      </c>
      <c r="E89" s="235">
        <f t="shared" si="6"/>
        <v>22752</v>
      </c>
      <c r="F89" s="546">
        <f t="shared" si="7"/>
        <v>56760</v>
      </c>
      <c r="G89" s="549">
        <f t="shared" si="3"/>
        <v>4340.7172995780593</v>
      </c>
      <c r="H89" s="434">
        <f t="shared" si="8"/>
        <v>4.3407172995780594E-3</v>
      </c>
      <c r="I89" s="552">
        <f t="shared" si="4"/>
        <v>631.85516660872031</v>
      </c>
      <c r="J89" s="427">
        <f t="shared" si="9"/>
        <v>6.3185516660872027E-4</v>
      </c>
      <c r="K89" s="426">
        <f t="shared" si="5"/>
        <v>1108.1025500931826</v>
      </c>
      <c r="L89" s="434">
        <f t="shared" si="10"/>
        <v>1.1081025500931825E-3</v>
      </c>
    </row>
    <row r="90" spans="1:12">
      <c r="A90" s="150" t="s">
        <v>80</v>
      </c>
      <c r="B90" s="541">
        <f>D48</f>
        <v>154.80000000000001</v>
      </c>
      <c r="C90" s="235">
        <f>E48</f>
        <v>66.734565408625116</v>
      </c>
      <c r="D90" s="235">
        <f>F48</f>
        <v>88.065434591374881</v>
      </c>
      <c r="E90" s="235">
        <f t="shared" si="6"/>
        <v>22752</v>
      </c>
      <c r="F90" s="546">
        <f t="shared" si="7"/>
        <v>56760</v>
      </c>
      <c r="G90" s="549">
        <f t="shared" si="3"/>
        <v>6803.7974683544307</v>
      </c>
      <c r="H90" s="434">
        <f t="shared" si="8"/>
        <v>6.8037974683544311E-3</v>
      </c>
      <c r="I90" s="552">
        <f t="shared" si="4"/>
        <v>1175.7323010680957</v>
      </c>
      <c r="J90" s="427">
        <f t="shared" si="9"/>
        <v>1.1757323010680957E-3</v>
      </c>
      <c r="K90" s="426">
        <f t="shared" si="5"/>
        <v>1551.5404262046313</v>
      </c>
      <c r="L90" s="434">
        <f t="shared" si="10"/>
        <v>1.5515404262046314E-3</v>
      </c>
    </row>
    <row r="91" spans="1:12">
      <c r="A91" s="150" t="s">
        <v>81</v>
      </c>
      <c r="B91" s="541">
        <f>D49</f>
        <v>97.2</v>
      </c>
      <c r="C91" s="235">
        <f>E49</f>
        <v>37.24435889358238</v>
      </c>
      <c r="D91" s="235">
        <f>F49</f>
        <v>59.955641106417616</v>
      </c>
      <c r="E91" s="235">
        <f t="shared" si="6"/>
        <v>22752</v>
      </c>
      <c r="F91" s="546">
        <f t="shared" si="7"/>
        <v>56760</v>
      </c>
      <c r="G91" s="549">
        <f t="shared" si="3"/>
        <v>4272.1518987341778</v>
      </c>
      <c r="H91" s="434">
        <f t="shared" si="8"/>
        <v>4.2721518987341774E-3</v>
      </c>
      <c r="I91" s="552">
        <f t="shared" si="4"/>
        <v>656.17263730765296</v>
      </c>
      <c r="J91" s="427">
        <f t="shared" si="9"/>
        <v>6.5617263730765295E-4</v>
      </c>
      <c r="K91" s="426">
        <f t="shared" si="5"/>
        <v>1056.3009356310363</v>
      </c>
      <c r="L91" s="434">
        <f t="shared" si="10"/>
        <v>1.0563009356310362E-3</v>
      </c>
    </row>
    <row r="92" spans="1:12">
      <c r="A92" s="150" t="s">
        <v>82</v>
      </c>
      <c r="B92" s="541">
        <f>D50</f>
        <v>1.5</v>
      </c>
      <c r="C92" s="235">
        <f>E50</f>
        <v>0.46087752978682439</v>
      </c>
      <c r="D92" s="235">
        <f>F50</f>
        <v>1.0391224702131756</v>
      </c>
      <c r="E92" s="235">
        <f t="shared" si="6"/>
        <v>22752</v>
      </c>
      <c r="F92" s="546">
        <f t="shared" si="7"/>
        <v>56760</v>
      </c>
      <c r="G92" s="549">
        <f t="shared" si="3"/>
        <v>65.928270042194086</v>
      </c>
      <c r="H92" s="434">
        <f t="shared" si="8"/>
        <v>6.5928270042194087E-5</v>
      </c>
      <c r="I92" s="552">
        <f t="shared" si="4"/>
        <v>8.1197591576255181</v>
      </c>
      <c r="J92" s="427">
        <f t="shared" si="9"/>
        <v>8.1197591576255174E-6</v>
      </c>
      <c r="K92" s="426">
        <f t="shared" si="5"/>
        <v>18.307302153156723</v>
      </c>
      <c r="L92" s="434">
        <f t="shared" si="10"/>
        <v>1.8307302153156722E-5</v>
      </c>
    </row>
    <row r="93" spans="1:12">
      <c r="A93" s="150" t="s">
        <v>630</v>
      </c>
      <c r="B93" s="541">
        <f>D51</f>
        <v>979.41600000000005</v>
      </c>
      <c r="C93" s="235" t="s">
        <v>89</v>
      </c>
      <c r="D93" s="235" t="s">
        <v>89</v>
      </c>
      <c r="E93" s="235">
        <f t="shared" si="6"/>
        <v>22752</v>
      </c>
      <c r="F93" s="546">
        <f t="shared" si="7"/>
        <v>56760</v>
      </c>
      <c r="G93" s="549">
        <f t="shared" si="3"/>
        <v>43047.468354430377</v>
      </c>
      <c r="H93" s="434">
        <f t="shared" si="8"/>
        <v>4.3047468354430379E-2</v>
      </c>
      <c r="I93" s="552" t="s">
        <v>89</v>
      </c>
      <c r="J93" s="426" t="s">
        <v>89</v>
      </c>
      <c r="K93" s="426" t="s">
        <v>89</v>
      </c>
      <c r="L93" s="544" t="s">
        <v>89</v>
      </c>
    </row>
    <row r="94" spans="1:12">
      <c r="A94" s="150" t="s">
        <v>96</v>
      </c>
      <c r="B94" s="541">
        <f>$C$31*31/98</f>
        <v>2854.5306122448978</v>
      </c>
      <c r="C94" s="235">
        <f>B94</f>
        <v>2854.5306122448978</v>
      </c>
      <c r="D94" s="235">
        <v>0</v>
      </c>
      <c r="E94" s="235">
        <f t="shared" si="6"/>
        <v>22752</v>
      </c>
      <c r="F94" s="546">
        <f t="shared" si="7"/>
        <v>56760</v>
      </c>
      <c r="G94" s="549">
        <f t="shared" si="3"/>
        <v>125462.84336519417</v>
      </c>
      <c r="H94" s="434">
        <f t="shared" si="8"/>
        <v>0.12546284336519417</v>
      </c>
      <c r="I94" s="552">
        <f t="shared" si="4"/>
        <v>50291.237002200454</v>
      </c>
      <c r="J94" s="427">
        <f t="shared" si="9"/>
        <v>5.0291237002200458E-2</v>
      </c>
      <c r="K94" s="426">
        <f t="shared" si="5"/>
        <v>0</v>
      </c>
      <c r="L94" s="434">
        <f t="shared" si="10"/>
        <v>0</v>
      </c>
    </row>
    <row r="95" spans="1:12">
      <c r="A95" s="150" t="s">
        <v>97</v>
      </c>
      <c r="B95" s="541">
        <f>B93+B94</f>
        <v>3833.946612244898</v>
      </c>
      <c r="C95" s="235" t="s">
        <v>89</v>
      </c>
      <c r="D95" s="235" t="s">
        <v>89</v>
      </c>
      <c r="E95" s="235">
        <f t="shared" si="6"/>
        <v>22752</v>
      </c>
      <c r="F95" s="546">
        <f t="shared" si="7"/>
        <v>56760</v>
      </c>
      <c r="G95" s="549">
        <f t="shared" si="3"/>
        <v>168510.31171962456</v>
      </c>
      <c r="H95" s="434">
        <f t="shared" si="8"/>
        <v>0.16851031171962455</v>
      </c>
      <c r="I95" s="552" t="s">
        <v>89</v>
      </c>
      <c r="J95" s="426" t="s">
        <v>89</v>
      </c>
      <c r="K95" s="426" t="s">
        <v>89</v>
      </c>
      <c r="L95" s="544" t="s">
        <v>89</v>
      </c>
    </row>
    <row r="96" spans="1:12">
      <c r="A96" s="151" t="s">
        <v>84</v>
      </c>
      <c r="B96" s="541">
        <f>D52</f>
        <v>1.488</v>
      </c>
      <c r="C96" s="235">
        <f>E52</f>
        <v>9.1801009653789414E-2</v>
      </c>
      <c r="D96" s="235">
        <f>F52</f>
        <v>1.3961989903462106</v>
      </c>
      <c r="E96" s="235">
        <f t="shared" si="6"/>
        <v>22752</v>
      </c>
      <c r="F96" s="546">
        <f t="shared" si="7"/>
        <v>56760</v>
      </c>
      <c r="G96" s="549">
        <f t="shared" si="3"/>
        <v>65.400843881856545</v>
      </c>
      <c r="H96" s="434">
        <f t="shared" si="8"/>
        <v>6.5400843881856542E-5</v>
      </c>
      <c r="I96" s="552">
        <f>C96/F96*1000000</f>
        <v>1.6173539403416035</v>
      </c>
      <c r="J96" s="427">
        <f>I96/1000000</f>
        <v>1.6173539403416035E-6</v>
      </c>
      <c r="K96" s="426">
        <f t="shared" si="5"/>
        <v>24.59829087995438</v>
      </c>
      <c r="L96" s="434">
        <f t="shared" si="10"/>
        <v>2.4598290879954381E-5</v>
      </c>
    </row>
    <row r="97" spans="1:12">
      <c r="A97" s="151" t="s">
        <v>631</v>
      </c>
      <c r="B97" s="541">
        <f>D53</f>
        <v>226.8</v>
      </c>
      <c r="C97" s="235">
        <v>0</v>
      </c>
      <c r="D97" s="235">
        <f>D53</f>
        <v>226.8</v>
      </c>
      <c r="E97" s="235">
        <f t="shared" si="6"/>
        <v>22752</v>
      </c>
      <c r="F97" s="546">
        <f t="shared" si="7"/>
        <v>56760</v>
      </c>
      <c r="G97" s="549">
        <f t="shared" si="3"/>
        <v>9968.354430379748</v>
      </c>
      <c r="H97" s="434">
        <f t="shared" si="8"/>
        <v>9.9683544303797479E-3</v>
      </c>
      <c r="I97" s="552">
        <f>C97/F97*1000000</f>
        <v>0</v>
      </c>
      <c r="J97" s="427">
        <f>I97/1000000</f>
        <v>0</v>
      </c>
      <c r="K97" s="426">
        <f t="shared" si="5"/>
        <v>3995.771670190275</v>
      </c>
      <c r="L97" s="434">
        <f t="shared" si="10"/>
        <v>3.9957716701902752E-3</v>
      </c>
    </row>
    <row r="98" spans="1:12">
      <c r="A98" s="151" t="s">
        <v>250</v>
      </c>
      <c r="B98" s="541">
        <f>C25*32/98</f>
        <v>564.24489795918362</v>
      </c>
      <c r="C98" s="235">
        <v>0</v>
      </c>
      <c r="D98" s="235">
        <f>B98</f>
        <v>564.24489795918362</v>
      </c>
      <c r="E98" s="235">
        <f t="shared" si="6"/>
        <v>22752</v>
      </c>
      <c r="F98" s="546">
        <f t="shared" si="7"/>
        <v>56760</v>
      </c>
      <c r="G98" s="549">
        <f t="shared" si="3"/>
        <v>24799.79333505554</v>
      </c>
      <c r="H98" s="434">
        <f t="shared" si="8"/>
        <v>2.4799793335055539E-2</v>
      </c>
      <c r="I98" s="552">
        <f t="shared" si="4"/>
        <v>0</v>
      </c>
      <c r="J98" s="427">
        <f t="shared" si="9"/>
        <v>0</v>
      </c>
      <c r="K98" s="426">
        <f t="shared" si="5"/>
        <v>9940.8896751089433</v>
      </c>
      <c r="L98" s="434">
        <f t="shared" si="10"/>
        <v>9.9408896751089441E-3</v>
      </c>
    </row>
    <row r="99" spans="1:12">
      <c r="A99" s="151" t="s">
        <v>251</v>
      </c>
      <c r="B99" s="541">
        <f>B97+B98</f>
        <v>791.04489795918357</v>
      </c>
      <c r="C99" s="235">
        <v>0</v>
      </c>
      <c r="D99" s="235">
        <f>D97+D98</f>
        <v>791.04489795918357</v>
      </c>
      <c r="E99" s="235">
        <f t="shared" si="6"/>
        <v>22752</v>
      </c>
      <c r="F99" s="546">
        <f t="shared" si="7"/>
        <v>56760</v>
      </c>
      <c r="G99" s="549">
        <f t="shared" si="3"/>
        <v>34768.147765435286</v>
      </c>
      <c r="H99" s="434">
        <f t="shared" si="8"/>
        <v>3.4768147765435284E-2</v>
      </c>
      <c r="I99" s="552">
        <f t="shared" si="4"/>
        <v>0</v>
      </c>
      <c r="J99" s="427">
        <f t="shared" si="9"/>
        <v>0</v>
      </c>
      <c r="K99" s="426">
        <f t="shared" si="5"/>
        <v>13936.661345299217</v>
      </c>
      <c r="L99" s="434">
        <f t="shared" si="10"/>
        <v>1.3936661345299218E-2</v>
      </c>
    </row>
    <row r="100" spans="1:12">
      <c r="A100" s="151" t="s">
        <v>238</v>
      </c>
      <c r="B100" s="541">
        <f>B99/32*96</f>
        <v>2373.1346938775505</v>
      </c>
      <c r="C100" s="235">
        <v>0</v>
      </c>
      <c r="D100" s="235">
        <f>D99/32*96</f>
        <v>2373.1346938775505</v>
      </c>
      <c r="E100" s="235">
        <f t="shared" si="6"/>
        <v>22752</v>
      </c>
      <c r="F100" s="546">
        <f t="shared" si="7"/>
        <v>56760</v>
      </c>
      <c r="G100" s="549">
        <f t="shared" si="3"/>
        <v>104304.44329630584</v>
      </c>
      <c r="H100" s="434">
        <f t="shared" si="8"/>
        <v>0.10430444329630584</v>
      </c>
      <c r="I100" s="552">
        <f t="shared" si="4"/>
        <v>0</v>
      </c>
      <c r="J100" s="427">
        <f t="shared" si="9"/>
        <v>0</v>
      </c>
      <c r="K100" s="426">
        <f t="shared" si="5"/>
        <v>41809.984035897651</v>
      </c>
      <c r="L100" s="434">
        <f t="shared" si="10"/>
        <v>4.1809984035897647E-2</v>
      </c>
    </row>
    <row r="101" spans="1:12">
      <c r="A101" s="151" t="s">
        <v>239</v>
      </c>
      <c r="B101" s="541">
        <f>B99/32*136</f>
        <v>3361.9408163265302</v>
      </c>
      <c r="C101" s="235">
        <v>0</v>
      </c>
      <c r="D101" s="235">
        <f>D99/32*136</f>
        <v>3361.9408163265302</v>
      </c>
      <c r="E101" s="235">
        <f t="shared" si="6"/>
        <v>22752</v>
      </c>
      <c r="F101" s="546">
        <f t="shared" si="7"/>
        <v>56760</v>
      </c>
      <c r="G101" s="549">
        <f t="shared" si="3"/>
        <v>147764.62800309993</v>
      </c>
      <c r="H101" s="434">
        <f t="shared" si="8"/>
        <v>0.14776462800309995</v>
      </c>
      <c r="I101" s="552">
        <f t="shared" si="4"/>
        <v>0</v>
      </c>
      <c r="J101" s="427">
        <f t="shared" si="9"/>
        <v>0</v>
      </c>
      <c r="K101" s="426">
        <f t="shared" si="5"/>
        <v>59230.810717521679</v>
      </c>
      <c r="L101" s="434">
        <f t="shared" si="10"/>
        <v>5.9230810717521676E-2</v>
      </c>
    </row>
    <row r="102" spans="1:12" ht="14.65" thickBot="1">
      <c r="A102" s="152" t="s">
        <v>86</v>
      </c>
      <c r="B102" s="542">
        <f>D54</f>
        <v>28.236000000000001</v>
      </c>
      <c r="C102" s="236">
        <f>E54</f>
        <v>7.2570684191029562</v>
      </c>
      <c r="D102" s="236">
        <f>F54</f>
        <v>20.978931580897044</v>
      </c>
      <c r="E102" s="236">
        <f t="shared" si="6"/>
        <v>22752</v>
      </c>
      <c r="F102" s="547">
        <f t="shared" si="7"/>
        <v>56760</v>
      </c>
      <c r="G102" s="550">
        <f t="shared" si="3"/>
        <v>1241.0337552742617</v>
      </c>
      <c r="H102" s="439">
        <f t="shared" si="8"/>
        <v>1.2410337552742616E-3</v>
      </c>
      <c r="I102" s="552">
        <f t="shared" si="4"/>
        <v>127.85532803211692</v>
      </c>
      <c r="J102" s="427">
        <f t="shared" si="9"/>
        <v>1.2785532803211692E-4</v>
      </c>
      <c r="K102" s="437">
        <f t="shared" si="5"/>
        <v>369.60767408204799</v>
      </c>
      <c r="L102" s="439">
        <f t="shared" si="10"/>
        <v>3.6960767408204798E-4</v>
      </c>
    </row>
    <row r="103" spans="1:12">
      <c r="A103" s="145"/>
      <c r="B103" s="146"/>
      <c r="C103" s="95"/>
    </row>
    <row r="104" spans="1:12">
      <c r="A104" s="1" t="s">
        <v>196</v>
      </c>
      <c r="B104" s="1"/>
      <c r="C104" s="1"/>
    </row>
    <row r="105" spans="1:12" ht="14.65" thickBot="1">
      <c r="A105" s="79" t="s">
        <v>365</v>
      </c>
    </row>
    <row r="106" spans="1:12" ht="14.65" thickBot="1">
      <c r="A106" s="453" t="s">
        <v>26</v>
      </c>
      <c r="B106" s="454" t="s">
        <v>27</v>
      </c>
      <c r="C106" s="455" t="s">
        <v>355</v>
      </c>
    </row>
    <row r="107" spans="1:12" ht="14.65" thickBot="1">
      <c r="A107" s="456">
        <v>0.54110338189613694</v>
      </c>
      <c r="B107" s="457">
        <v>0.45889661810386317</v>
      </c>
      <c r="C107" s="458">
        <v>0.63600000000000001</v>
      </c>
    </row>
    <row r="109" spans="1:12" ht="14.65" thickBot="1">
      <c r="A109" s="79" t="s">
        <v>287</v>
      </c>
    </row>
    <row r="110" spans="1:12">
      <c r="A110" s="18" t="s">
        <v>53</v>
      </c>
      <c r="B110" s="104" t="s">
        <v>18</v>
      </c>
      <c r="C110" s="15" t="s">
        <v>106</v>
      </c>
    </row>
    <row r="111" spans="1:12" ht="14.65" thickBot="1">
      <c r="A111" s="93" t="s">
        <v>4</v>
      </c>
      <c r="B111" s="271" t="s">
        <v>35</v>
      </c>
      <c r="C111" s="384">
        <f>C62</f>
        <v>56760</v>
      </c>
    </row>
    <row r="112" spans="1:12">
      <c r="A112" s="83"/>
      <c r="B112" s="77"/>
      <c r="C112" s="96"/>
    </row>
    <row r="113" spans="1:3" ht="14.65" thickBot="1">
      <c r="A113" s="79" t="s">
        <v>288</v>
      </c>
    </row>
    <row r="114" spans="1:3" ht="14.65" thickBot="1">
      <c r="A114" s="191" t="s">
        <v>90</v>
      </c>
      <c r="B114" s="192" t="s">
        <v>18</v>
      </c>
      <c r="C114" s="193" t="s">
        <v>91</v>
      </c>
    </row>
    <row r="115" spans="1:3">
      <c r="A115" s="272" t="s">
        <v>4</v>
      </c>
      <c r="B115" s="298" t="s">
        <v>35</v>
      </c>
      <c r="C115" s="313">
        <f>$C$62</f>
        <v>56760</v>
      </c>
    </row>
    <row r="116" spans="1:3">
      <c r="A116" s="257" t="s">
        <v>130</v>
      </c>
      <c r="B116" s="278" t="s">
        <v>24</v>
      </c>
      <c r="C116" s="314">
        <f>A107</f>
        <v>0.54110338189613694</v>
      </c>
    </row>
    <row r="117" spans="1:3">
      <c r="A117" s="253" t="s">
        <v>9</v>
      </c>
      <c r="B117" s="270" t="s">
        <v>35</v>
      </c>
      <c r="C117" s="254">
        <f>C115*C116</f>
        <v>30713.027956424732</v>
      </c>
    </row>
    <row r="118" spans="1:3">
      <c r="A118" s="257" t="s">
        <v>131</v>
      </c>
      <c r="B118" s="278" t="s">
        <v>24</v>
      </c>
      <c r="C118" s="314">
        <f>B107</f>
        <v>0.45889661810386317</v>
      </c>
    </row>
    <row r="119" spans="1:3">
      <c r="A119" s="253" t="s">
        <v>190</v>
      </c>
      <c r="B119" s="270" t="s">
        <v>35</v>
      </c>
      <c r="C119" s="322">
        <f>C115*C118</f>
        <v>26046.972043575275</v>
      </c>
    </row>
    <row r="120" spans="1:3">
      <c r="A120" s="281" t="s">
        <v>355</v>
      </c>
      <c r="B120" s="278" t="s">
        <v>24</v>
      </c>
      <c r="C120" s="318">
        <f>C107</f>
        <v>0.63600000000000001</v>
      </c>
    </row>
    <row r="121" spans="1:3">
      <c r="A121" s="281" t="s">
        <v>375</v>
      </c>
      <c r="B121" s="278" t="s">
        <v>35</v>
      </c>
      <c r="C121" s="289">
        <f>C119*C120</f>
        <v>16565.874219713874</v>
      </c>
    </row>
    <row r="122" spans="1:3">
      <c r="A122" s="281" t="s">
        <v>369</v>
      </c>
      <c r="B122" s="278" t="s">
        <v>24</v>
      </c>
      <c r="C122" s="318">
        <f>1-C120</f>
        <v>0.36399999999999999</v>
      </c>
    </row>
    <row r="123" spans="1:3" ht="14.65" thickBot="1">
      <c r="A123" s="319" t="s">
        <v>370</v>
      </c>
      <c r="B123" s="320" t="s">
        <v>35</v>
      </c>
      <c r="C123" s="321">
        <f>C119*C122</f>
        <v>9481.0978238614007</v>
      </c>
    </row>
    <row r="124" spans="1:3">
      <c r="A124" s="77"/>
      <c r="B124" s="77"/>
      <c r="C124" s="117"/>
    </row>
    <row r="125" spans="1:3" ht="14.65" thickBot="1">
      <c r="A125" s="79" t="s">
        <v>133</v>
      </c>
      <c r="B125" s="79"/>
      <c r="C125" s="79"/>
    </row>
    <row r="126" spans="1:3" ht="14.65" thickBot="1">
      <c r="A126" s="103" t="s">
        <v>90</v>
      </c>
      <c r="B126" s="102" t="s">
        <v>18</v>
      </c>
      <c r="C126" s="17" t="s">
        <v>106</v>
      </c>
    </row>
    <row r="127" spans="1:3">
      <c r="A127" s="276" t="s">
        <v>623</v>
      </c>
      <c r="B127" s="296" t="s">
        <v>35</v>
      </c>
      <c r="C127" s="297">
        <f>C22</f>
        <v>12000</v>
      </c>
    </row>
    <row r="128" spans="1:3">
      <c r="A128" s="257" t="s">
        <v>329</v>
      </c>
      <c r="B128" s="278" t="s">
        <v>35</v>
      </c>
      <c r="C128" s="295">
        <f>C25</f>
        <v>1727.9999999999998</v>
      </c>
    </row>
    <row r="129" spans="1:8">
      <c r="A129" s="257" t="s">
        <v>428</v>
      </c>
      <c r="B129" s="278" t="s">
        <v>35</v>
      </c>
      <c r="C129" s="295">
        <f>C31</f>
        <v>9024</v>
      </c>
    </row>
    <row r="130" spans="1:8">
      <c r="A130" s="281" t="s">
        <v>375</v>
      </c>
      <c r="B130" s="278" t="s">
        <v>35</v>
      </c>
      <c r="C130" s="289">
        <f>C121</f>
        <v>16565.874219713874</v>
      </c>
    </row>
    <row r="131" spans="1:8">
      <c r="A131" s="257" t="s">
        <v>341</v>
      </c>
      <c r="B131" s="278" t="s">
        <v>35</v>
      </c>
      <c r="C131" s="279">
        <f>C127+C128+C129-C130</f>
        <v>6186.1257802861255</v>
      </c>
    </row>
    <row r="132" spans="1:8">
      <c r="A132" s="257" t="s">
        <v>9</v>
      </c>
      <c r="B132" s="278" t="s">
        <v>35</v>
      </c>
      <c r="C132" s="279">
        <f>C117</f>
        <v>30713.027956424732</v>
      </c>
    </row>
    <row r="133" spans="1:8">
      <c r="A133" s="299" t="s">
        <v>64</v>
      </c>
      <c r="B133" s="260" t="s">
        <v>24</v>
      </c>
      <c r="C133" s="300">
        <f>C131/C132</f>
        <v>0.20141699441236874</v>
      </c>
    </row>
    <row r="134" spans="1:8">
      <c r="A134" s="257" t="s">
        <v>366</v>
      </c>
      <c r="B134" s="278" t="s">
        <v>35</v>
      </c>
      <c r="C134" s="279">
        <f>C24</f>
        <v>34008</v>
      </c>
    </row>
    <row r="135" spans="1:8">
      <c r="A135" s="281" t="s">
        <v>370</v>
      </c>
      <c r="B135" s="278" t="s">
        <v>35</v>
      </c>
      <c r="C135" s="289">
        <f>C123</f>
        <v>9481.0978238614007</v>
      </c>
    </row>
    <row r="136" spans="1:8">
      <c r="A136" s="257" t="s">
        <v>342</v>
      </c>
      <c r="B136" s="278" t="s">
        <v>35</v>
      </c>
      <c r="C136" s="279">
        <f>C134-C135</f>
        <v>24526.902176138599</v>
      </c>
    </row>
    <row r="137" spans="1:8">
      <c r="A137" s="257" t="s">
        <v>9</v>
      </c>
      <c r="B137" s="278" t="s">
        <v>35</v>
      </c>
      <c r="C137" s="279">
        <f>C117</f>
        <v>30713.027956424732</v>
      </c>
    </row>
    <row r="138" spans="1:8" ht="14.65" thickBot="1">
      <c r="A138" s="301" t="s">
        <v>66</v>
      </c>
      <c r="B138" s="277" t="s">
        <v>24</v>
      </c>
      <c r="C138" s="303">
        <f>C136/C137</f>
        <v>0.79858300558763096</v>
      </c>
    </row>
    <row r="139" spans="1:8">
      <c r="A139" s="77"/>
      <c r="B139" s="77"/>
      <c r="C139" s="117"/>
    </row>
    <row r="140" spans="1:8" ht="14.65" thickBot="1">
      <c r="A140" s="79" t="s">
        <v>135</v>
      </c>
    </row>
    <row r="141" spans="1:8" ht="14.65" thickBot="1">
      <c r="A141" s="419"/>
      <c r="B141" s="1028" t="s">
        <v>262</v>
      </c>
      <c r="C141" s="1029"/>
      <c r="D141" s="1031"/>
      <c r="E141" s="1036" t="s">
        <v>263</v>
      </c>
      <c r="F141" s="1037"/>
      <c r="G141" s="1037"/>
      <c r="H141" s="1038"/>
    </row>
    <row r="142" spans="1:8">
      <c r="A142" s="92" t="s">
        <v>93</v>
      </c>
      <c r="B142" s="377" t="s">
        <v>243</v>
      </c>
      <c r="C142" s="491" t="s">
        <v>341</v>
      </c>
      <c r="D142" s="492" t="s">
        <v>281</v>
      </c>
      <c r="E142" s="1039" t="s">
        <v>269</v>
      </c>
      <c r="F142" s="1040"/>
      <c r="G142" s="1022" t="s">
        <v>282</v>
      </c>
      <c r="H142" s="1023"/>
    </row>
    <row r="143" spans="1:8" ht="14.65" thickBot="1">
      <c r="A143" s="93" t="s">
        <v>18</v>
      </c>
      <c r="B143" s="403" t="s">
        <v>35</v>
      </c>
      <c r="C143" s="154" t="s">
        <v>35</v>
      </c>
      <c r="D143" s="155" t="s">
        <v>35</v>
      </c>
      <c r="E143" s="153" t="s">
        <v>257</v>
      </c>
      <c r="F143" s="423" t="s">
        <v>237</v>
      </c>
      <c r="G143" s="403" t="s">
        <v>71</v>
      </c>
      <c r="H143" s="155" t="s">
        <v>237</v>
      </c>
    </row>
    <row r="144" spans="1:8">
      <c r="A144" s="148" t="s">
        <v>72</v>
      </c>
      <c r="B144" s="540">
        <f>C82</f>
        <v>165.98976432954106</v>
      </c>
      <c r="C144" s="428">
        <f>$C$131</f>
        <v>6186.1257802861255</v>
      </c>
      <c r="D144" s="545">
        <f>$C$117</f>
        <v>30713.027956424732</v>
      </c>
      <c r="E144" s="557">
        <f>B144/C144*1000000</f>
        <v>26832.587992070145</v>
      </c>
      <c r="F144" s="554">
        <f>E144/1000000</f>
        <v>2.6832587992070143E-2</v>
      </c>
      <c r="G144" s="557">
        <f>B144/D144*1000000</f>
        <v>5404.5392256681853</v>
      </c>
      <c r="H144" s="433">
        <f>G144/1000000</f>
        <v>5.4045392256681854E-3</v>
      </c>
    </row>
    <row r="145" spans="1:8">
      <c r="A145" s="149" t="s">
        <v>73</v>
      </c>
      <c r="B145" s="541">
        <f>C83</f>
        <v>0.17314080232283449</v>
      </c>
      <c r="C145" s="235">
        <f t="shared" ref="C145:C164" si="11">$C$131</f>
        <v>6186.1257802861255</v>
      </c>
      <c r="D145" s="546">
        <f t="shared" ref="D145:D164" si="12">$C$117</f>
        <v>30713.027956424732</v>
      </c>
      <c r="E145" s="558">
        <f t="shared" ref="E145:E164" si="13">B145/C145*1000000</f>
        <v>27.988568042796285</v>
      </c>
      <c r="F145" s="555">
        <f t="shared" ref="F145:H160" si="14">E145/1000000</f>
        <v>2.7988568042796286E-5</v>
      </c>
      <c r="G145" s="558">
        <f t="shared" ref="G145:G164" si="15">B145/D145*1000000</f>
        <v>5.6373732530861025</v>
      </c>
      <c r="H145" s="434">
        <f t="shared" si="14"/>
        <v>5.6373732530861025E-6</v>
      </c>
    </row>
    <row r="146" spans="1:8">
      <c r="A146" s="149" t="s">
        <v>74</v>
      </c>
      <c r="B146" s="541">
        <f>C84</f>
        <v>450.27935403260932</v>
      </c>
      <c r="C146" s="235">
        <f t="shared" si="11"/>
        <v>6186.1257802861255</v>
      </c>
      <c r="D146" s="546">
        <f t="shared" si="12"/>
        <v>30713.027956424732</v>
      </c>
      <c r="E146" s="558">
        <f t="shared" si="13"/>
        <v>72788.58691615265</v>
      </c>
      <c r="F146" s="555">
        <f t="shared" si="14"/>
        <v>7.2788586916152656E-2</v>
      </c>
      <c r="G146" s="558">
        <f t="shared" si="15"/>
        <v>14660.858404174936</v>
      </c>
      <c r="H146" s="434">
        <f t="shared" si="14"/>
        <v>1.4660858404174937E-2</v>
      </c>
    </row>
    <row r="147" spans="1:8">
      <c r="A147" s="149" t="s">
        <v>75</v>
      </c>
      <c r="B147" s="541">
        <f>B85*0.56</f>
        <v>2.3520000000000003E-2</v>
      </c>
      <c r="C147" s="235">
        <f t="shared" si="11"/>
        <v>6186.1257802861255</v>
      </c>
      <c r="D147" s="546">
        <f t="shared" si="12"/>
        <v>30713.027956424732</v>
      </c>
      <c r="E147" s="558">
        <f t="shared" si="13"/>
        <v>3.8020565432007976</v>
      </c>
      <c r="F147" s="555">
        <f t="shared" si="14"/>
        <v>3.8020565432007976E-6</v>
      </c>
      <c r="G147" s="558">
        <f t="shared" si="15"/>
        <v>0.76579880151738511</v>
      </c>
      <c r="H147" s="434">
        <f t="shared" si="14"/>
        <v>7.6579880151738512E-7</v>
      </c>
    </row>
    <row r="148" spans="1:8">
      <c r="A148" s="149" t="s">
        <v>76</v>
      </c>
      <c r="B148" s="541">
        <f>C86</f>
        <v>0.26464265446041685</v>
      </c>
      <c r="C148" s="235">
        <f t="shared" si="11"/>
        <v>6186.1257802861255</v>
      </c>
      <c r="D148" s="546">
        <f t="shared" si="12"/>
        <v>30713.027956424732</v>
      </c>
      <c r="E148" s="558">
        <f t="shared" si="13"/>
        <v>42.780031292570392</v>
      </c>
      <c r="F148" s="555">
        <f t="shared" si="14"/>
        <v>4.2780031292570389E-5</v>
      </c>
      <c r="G148" s="558">
        <f t="shared" si="15"/>
        <v>8.6166253238166099</v>
      </c>
      <c r="H148" s="434">
        <f t="shared" si="14"/>
        <v>8.6166253238166095E-6</v>
      </c>
    </row>
    <row r="149" spans="1:8">
      <c r="A149" s="150" t="s">
        <v>77</v>
      </c>
      <c r="B149" s="541">
        <f>C87</f>
        <v>1.9488449114376936</v>
      </c>
      <c r="C149" s="235">
        <f t="shared" si="11"/>
        <v>6186.1257802861255</v>
      </c>
      <c r="D149" s="546">
        <f t="shared" si="12"/>
        <v>30713.027956424732</v>
      </c>
      <c r="E149" s="558">
        <f t="shared" si="13"/>
        <v>315.03480217751957</v>
      </c>
      <c r="F149" s="555">
        <f t="shared" si="14"/>
        <v>3.1503480217751957E-4</v>
      </c>
      <c r="G149" s="558">
        <f t="shared" si="15"/>
        <v>63.453362989891161</v>
      </c>
      <c r="H149" s="434">
        <f t="shared" si="14"/>
        <v>6.345336298989116E-5</v>
      </c>
    </row>
    <row r="150" spans="1:8">
      <c r="A150" s="150" t="s">
        <v>78</v>
      </c>
      <c r="B150" s="541">
        <f>C88</f>
        <v>219.71852357742503</v>
      </c>
      <c r="C150" s="235">
        <f t="shared" si="11"/>
        <v>6186.1257802861255</v>
      </c>
      <c r="D150" s="546">
        <f t="shared" si="12"/>
        <v>30713.027956424732</v>
      </c>
      <c r="E150" s="558">
        <f t="shared" si="13"/>
        <v>35517.952815899975</v>
      </c>
      <c r="F150" s="555">
        <f t="shared" si="14"/>
        <v>3.5517952815899978E-2</v>
      </c>
      <c r="G150" s="558">
        <f t="shared" si="15"/>
        <v>7153.9193038589019</v>
      </c>
      <c r="H150" s="434">
        <f t="shared" si="14"/>
        <v>7.1539193038589015E-3</v>
      </c>
    </row>
    <row r="151" spans="1:8">
      <c r="A151" s="150" t="s">
        <v>79</v>
      </c>
      <c r="B151" s="541">
        <f>C89</f>
        <v>35.864099256710965</v>
      </c>
      <c r="C151" s="235">
        <f t="shared" si="11"/>
        <v>6186.1257802861255</v>
      </c>
      <c r="D151" s="546">
        <f t="shared" si="12"/>
        <v>30713.027956424732</v>
      </c>
      <c r="E151" s="558">
        <f t="shared" si="13"/>
        <v>5797.5056651777541</v>
      </c>
      <c r="F151" s="555">
        <f t="shared" si="14"/>
        <v>5.7975056651777537E-3</v>
      </c>
      <c r="G151" s="558">
        <f t="shared" si="15"/>
        <v>1167.716166168784</v>
      </c>
      <c r="H151" s="434">
        <f t="shared" si="14"/>
        <v>1.1677161661687839E-3</v>
      </c>
    </row>
    <row r="152" spans="1:8">
      <c r="A152" s="150" t="s">
        <v>80</v>
      </c>
      <c r="B152" s="541">
        <f>C90</f>
        <v>66.734565408625116</v>
      </c>
      <c r="C152" s="235">
        <f t="shared" si="11"/>
        <v>6186.1257802861255</v>
      </c>
      <c r="D152" s="546">
        <f t="shared" si="12"/>
        <v>30713.027956424732</v>
      </c>
      <c r="E152" s="558">
        <f t="shared" si="13"/>
        <v>10787.780232547819</v>
      </c>
      <c r="F152" s="555">
        <f t="shared" si="14"/>
        <v>1.0787780232547818E-2</v>
      </c>
      <c r="G152" s="558">
        <f t="shared" si="15"/>
        <v>2172.8422708209459</v>
      </c>
      <c r="H152" s="434">
        <f t="shared" si="14"/>
        <v>2.1728422708209459E-3</v>
      </c>
    </row>
    <row r="153" spans="1:8">
      <c r="A153" s="150" t="s">
        <v>81</v>
      </c>
      <c r="B153" s="541">
        <f>C91</f>
        <v>37.24435889358238</v>
      </c>
      <c r="C153" s="235">
        <f t="shared" si="11"/>
        <v>6186.1257802861255</v>
      </c>
      <c r="D153" s="546">
        <f t="shared" si="12"/>
        <v>30713.027956424732</v>
      </c>
      <c r="E153" s="558">
        <f t="shared" si="13"/>
        <v>6020.6274842118919</v>
      </c>
      <c r="F153" s="555">
        <f t="shared" si="14"/>
        <v>6.0206274842118917E-3</v>
      </c>
      <c r="G153" s="558">
        <f t="shared" si="15"/>
        <v>1212.6566923464602</v>
      </c>
      <c r="H153" s="434">
        <f t="shared" si="14"/>
        <v>1.2126566923464602E-3</v>
      </c>
    </row>
    <row r="154" spans="1:8">
      <c r="A154" s="150" t="s">
        <v>82</v>
      </c>
      <c r="B154" s="541">
        <f>C92</f>
        <v>0.46087752978682439</v>
      </c>
      <c r="C154" s="235">
        <f t="shared" si="11"/>
        <v>6186.1257802861255</v>
      </c>
      <c r="D154" s="546">
        <f t="shared" si="12"/>
        <v>30713.027956424732</v>
      </c>
      <c r="E154" s="558">
        <f t="shared" si="13"/>
        <v>74.501803900519391</v>
      </c>
      <c r="F154" s="555">
        <f t="shared" si="14"/>
        <v>7.4501803900519392E-5</v>
      </c>
      <c r="G154" s="558">
        <f t="shared" si="15"/>
        <v>15.005929419942305</v>
      </c>
      <c r="H154" s="434">
        <f t="shared" si="14"/>
        <v>1.5005929419942305E-5</v>
      </c>
    </row>
    <row r="155" spans="1:8">
      <c r="A155" s="150" t="s">
        <v>630</v>
      </c>
      <c r="B155" s="541">
        <f>B93*0.56</f>
        <v>548.47296000000006</v>
      </c>
      <c r="C155" s="235">
        <f t="shared" si="11"/>
        <v>6186.1257802861255</v>
      </c>
      <c r="D155" s="546">
        <f t="shared" si="12"/>
        <v>30713.027956424732</v>
      </c>
      <c r="E155" s="558">
        <f t="shared" si="13"/>
        <v>88661.785983703623</v>
      </c>
      <c r="F155" s="555">
        <f t="shared" si="14"/>
        <v>8.8661785983703625E-2</v>
      </c>
      <c r="G155" s="558">
        <f t="shared" si="15"/>
        <v>17857.990452070266</v>
      </c>
      <c r="H155" s="434">
        <f t="shared" si="14"/>
        <v>1.7857990452070267E-2</v>
      </c>
    </row>
    <row r="156" spans="1:8">
      <c r="A156" s="151" t="s">
        <v>96</v>
      </c>
      <c r="B156" s="541">
        <f>B94*0.56</f>
        <v>1598.537142857143</v>
      </c>
      <c r="C156" s="235">
        <f t="shared" si="11"/>
        <v>6186.1257802861255</v>
      </c>
      <c r="D156" s="546">
        <f t="shared" si="12"/>
        <v>30713.027956424732</v>
      </c>
      <c r="E156" s="558">
        <f t="shared" si="13"/>
        <v>258406.82838220696</v>
      </c>
      <c r="F156" s="555">
        <f t="shared" si="14"/>
        <v>0.25840682838220697</v>
      </c>
      <c r="G156" s="558">
        <f t="shared" si="15"/>
        <v>52047.526708376907</v>
      </c>
      <c r="H156" s="434">
        <f t="shared" si="14"/>
        <v>5.2047526708376909E-2</v>
      </c>
    </row>
    <row r="157" spans="1:8">
      <c r="A157" s="150" t="s">
        <v>97</v>
      </c>
      <c r="B157" s="541">
        <f>B155+B156</f>
        <v>2147.010102857143</v>
      </c>
      <c r="C157" s="235">
        <f t="shared" si="11"/>
        <v>6186.1257802861255</v>
      </c>
      <c r="D157" s="546">
        <f t="shared" si="12"/>
        <v>30713.027956424732</v>
      </c>
      <c r="E157" s="558">
        <f t="shared" si="13"/>
        <v>347068.61436591059</v>
      </c>
      <c r="F157" s="555">
        <f t="shared" si="14"/>
        <v>0.34706861436591058</v>
      </c>
      <c r="G157" s="558">
        <f t="shared" si="15"/>
        <v>69905.517160447183</v>
      </c>
      <c r="H157" s="434">
        <f t="shared" si="14"/>
        <v>6.9905517160447184E-2</v>
      </c>
    </row>
    <row r="158" spans="1:8">
      <c r="A158" s="151" t="s">
        <v>84</v>
      </c>
      <c r="B158" s="541">
        <f>C96</f>
        <v>9.1801009653789414E-2</v>
      </c>
      <c r="C158" s="235">
        <f t="shared" si="11"/>
        <v>6186.1257802861255</v>
      </c>
      <c r="D158" s="546">
        <f t="shared" si="12"/>
        <v>30713.027956424732</v>
      </c>
      <c r="E158" s="558">
        <f t="shared" si="13"/>
        <v>14.839822679703639</v>
      </c>
      <c r="F158" s="555">
        <f t="shared" si="14"/>
        <v>1.4839822679703638E-5</v>
      </c>
      <c r="G158" s="558">
        <f t="shared" si="15"/>
        <v>2.9889924817584106</v>
      </c>
      <c r="H158" s="434">
        <f t="shared" si="14"/>
        <v>2.9889924817584107E-6</v>
      </c>
    </row>
    <row r="159" spans="1:8">
      <c r="A159" s="151" t="s">
        <v>631</v>
      </c>
      <c r="B159" s="541">
        <f>C97</f>
        <v>0</v>
      </c>
      <c r="C159" s="235">
        <f t="shared" si="11"/>
        <v>6186.1257802861255</v>
      </c>
      <c r="D159" s="546">
        <f t="shared" si="12"/>
        <v>30713.027956424732</v>
      </c>
      <c r="E159" s="558">
        <f t="shared" si="13"/>
        <v>0</v>
      </c>
      <c r="F159" s="555">
        <f t="shared" si="14"/>
        <v>0</v>
      </c>
      <c r="G159" s="558">
        <f t="shared" si="15"/>
        <v>0</v>
      </c>
      <c r="H159" s="434">
        <f t="shared" si="14"/>
        <v>0</v>
      </c>
    </row>
    <row r="160" spans="1:8">
      <c r="A160" s="151" t="s">
        <v>250</v>
      </c>
      <c r="B160" s="541">
        <f>C98</f>
        <v>0</v>
      </c>
      <c r="C160" s="235">
        <f t="shared" si="11"/>
        <v>6186.1257802861255</v>
      </c>
      <c r="D160" s="546">
        <f t="shared" si="12"/>
        <v>30713.027956424732</v>
      </c>
      <c r="E160" s="558">
        <f t="shared" si="13"/>
        <v>0</v>
      </c>
      <c r="F160" s="555">
        <f t="shared" si="14"/>
        <v>0</v>
      </c>
      <c r="G160" s="558">
        <f t="shared" si="15"/>
        <v>0</v>
      </c>
      <c r="H160" s="434">
        <f t="shared" si="14"/>
        <v>0</v>
      </c>
    </row>
    <row r="161" spans="1:8">
      <c r="A161" s="151" t="s">
        <v>251</v>
      </c>
      <c r="B161" s="541">
        <f>C99</f>
        <v>0</v>
      </c>
      <c r="C161" s="235">
        <f t="shared" si="11"/>
        <v>6186.1257802861255</v>
      </c>
      <c r="D161" s="546">
        <f t="shared" si="12"/>
        <v>30713.027956424732</v>
      </c>
      <c r="E161" s="558">
        <f t="shared" si="13"/>
        <v>0</v>
      </c>
      <c r="F161" s="555">
        <f t="shared" ref="F161:F162" si="16">E161/1000000</f>
        <v>0</v>
      </c>
      <c r="G161" s="558">
        <f t="shared" si="15"/>
        <v>0</v>
      </c>
      <c r="H161" s="434">
        <f t="shared" ref="H161" si="17">G161/1000000</f>
        <v>0</v>
      </c>
    </row>
    <row r="162" spans="1:8">
      <c r="A162" s="151" t="s">
        <v>238</v>
      </c>
      <c r="B162" s="541">
        <f>C100</f>
        <v>0</v>
      </c>
      <c r="C162" s="235">
        <f t="shared" si="11"/>
        <v>6186.1257802861255</v>
      </c>
      <c r="D162" s="546">
        <f t="shared" si="12"/>
        <v>30713.027956424732</v>
      </c>
      <c r="E162" s="558">
        <f t="shared" si="13"/>
        <v>0</v>
      </c>
      <c r="F162" s="555">
        <f t="shared" si="16"/>
        <v>0</v>
      </c>
      <c r="G162" s="558">
        <f t="shared" si="15"/>
        <v>0</v>
      </c>
      <c r="H162" s="434">
        <f t="shared" ref="H162:H164" si="18">G162/1000000</f>
        <v>0</v>
      </c>
    </row>
    <row r="163" spans="1:8">
      <c r="A163" s="151" t="s">
        <v>239</v>
      </c>
      <c r="B163" s="541">
        <f>C101</f>
        <v>0</v>
      </c>
      <c r="C163" s="235">
        <f t="shared" si="11"/>
        <v>6186.1257802861255</v>
      </c>
      <c r="D163" s="546">
        <f t="shared" si="12"/>
        <v>30713.027956424732</v>
      </c>
      <c r="E163" s="558">
        <f t="shared" si="13"/>
        <v>0</v>
      </c>
      <c r="F163" s="555">
        <f t="shared" ref="F163:F164" si="19">E163/1000000</f>
        <v>0</v>
      </c>
      <c r="G163" s="558">
        <f t="shared" si="15"/>
        <v>0</v>
      </c>
      <c r="H163" s="434">
        <f t="shared" si="18"/>
        <v>0</v>
      </c>
    </row>
    <row r="164" spans="1:8" ht="14.65" thickBot="1">
      <c r="A164" s="152" t="s">
        <v>86</v>
      </c>
      <c r="B164" s="542">
        <f>C102</f>
        <v>7.2570684191029562</v>
      </c>
      <c r="C164" s="236">
        <f t="shared" si="11"/>
        <v>6186.1257802861255</v>
      </c>
      <c r="D164" s="547">
        <f t="shared" si="12"/>
        <v>30713.027956424732</v>
      </c>
      <c r="E164" s="558">
        <f t="shared" si="13"/>
        <v>1173.1200878956743</v>
      </c>
      <c r="F164" s="555">
        <f t="shared" si="19"/>
        <v>1.1731200878956742E-3</v>
      </c>
      <c r="G164" s="558">
        <f t="shared" si="15"/>
        <v>236.28632218872056</v>
      </c>
      <c r="H164" s="434">
        <f t="shared" si="18"/>
        <v>2.3628632218872055E-4</v>
      </c>
    </row>
    <row r="165" spans="1:8">
      <c r="A165" s="145"/>
      <c r="B165" s="146"/>
      <c r="C165" s="95"/>
    </row>
    <row r="166" spans="1:8" ht="14.65" thickBot="1">
      <c r="A166" s="79" t="s">
        <v>197</v>
      </c>
    </row>
    <row r="167" spans="1:8" ht="14.65" thickBot="1">
      <c r="A167" s="419"/>
      <c r="B167" s="1028" t="s">
        <v>262</v>
      </c>
      <c r="C167" s="1029"/>
      <c r="D167" s="1031"/>
      <c r="E167" s="1036" t="s">
        <v>263</v>
      </c>
      <c r="F167" s="1037"/>
      <c r="G167" s="1037"/>
      <c r="H167" s="1038"/>
    </row>
    <row r="168" spans="1:8">
      <c r="A168" s="92" t="s">
        <v>93</v>
      </c>
      <c r="B168" s="377" t="s">
        <v>256</v>
      </c>
      <c r="C168" s="491" t="s">
        <v>375</v>
      </c>
      <c r="D168" s="492" t="s">
        <v>286</v>
      </c>
      <c r="E168" s="1039" t="s">
        <v>269</v>
      </c>
      <c r="F168" s="1040"/>
      <c r="G168" s="1022" t="s">
        <v>258</v>
      </c>
      <c r="H168" s="1023"/>
    </row>
    <row r="169" spans="1:8" ht="14.65" thickBot="1">
      <c r="A169" s="93" t="s">
        <v>18</v>
      </c>
      <c r="B169" s="403" t="s">
        <v>35</v>
      </c>
      <c r="C169" s="154" t="s">
        <v>35</v>
      </c>
      <c r="D169" s="155" t="s">
        <v>35</v>
      </c>
      <c r="E169" s="153" t="s">
        <v>257</v>
      </c>
      <c r="F169" s="423" t="s">
        <v>237</v>
      </c>
      <c r="G169" s="403" t="s">
        <v>71</v>
      </c>
      <c r="H169" s="155" t="s">
        <v>237</v>
      </c>
    </row>
    <row r="170" spans="1:8">
      <c r="A170" s="222" t="s">
        <v>72</v>
      </c>
      <c r="B170" s="540">
        <f>D82</f>
        <v>302.034235670459</v>
      </c>
      <c r="C170" s="428">
        <f>$C$121</f>
        <v>16565.874219713874</v>
      </c>
      <c r="D170" s="382">
        <f>$C$119</f>
        <v>26046.972043575275</v>
      </c>
      <c r="E170" s="551">
        <f>B170/C170*1000000</f>
        <v>18232.314918281187</v>
      </c>
      <c r="F170" s="554">
        <f>E170/1000000</f>
        <v>1.8232314918281187E-2</v>
      </c>
      <c r="G170" s="557">
        <f>B170/D170*1000000</f>
        <v>11595.752288026833</v>
      </c>
      <c r="H170" s="433">
        <f>G170/1000000</f>
        <v>1.1595752288026834E-2</v>
      </c>
    </row>
    <row r="171" spans="1:8">
      <c r="A171" s="149" t="s">
        <v>73</v>
      </c>
      <c r="B171" s="541">
        <f>D83</f>
        <v>0.17005919767716551</v>
      </c>
      <c r="C171" s="235">
        <f t="shared" ref="C171:C190" si="20">$C$121</f>
        <v>16565.874219713874</v>
      </c>
      <c r="D171" s="82">
        <f t="shared" ref="D171:D190" si="21">$C$119</f>
        <v>26046.972043575275</v>
      </c>
      <c r="E171" s="552">
        <f t="shared" ref="E171:E190" si="22">B171/C171*1000000</f>
        <v>10.265633761409953</v>
      </c>
      <c r="F171" s="555">
        <f t="shared" ref="F171:H186" si="23">E171/1000000</f>
        <v>1.0265633761409953E-5</v>
      </c>
      <c r="G171" s="558">
        <f t="shared" ref="G171:G190" si="24">B171/D171*1000000</f>
        <v>6.5289430722567294</v>
      </c>
      <c r="H171" s="434">
        <f t="shared" si="23"/>
        <v>6.5289430722567296E-6</v>
      </c>
    </row>
    <row r="172" spans="1:8">
      <c r="A172" s="149" t="s">
        <v>74</v>
      </c>
      <c r="B172" s="541">
        <f>D84</f>
        <v>1457.7206459673907</v>
      </c>
      <c r="C172" s="235">
        <f t="shared" si="20"/>
        <v>16565.874219713874</v>
      </c>
      <c r="D172" s="82">
        <f t="shared" si="21"/>
        <v>26046.972043575275</v>
      </c>
      <c r="E172" s="552">
        <f t="shared" si="22"/>
        <v>87995.395029177555</v>
      </c>
      <c r="F172" s="555">
        <f t="shared" si="23"/>
        <v>8.7995395029177553E-2</v>
      </c>
      <c r="G172" s="558">
        <f t="shared" si="24"/>
        <v>55965.071238556913</v>
      </c>
      <c r="H172" s="434">
        <f t="shared" si="23"/>
        <v>5.5965071238556915E-2</v>
      </c>
    </row>
    <row r="173" spans="1:8">
      <c r="A173" s="149" t="s">
        <v>75</v>
      </c>
      <c r="B173" s="541">
        <f>B85*0.44</f>
        <v>1.848E-2</v>
      </c>
      <c r="C173" s="235">
        <f t="shared" si="20"/>
        <v>16565.874219713874</v>
      </c>
      <c r="D173" s="82">
        <f t="shared" si="21"/>
        <v>26046.972043575275</v>
      </c>
      <c r="E173" s="552">
        <f t="shared" si="22"/>
        <v>1.1155463185883823</v>
      </c>
      <c r="F173" s="555">
        <f t="shared" si="23"/>
        <v>1.1155463185883822E-6</v>
      </c>
      <c r="G173" s="558">
        <f t="shared" si="24"/>
        <v>0.70948745862221096</v>
      </c>
      <c r="H173" s="434">
        <f t="shared" si="23"/>
        <v>7.09487458622211E-7</v>
      </c>
    </row>
    <row r="174" spans="1:8">
      <c r="A174" s="149" t="s">
        <v>76</v>
      </c>
      <c r="B174" s="541">
        <f>D86</f>
        <v>1.3673573455395831</v>
      </c>
      <c r="C174" s="235">
        <f t="shared" si="20"/>
        <v>16565.874219713874</v>
      </c>
      <c r="D174" s="82">
        <f t="shared" si="21"/>
        <v>26046.972043575275</v>
      </c>
      <c r="E174" s="552">
        <f t="shared" si="22"/>
        <v>82.540608929191791</v>
      </c>
      <c r="F174" s="555">
        <f t="shared" si="23"/>
        <v>8.2540608929191785E-5</v>
      </c>
      <c r="G174" s="558">
        <f t="shared" si="24"/>
        <v>52.495827278965976</v>
      </c>
      <c r="H174" s="434">
        <f t="shared" si="23"/>
        <v>5.2495827278965978E-5</v>
      </c>
    </row>
    <row r="175" spans="1:8">
      <c r="A175" s="150" t="s">
        <v>77</v>
      </c>
      <c r="B175" s="541">
        <f>D87</f>
        <v>5.9231550885623054</v>
      </c>
      <c r="C175" s="235">
        <f t="shared" si="20"/>
        <v>16565.874219713874</v>
      </c>
      <c r="D175" s="82">
        <f t="shared" si="21"/>
        <v>26046.972043575275</v>
      </c>
      <c r="E175" s="552">
        <f t="shared" si="22"/>
        <v>357.55161544771221</v>
      </c>
      <c r="F175" s="555">
        <f t="shared" si="23"/>
        <v>3.5755161544771222E-4</v>
      </c>
      <c r="G175" s="558">
        <f t="shared" si="24"/>
        <v>227.402827424745</v>
      </c>
      <c r="H175" s="434">
        <f t="shared" si="23"/>
        <v>2.2740282742474499E-4</v>
      </c>
    </row>
    <row r="176" spans="1:8">
      <c r="A176" s="150" t="s">
        <v>78</v>
      </c>
      <c r="B176" s="541">
        <f>D88</f>
        <v>831.20547642257486</v>
      </c>
      <c r="C176" s="235">
        <f t="shared" si="20"/>
        <v>16565.874219713874</v>
      </c>
      <c r="D176" s="82">
        <f t="shared" si="21"/>
        <v>26046.972043575275</v>
      </c>
      <c r="E176" s="552">
        <f t="shared" si="22"/>
        <v>50175.768896845548</v>
      </c>
      <c r="F176" s="555">
        <f t="shared" si="23"/>
        <v>5.0175768896845545E-2</v>
      </c>
      <c r="G176" s="558">
        <f t="shared" si="24"/>
        <v>31911.789018393763</v>
      </c>
      <c r="H176" s="434">
        <f t="shared" si="23"/>
        <v>3.1911789018393762E-2</v>
      </c>
    </row>
    <row r="177" spans="1:8">
      <c r="A177" s="150" t="s">
        <v>79</v>
      </c>
      <c r="B177" s="541">
        <f>D89</f>
        <v>62.89590074328904</v>
      </c>
      <c r="C177" s="235">
        <f t="shared" si="20"/>
        <v>16565.874219713874</v>
      </c>
      <c r="D177" s="82">
        <f t="shared" si="21"/>
        <v>26046.972043575275</v>
      </c>
      <c r="E177" s="552">
        <f t="shared" si="22"/>
        <v>3796.7148554370333</v>
      </c>
      <c r="F177" s="555">
        <f t="shared" si="23"/>
        <v>3.7967148554370334E-3</v>
      </c>
      <c r="G177" s="558">
        <f t="shared" si="24"/>
        <v>2414.7106480579532</v>
      </c>
      <c r="H177" s="434">
        <f t="shared" si="23"/>
        <v>2.4147106480579533E-3</v>
      </c>
    </row>
    <row r="178" spans="1:8">
      <c r="A178" s="150" t="s">
        <v>80</v>
      </c>
      <c r="B178" s="541">
        <f>D90</f>
        <v>88.065434591374881</v>
      </c>
      <c r="C178" s="235">
        <f t="shared" si="20"/>
        <v>16565.874219713874</v>
      </c>
      <c r="D178" s="82">
        <f t="shared" si="21"/>
        <v>26046.972043575275</v>
      </c>
      <c r="E178" s="552">
        <f t="shared" si="22"/>
        <v>5316.0752896804224</v>
      </c>
      <c r="F178" s="555">
        <f t="shared" si="23"/>
        <v>5.3160752896804228E-3</v>
      </c>
      <c r="G178" s="558">
        <f t="shared" si="24"/>
        <v>3381.0238842367489</v>
      </c>
      <c r="H178" s="434">
        <f t="shared" si="23"/>
        <v>3.3810238842367489E-3</v>
      </c>
    </row>
    <row r="179" spans="1:8">
      <c r="A179" s="150" t="s">
        <v>81</v>
      </c>
      <c r="B179" s="541">
        <f>D91</f>
        <v>59.955641106417616</v>
      </c>
      <c r="C179" s="235">
        <f t="shared" si="20"/>
        <v>16565.874219713874</v>
      </c>
      <c r="D179" s="82">
        <f t="shared" si="21"/>
        <v>26046.972043575275</v>
      </c>
      <c r="E179" s="552">
        <f t="shared" si="22"/>
        <v>3619.2259044843313</v>
      </c>
      <c r="F179" s="555">
        <f t="shared" si="23"/>
        <v>3.6192259044843314E-3</v>
      </c>
      <c r="G179" s="558">
        <f t="shared" si="24"/>
        <v>2301.8276752520346</v>
      </c>
      <c r="H179" s="434">
        <f t="shared" si="23"/>
        <v>2.3018276752520346E-3</v>
      </c>
    </row>
    <row r="180" spans="1:8">
      <c r="A180" s="150" t="s">
        <v>82</v>
      </c>
      <c r="B180" s="541">
        <f>D92</f>
        <v>1.0391224702131756</v>
      </c>
      <c r="C180" s="235">
        <f t="shared" si="20"/>
        <v>16565.874219713874</v>
      </c>
      <c r="D180" s="82">
        <f t="shared" si="21"/>
        <v>26046.972043575275</v>
      </c>
      <c r="E180" s="552">
        <f t="shared" si="22"/>
        <v>62.726690812163085</v>
      </c>
      <c r="F180" s="555">
        <f t="shared" si="23"/>
        <v>6.2726690812163084E-5</v>
      </c>
      <c r="G180" s="558">
        <f t="shared" si="24"/>
        <v>39.894175356535726</v>
      </c>
      <c r="H180" s="434">
        <f t="shared" si="23"/>
        <v>3.9894175356535724E-5</v>
      </c>
    </row>
    <row r="181" spans="1:8">
      <c r="A181" s="150" t="s">
        <v>630</v>
      </c>
      <c r="B181" s="541">
        <f>B93*0.44</f>
        <v>430.94304000000005</v>
      </c>
      <c r="C181" s="235">
        <f t="shared" si="20"/>
        <v>16565.874219713874</v>
      </c>
      <c r="D181" s="82">
        <f t="shared" si="21"/>
        <v>26046.972043575275</v>
      </c>
      <c r="E181" s="552">
        <f t="shared" si="22"/>
        <v>26013.90269444188</v>
      </c>
      <c r="F181" s="555">
        <f t="shared" si="23"/>
        <v>2.6013902694441881E-2</v>
      </c>
      <c r="G181" s="558">
        <f t="shared" si="24"/>
        <v>16544.842113665036</v>
      </c>
      <c r="H181" s="434">
        <f t="shared" si="23"/>
        <v>1.6544842113665036E-2</v>
      </c>
    </row>
    <row r="182" spans="1:8">
      <c r="A182" s="151" t="s">
        <v>96</v>
      </c>
      <c r="B182" s="541">
        <f>B94*0.44</f>
        <v>1255.9934693877551</v>
      </c>
      <c r="C182" s="235">
        <f t="shared" si="20"/>
        <v>16565.874219713874</v>
      </c>
      <c r="D182" s="82">
        <f t="shared" si="21"/>
        <v>26046.972043575275</v>
      </c>
      <c r="E182" s="552">
        <f t="shared" si="22"/>
        <v>75818.121804467533</v>
      </c>
      <c r="F182" s="555">
        <f t="shared" si="23"/>
        <v>7.5818121804467536E-2</v>
      </c>
      <c r="G182" s="558">
        <f t="shared" si="24"/>
        <v>48220.325467641349</v>
      </c>
      <c r="H182" s="434">
        <f t="shared" si="23"/>
        <v>4.8220325467641351E-2</v>
      </c>
    </row>
    <row r="183" spans="1:8">
      <c r="A183" s="150" t="s">
        <v>97</v>
      </c>
      <c r="B183" s="541">
        <f>B181+B182</f>
        <v>1686.9365093877552</v>
      </c>
      <c r="C183" s="235">
        <f t="shared" si="20"/>
        <v>16565.874219713874</v>
      </c>
      <c r="D183" s="82">
        <f t="shared" si="21"/>
        <v>26046.972043575275</v>
      </c>
      <c r="E183" s="552">
        <f t="shared" si="22"/>
        <v>101832.02449890942</v>
      </c>
      <c r="F183" s="555">
        <f t="shared" si="23"/>
        <v>0.10183202449890942</v>
      </c>
      <c r="G183" s="558">
        <f t="shared" si="24"/>
        <v>64765.167581306392</v>
      </c>
      <c r="H183" s="434">
        <f t="shared" si="23"/>
        <v>6.476516758130639E-2</v>
      </c>
    </row>
    <row r="184" spans="1:8">
      <c r="A184" s="151" t="s">
        <v>84</v>
      </c>
      <c r="B184" s="541">
        <f>D96</f>
        <v>1.3961989903462106</v>
      </c>
      <c r="C184" s="235">
        <f t="shared" si="20"/>
        <v>16565.874219713874</v>
      </c>
      <c r="D184" s="82">
        <f t="shared" si="21"/>
        <v>26046.972043575275</v>
      </c>
      <c r="E184" s="552">
        <f t="shared" si="22"/>
        <v>84.281636563719232</v>
      </c>
      <c r="F184" s="555">
        <f t="shared" si="23"/>
        <v>8.4281636563719232E-5</v>
      </c>
      <c r="G184" s="558">
        <f t="shared" si="24"/>
        <v>53.603120854525429</v>
      </c>
      <c r="H184" s="434">
        <f t="shared" si="23"/>
        <v>5.3603120854525431E-5</v>
      </c>
    </row>
    <row r="185" spans="1:8">
      <c r="A185" s="151" t="s">
        <v>631</v>
      </c>
      <c r="B185" s="541">
        <f>D97</f>
        <v>226.8</v>
      </c>
      <c r="C185" s="235">
        <f t="shared" si="20"/>
        <v>16565.874219713874</v>
      </c>
      <c r="D185" s="82">
        <f t="shared" si="21"/>
        <v>26046.972043575275</v>
      </c>
      <c r="E185" s="552">
        <f t="shared" si="22"/>
        <v>13690.795728130146</v>
      </c>
      <c r="F185" s="555">
        <f t="shared" si="23"/>
        <v>1.3690795728130147E-2</v>
      </c>
      <c r="G185" s="558">
        <f t="shared" si="24"/>
        <v>8707.3460830907716</v>
      </c>
      <c r="H185" s="434">
        <f t="shared" si="23"/>
        <v>8.7073460830907716E-3</v>
      </c>
    </row>
    <row r="186" spans="1:8">
      <c r="A186" s="151" t="s">
        <v>250</v>
      </c>
      <c r="B186" s="541">
        <f>D98</f>
        <v>564.24489795918362</v>
      </c>
      <c r="C186" s="235">
        <f t="shared" si="20"/>
        <v>16565.874219713874</v>
      </c>
      <c r="D186" s="82">
        <f t="shared" si="21"/>
        <v>26046.972043575275</v>
      </c>
      <c r="E186" s="552">
        <f t="shared" si="22"/>
        <v>34060.677418866049</v>
      </c>
      <c r="F186" s="555">
        <f t="shared" si="23"/>
        <v>3.406067741886605E-2</v>
      </c>
      <c r="G186" s="558">
        <f t="shared" si="24"/>
        <v>21662.590838398806</v>
      </c>
      <c r="H186" s="434">
        <f t="shared" si="23"/>
        <v>2.1662590838398808E-2</v>
      </c>
    </row>
    <row r="187" spans="1:8">
      <c r="A187" s="151" t="s">
        <v>251</v>
      </c>
      <c r="B187" s="541">
        <f>D99</f>
        <v>791.04489795918357</v>
      </c>
      <c r="C187" s="235">
        <f t="shared" si="20"/>
        <v>16565.874219713874</v>
      </c>
      <c r="D187" s="82">
        <f t="shared" si="21"/>
        <v>26046.972043575275</v>
      </c>
      <c r="E187" s="552">
        <f t="shared" si="22"/>
        <v>47751.473146996192</v>
      </c>
      <c r="F187" s="555">
        <f t="shared" ref="F187" si="25">E187/1000000</f>
        <v>4.7751473146996189E-2</v>
      </c>
      <c r="G187" s="558">
        <f t="shared" si="24"/>
        <v>30369.936921489574</v>
      </c>
      <c r="H187" s="434">
        <f t="shared" ref="H187" si="26">G187/1000000</f>
        <v>3.0369936921489576E-2</v>
      </c>
    </row>
    <row r="188" spans="1:8">
      <c r="A188" s="151" t="s">
        <v>238</v>
      </c>
      <c r="B188" s="541">
        <f>D100</f>
        <v>2373.1346938775505</v>
      </c>
      <c r="C188" s="235">
        <f t="shared" si="20"/>
        <v>16565.874219713874</v>
      </c>
      <c r="D188" s="82">
        <f t="shared" si="21"/>
        <v>26046.972043575275</v>
      </c>
      <c r="E188" s="552">
        <f t="shared" si="22"/>
        <v>143254.41944098857</v>
      </c>
      <c r="F188" s="555">
        <f t="shared" ref="F188:H190" si="27">E188/1000000</f>
        <v>0.14325441944098857</v>
      </c>
      <c r="G188" s="558">
        <f t="shared" si="24"/>
        <v>91109.810764468726</v>
      </c>
      <c r="H188" s="434">
        <f t="shared" si="27"/>
        <v>9.1109810764468724E-2</v>
      </c>
    </row>
    <row r="189" spans="1:8">
      <c r="A189" s="151" t="s">
        <v>239</v>
      </c>
      <c r="B189" s="541">
        <f>D101</f>
        <v>3361.9408163265302</v>
      </c>
      <c r="C189" s="235">
        <f t="shared" si="20"/>
        <v>16565.874219713874</v>
      </c>
      <c r="D189" s="82">
        <f t="shared" si="21"/>
        <v>26046.972043575275</v>
      </c>
      <c r="E189" s="552">
        <f t="shared" si="22"/>
        <v>202943.76087473382</v>
      </c>
      <c r="F189" s="555">
        <f t="shared" si="27"/>
        <v>0.20294376087473381</v>
      </c>
      <c r="G189" s="558">
        <f t="shared" si="24"/>
        <v>129072.23191633071</v>
      </c>
      <c r="H189" s="434">
        <f t="shared" si="27"/>
        <v>0.12907223191633072</v>
      </c>
    </row>
    <row r="190" spans="1:8" ht="14.65" thickBot="1">
      <c r="A190" s="152" t="s">
        <v>86</v>
      </c>
      <c r="B190" s="542">
        <f>D102</f>
        <v>20.978931580897044</v>
      </c>
      <c r="C190" s="236">
        <f t="shared" si="20"/>
        <v>16565.874219713874</v>
      </c>
      <c r="D190" s="237">
        <f t="shared" si="21"/>
        <v>26046.972043575275</v>
      </c>
      <c r="E190" s="553">
        <f t="shared" si="22"/>
        <v>1266.3944747287471</v>
      </c>
      <c r="F190" s="556">
        <f t="shared" si="27"/>
        <v>1.2663944747287471E-3</v>
      </c>
      <c r="G190" s="559">
        <f t="shared" si="24"/>
        <v>805.42688592748311</v>
      </c>
      <c r="H190" s="439">
        <f t="shared" si="27"/>
        <v>8.054268859274831E-4</v>
      </c>
    </row>
    <row r="191" spans="1:8">
      <c r="A191" s="145"/>
      <c r="B191" s="146"/>
      <c r="C191" s="95"/>
    </row>
    <row r="192" spans="1:8">
      <c r="A192" s="1" t="s">
        <v>199</v>
      </c>
      <c r="B192" s="1"/>
      <c r="C192" s="1"/>
    </row>
    <row r="193" spans="1:3" ht="14.65" thickBot="1">
      <c r="A193" s="79" t="s">
        <v>360</v>
      </c>
      <c r="B193" s="79"/>
      <c r="C193" s="79"/>
    </row>
    <row r="194" spans="1:3">
      <c r="A194" s="570" t="s">
        <v>100</v>
      </c>
      <c r="B194" s="569">
        <v>0.05</v>
      </c>
      <c r="C194" s="202" t="s">
        <v>101</v>
      </c>
    </row>
    <row r="195" spans="1:3">
      <c r="A195" s="571" t="s">
        <v>102</v>
      </c>
      <c r="B195" s="494">
        <v>1.86</v>
      </c>
      <c r="C195" s="72" t="s">
        <v>103</v>
      </c>
    </row>
    <row r="196" spans="1:3">
      <c r="A196" s="571" t="s">
        <v>104</v>
      </c>
      <c r="B196" s="494">
        <v>0.997</v>
      </c>
      <c r="C196" s="72" t="s">
        <v>103</v>
      </c>
    </row>
    <row r="197" spans="1:3">
      <c r="A197" s="571" t="s">
        <v>105</v>
      </c>
      <c r="B197" s="494">
        <v>1.0206786471090072</v>
      </c>
      <c r="C197" s="72" t="s">
        <v>103</v>
      </c>
    </row>
    <row r="198" spans="1:3" ht="14.65" thickBot="1">
      <c r="A198" s="572" t="s">
        <v>334</v>
      </c>
      <c r="B198" s="495">
        <v>0.02</v>
      </c>
      <c r="C198" s="76" t="s">
        <v>25</v>
      </c>
    </row>
    <row r="200" spans="1:3" ht="14.65" thickBot="1">
      <c r="A200" s="79" t="s">
        <v>271</v>
      </c>
    </row>
    <row r="201" spans="1:3" ht="14.65" thickBot="1">
      <c r="A201" s="103" t="s">
        <v>53</v>
      </c>
      <c r="B201" s="102" t="s">
        <v>18</v>
      </c>
      <c r="C201" s="17" t="s">
        <v>106</v>
      </c>
    </row>
    <row r="202" spans="1:3">
      <c r="A202" s="92" t="s">
        <v>9</v>
      </c>
      <c r="B202" s="270" t="s">
        <v>35</v>
      </c>
      <c r="C202" s="383">
        <f>$C$117</f>
        <v>30713.027956424732</v>
      </c>
    </row>
    <row r="203" spans="1:3">
      <c r="A203" s="392" t="s">
        <v>200</v>
      </c>
      <c r="B203" s="278" t="s">
        <v>108</v>
      </c>
      <c r="C203" s="450">
        <v>1.3</v>
      </c>
    </row>
    <row r="204" spans="1:3">
      <c r="A204" s="257" t="s">
        <v>201</v>
      </c>
      <c r="B204" s="278" t="s">
        <v>110</v>
      </c>
      <c r="C204" s="279">
        <f>C202/C203</f>
        <v>23625.406120326716</v>
      </c>
    </row>
    <row r="205" spans="1:3">
      <c r="A205" s="281" t="s">
        <v>334</v>
      </c>
      <c r="B205" s="305" t="s">
        <v>25</v>
      </c>
      <c r="C205" s="306">
        <f>$B$198</f>
        <v>0.02</v>
      </c>
    </row>
    <row r="206" spans="1:3">
      <c r="A206" s="281" t="s">
        <v>111</v>
      </c>
      <c r="B206" s="278" t="s">
        <v>110</v>
      </c>
      <c r="C206" s="289">
        <f>C204*C205</f>
        <v>472.50812240653431</v>
      </c>
    </row>
    <row r="207" spans="1:3">
      <c r="A207" s="281" t="s">
        <v>112</v>
      </c>
      <c r="B207" s="278" t="s">
        <v>108</v>
      </c>
      <c r="C207" s="307">
        <f>B197</f>
        <v>1.0206786471090072</v>
      </c>
    </row>
    <row r="208" spans="1:3" ht="14.65" thickBot="1">
      <c r="A208" s="255" t="s">
        <v>334</v>
      </c>
      <c r="B208" s="271" t="s">
        <v>35</v>
      </c>
      <c r="C208" s="280">
        <f>C206*C207</f>
        <v>482.27895112591864</v>
      </c>
    </row>
    <row r="209" spans="1:3">
      <c r="A209" s="79"/>
      <c r="B209" s="79"/>
      <c r="C209" s="79"/>
    </row>
    <row r="210" spans="1:3" ht="14.65" thickBot="1">
      <c r="A210" s="79" t="s">
        <v>373</v>
      </c>
    </row>
    <row r="211" spans="1:3" ht="14.65" thickBot="1">
      <c r="A211" s="905" t="s">
        <v>23</v>
      </c>
      <c r="B211" s="1070">
        <v>1.8</v>
      </c>
      <c r="C211" s="1071"/>
    </row>
    <row r="212" spans="1:3" ht="14.65" thickBot="1">
      <c r="A212" s="2"/>
      <c r="B212" s="1072" t="s">
        <v>120</v>
      </c>
      <c r="C212" s="1073"/>
    </row>
    <row r="213" spans="1:3">
      <c r="A213" s="703" t="s">
        <v>77</v>
      </c>
      <c r="B213" s="880" t="s">
        <v>157</v>
      </c>
      <c r="C213" s="906">
        <v>0.99</v>
      </c>
    </row>
    <row r="214" spans="1:3">
      <c r="A214" s="232" t="s">
        <v>73</v>
      </c>
      <c r="B214" s="881" t="s">
        <v>158</v>
      </c>
      <c r="C214" s="882">
        <v>0.9</v>
      </c>
    </row>
    <row r="215" spans="1:3">
      <c r="A215" s="232" t="s">
        <v>86</v>
      </c>
      <c r="B215" s="881" t="s">
        <v>159</v>
      </c>
      <c r="C215" s="907">
        <v>0.95</v>
      </c>
    </row>
    <row r="216" spans="1:3">
      <c r="A216" s="232" t="s">
        <v>82</v>
      </c>
      <c r="B216" s="881" t="s">
        <v>160</v>
      </c>
      <c r="C216" s="907">
        <v>2.5000000000000001E-2</v>
      </c>
    </row>
    <row r="217" spans="1:3">
      <c r="A217" s="232" t="s">
        <v>72</v>
      </c>
      <c r="B217" s="881" t="s">
        <v>160</v>
      </c>
      <c r="C217" s="907">
        <v>2.5000000000000001E-2</v>
      </c>
    </row>
    <row r="218" spans="1:3">
      <c r="A218" s="232" t="s">
        <v>78</v>
      </c>
      <c r="B218" s="881" t="s">
        <v>160</v>
      </c>
      <c r="C218" s="907">
        <v>2.5000000000000001E-2</v>
      </c>
    </row>
    <row r="219" spans="1:3">
      <c r="A219" s="232" t="s">
        <v>80</v>
      </c>
      <c r="B219" s="881" t="s">
        <v>160</v>
      </c>
      <c r="C219" s="907">
        <v>2.5000000000000001E-2</v>
      </c>
    </row>
    <row r="220" spans="1:3">
      <c r="A220" s="232" t="s">
        <v>83</v>
      </c>
      <c r="B220" s="881" t="s">
        <v>160</v>
      </c>
      <c r="C220" s="907">
        <v>2.5000000000000001E-2</v>
      </c>
    </row>
    <row r="221" spans="1:3">
      <c r="A221" s="232" t="s">
        <v>79</v>
      </c>
      <c r="B221" s="881" t="s">
        <v>160</v>
      </c>
      <c r="C221" s="907">
        <v>2.5000000000000001E-2</v>
      </c>
    </row>
    <row r="222" spans="1:3">
      <c r="A222" s="232" t="s">
        <v>75</v>
      </c>
      <c r="B222" s="881" t="s">
        <v>322</v>
      </c>
      <c r="C222" s="907">
        <v>2.5000000000000001E-2</v>
      </c>
    </row>
    <row r="223" spans="1:3" ht="14.65" thickBot="1">
      <c r="A223" s="233" t="s">
        <v>84</v>
      </c>
      <c r="B223" s="883" t="s">
        <v>323</v>
      </c>
      <c r="C223" s="910">
        <v>2.5000000000000001E-2</v>
      </c>
    </row>
    <row r="224" spans="1:3">
      <c r="A224" s="78"/>
      <c r="B224" s="97"/>
      <c r="C224" s="98"/>
    </row>
    <row r="225" spans="1:4" ht="14.65" thickBot="1">
      <c r="A225" s="79" t="s">
        <v>273</v>
      </c>
    </row>
    <row r="226" spans="1:4">
      <c r="A226" s="18"/>
      <c r="B226" s="266" t="s">
        <v>120</v>
      </c>
      <c r="C226" s="274" t="s">
        <v>243</v>
      </c>
      <c r="D226" s="275" t="s">
        <v>244</v>
      </c>
    </row>
    <row r="227" spans="1:4" ht="14.65" thickBot="1">
      <c r="A227" s="21"/>
      <c r="B227" s="351" t="s">
        <v>237</v>
      </c>
      <c r="C227" s="325" t="s">
        <v>35</v>
      </c>
      <c r="D227" s="326" t="s">
        <v>35</v>
      </c>
    </row>
    <row r="228" spans="1:4">
      <c r="A228" s="106" t="s">
        <v>72</v>
      </c>
      <c r="B228" s="632">
        <f>C217</f>
        <v>2.5000000000000001E-2</v>
      </c>
      <c r="C228" s="378">
        <f>B144</f>
        <v>165.98976432954106</v>
      </c>
      <c r="D228" s="362">
        <f>C228*B228</f>
        <v>4.1497441082385267</v>
      </c>
    </row>
    <row r="229" spans="1:4">
      <c r="A229" s="107" t="s">
        <v>73</v>
      </c>
      <c r="B229" s="363">
        <f>C214</f>
        <v>0.9</v>
      </c>
      <c r="C229" s="378">
        <f>B145</f>
        <v>0.17314080232283449</v>
      </c>
      <c r="D229" s="362">
        <f t="shared" ref="D229:D241" si="28">C229*B229</f>
        <v>0.15582672209055104</v>
      </c>
    </row>
    <row r="230" spans="1:4">
      <c r="A230" s="107" t="s">
        <v>75</v>
      </c>
      <c r="B230" s="633">
        <f>C222</f>
        <v>2.5000000000000001E-2</v>
      </c>
      <c r="C230" s="378">
        <f>B147</f>
        <v>2.3520000000000003E-2</v>
      </c>
      <c r="D230" s="362">
        <f t="shared" si="28"/>
        <v>5.8800000000000009E-4</v>
      </c>
    </row>
    <row r="231" spans="1:4">
      <c r="A231" s="108" t="s">
        <v>77</v>
      </c>
      <c r="B231" s="363">
        <f>C213</f>
        <v>0.99</v>
      </c>
      <c r="C231" s="378">
        <f>B149</f>
        <v>1.9488449114376936</v>
      </c>
      <c r="D231" s="362">
        <f t="shared" si="28"/>
        <v>1.9293564623233166</v>
      </c>
    </row>
    <row r="232" spans="1:4">
      <c r="A232" s="108" t="s">
        <v>78</v>
      </c>
      <c r="B232" s="633">
        <f>C218</f>
        <v>2.5000000000000001E-2</v>
      </c>
      <c r="C232" s="378">
        <f>B150</f>
        <v>219.71852357742503</v>
      </c>
      <c r="D232" s="362">
        <f t="shared" si="28"/>
        <v>5.4929630894356265</v>
      </c>
    </row>
    <row r="233" spans="1:4">
      <c r="A233" s="108" t="s">
        <v>79</v>
      </c>
      <c r="B233" s="633">
        <f>C221</f>
        <v>2.5000000000000001E-2</v>
      </c>
      <c r="C233" s="378">
        <f>B151</f>
        <v>35.864099256710965</v>
      </c>
      <c r="D233" s="362">
        <f t="shared" si="28"/>
        <v>0.89660248141777421</v>
      </c>
    </row>
    <row r="234" spans="1:4">
      <c r="A234" s="108" t="s">
        <v>80</v>
      </c>
      <c r="B234" s="633">
        <f>C219</f>
        <v>2.5000000000000001E-2</v>
      </c>
      <c r="C234" s="378">
        <f>B152</f>
        <v>66.734565408625116</v>
      </c>
      <c r="D234" s="362">
        <f t="shared" si="28"/>
        <v>1.668364135215628</v>
      </c>
    </row>
    <row r="235" spans="1:4">
      <c r="A235" s="108" t="s">
        <v>82</v>
      </c>
      <c r="B235" s="633">
        <f>C216</f>
        <v>2.5000000000000001E-2</v>
      </c>
      <c r="C235" s="378">
        <f>B154</f>
        <v>0.46087752978682439</v>
      </c>
      <c r="D235" s="362">
        <f t="shared" si="28"/>
        <v>1.1521938244670611E-2</v>
      </c>
    </row>
    <row r="236" spans="1:4">
      <c r="A236" s="108" t="s">
        <v>630</v>
      </c>
      <c r="B236" s="633">
        <f>C220</f>
        <v>2.5000000000000001E-2</v>
      </c>
      <c r="C236" s="576">
        <f>B155</f>
        <v>548.47296000000006</v>
      </c>
      <c r="D236" s="362">
        <f t="shared" si="28"/>
        <v>13.711824000000002</v>
      </c>
    </row>
    <row r="237" spans="1:4">
      <c r="A237" s="575" t="s">
        <v>96</v>
      </c>
      <c r="B237" s="633">
        <f>C220</f>
        <v>2.5000000000000001E-2</v>
      </c>
      <c r="C237" s="577">
        <f>B156</f>
        <v>1598.537142857143</v>
      </c>
      <c r="D237" s="362">
        <f t="shared" si="28"/>
        <v>39.96342857142858</v>
      </c>
    </row>
    <row r="238" spans="1:4">
      <c r="A238" s="575" t="s">
        <v>274</v>
      </c>
      <c r="B238" s="662">
        <f>C220</f>
        <v>2.5000000000000001E-2</v>
      </c>
      <c r="C238" s="577">
        <f>C236+C237</f>
        <v>2147.010102857143</v>
      </c>
      <c r="D238" s="362">
        <f t="shared" si="28"/>
        <v>53.67525257142858</v>
      </c>
    </row>
    <row r="239" spans="1:4">
      <c r="A239" s="575" t="s">
        <v>84</v>
      </c>
      <c r="B239" s="662">
        <f>C223</f>
        <v>2.5000000000000001E-2</v>
      </c>
      <c r="C239" s="577">
        <f>B158</f>
        <v>9.1801009653789414E-2</v>
      </c>
      <c r="D239" s="362">
        <f t="shared" si="28"/>
        <v>2.2950252413447354E-3</v>
      </c>
    </row>
    <row r="240" spans="1:4">
      <c r="A240" s="575" t="s">
        <v>248</v>
      </c>
      <c r="B240" s="574">
        <v>1</v>
      </c>
      <c r="C240" s="577">
        <f>C208*B194*32/78</f>
        <v>9.8929015615573057</v>
      </c>
      <c r="D240" s="362">
        <f t="shared" si="28"/>
        <v>9.8929015615573057</v>
      </c>
    </row>
    <row r="241" spans="1:4" ht="14.65" thickBot="1">
      <c r="A241" s="109" t="s">
        <v>86</v>
      </c>
      <c r="B241" s="757">
        <f>C215</f>
        <v>0.95</v>
      </c>
      <c r="C241" s="236">
        <f>B164</f>
        <v>7.2570684191029562</v>
      </c>
      <c r="D241" s="125">
        <f t="shared" si="28"/>
        <v>6.8942149981478078</v>
      </c>
    </row>
    <row r="243" spans="1:4" ht="14.65" thickBot="1">
      <c r="A243" s="79" t="s">
        <v>272</v>
      </c>
      <c r="D243" s="99"/>
    </row>
    <row r="244" spans="1:4" ht="14.65" thickBot="1">
      <c r="A244" s="16" t="s">
        <v>90</v>
      </c>
      <c r="B244" s="101" t="s">
        <v>18</v>
      </c>
      <c r="C244" s="17" t="s">
        <v>91</v>
      </c>
    </row>
    <row r="245" spans="1:4">
      <c r="A245" s="272" t="s">
        <v>9</v>
      </c>
      <c r="B245" s="278" t="s">
        <v>35</v>
      </c>
      <c r="C245" s="279">
        <f>$C$202</f>
        <v>30713.027956424732</v>
      </c>
    </row>
    <row r="246" spans="1:4">
      <c r="A246" s="281" t="s">
        <v>334</v>
      </c>
      <c r="B246" s="278" t="s">
        <v>35</v>
      </c>
      <c r="C246" s="289">
        <f>$C$208</f>
        <v>482.27895112591864</v>
      </c>
    </row>
    <row r="247" spans="1:4" ht="14.65" thickBot="1">
      <c r="A247" s="255" t="s">
        <v>6</v>
      </c>
      <c r="B247" s="271" t="s">
        <v>35</v>
      </c>
      <c r="C247" s="280">
        <f>C245+C246</f>
        <v>31195.30690755065</v>
      </c>
    </row>
    <row r="248" spans="1:4">
      <c r="B248" s="77"/>
      <c r="C248" s="83"/>
    </row>
    <row r="249" spans="1:4" ht="14.65" thickBot="1">
      <c r="A249" s="79" t="s">
        <v>203</v>
      </c>
      <c r="B249" s="79"/>
      <c r="C249" s="79"/>
      <c r="D249" s="99"/>
    </row>
    <row r="250" spans="1:4" ht="14.65" thickBot="1">
      <c r="A250" s="191" t="s">
        <v>90</v>
      </c>
      <c r="B250" s="192" t="s">
        <v>18</v>
      </c>
      <c r="C250" s="193" t="s">
        <v>106</v>
      </c>
      <c r="D250" s="99"/>
    </row>
    <row r="251" spans="1:4">
      <c r="A251" s="272" t="s">
        <v>202</v>
      </c>
      <c r="B251" s="298" t="s">
        <v>35</v>
      </c>
      <c r="C251" s="313">
        <f>$C$131</f>
        <v>6186.1257802861255</v>
      </c>
      <c r="D251" s="99"/>
    </row>
    <row r="252" spans="1:4">
      <c r="A252" s="257" t="s">
        <v>115</v>
      </c>
      <c r="B252" s="278" t="s">
        <v>24</v>
      </c>
      <c r="C252" s="312">
        <v>0.05</v>
      </c>
      <c r="D252" s="99"/>
    </row>
    <row r="253" spans="1:4">
      <c r="A253" s="257" t="s">
        <v>334</v>
      </c>
      <c r="B253" s="278" t="s">
        <v>35</v>
      </c>
      <c r="C253" s="295">
        <f>$C$208</f>
        <v>482.27895112591864</v>
      </c>
      <c r="D253" s="99"/>
    </row>
    <row r="254" spans="1:4">
      <c r="A254" s="257" t="s">
        <v>429</v>
      </c>
      <c r="B254" s="278" t="s">
        <v>35</v>
      </c>
      <c r="C254" s="295">
        <f>C253*C252</f>
        <v>24.113947556295933</v>
      </c>
      <c r="D254" s="99"/>
    </row>
    <row r="255" spans="1:4">
      <c r="A255" s="257" t="s">
        <v>337</v>
      </c>
      <c r="B255" s="278" t="s">
        <v>35</v>
      </c>
      <c r="C255" s="279">
        <f>C251+C254</f>
        <v>6210.2397278424214</v>
      </c>
      <c r="D255" s="99"/>
    </row>
    <row r="256" spans="1:4">
      <c r="A256" s="257" t="s">
        <v>6</v>
      </c>
      <c r="B256" s="278" t="s">
        <v>35</v>
      </c>
      <c r="C256" s="289">
        <f>$C$247</f>
        <v>31195.30690755065</v>
      </c>
      <c r="D256" s="99"/>
    </row>
    <row r="257" spans="1:12">
      <c r="A257" s="299" t="s">
        <v>64</v>
      </c>
      <c r="B257" s="260" t="s">
        <v>24</v>
      </c>
      <c r="C257" s="300">
        <f>C255/C256</f>
        <v>0.19907609007492302</v>
      </c>
      <c r="D257" s="99"/>
    </row>
    <row r="258" spans="1:12">
      <c r="A258" s="257" t="s">
        <v>342</v>
      </c>
      <c r="B258" s="278" t="s">
        <v>35</v>
      </c>
      <c r="C258" s="279">
        <f>$C$136</f>
        <v>24526.902176138599</v>
      </c>
    </row>
    <row r="259" spans="1:12">
      <c r="A259" s="257" t="s">
        <v>117</v>
      </c>
      <c r="B259" s="278" t="s">
        <v>24</v>
      </c>
      <c r="C259" s="312">
        <f>1-C252</f>
        <v>0.95</v>
      </c>
    </row>
    <row r="260" spans="1:12">
      <c r="A260" s="257" t="s">
        <v>334</v>
      </c>
      <c r="B260" s="278" t="s">
        <v>35</v>
      </c>
      <c r="C260" s="295">
        <f>$C$208</f>
        <v>482.27895112591864</v>
      </c>
    </row>
    <row r="261" spans="1:12">
      <c r="A261" s="257" t="s">
        <v>356</v>
      </c>
      <c r="B261" s="278" t="s">
        <v>35</v>
      </c>
      <c r="C261" s="279">
        <f>C259*C260</f>
        <v>458.16500356962268</v>
      </c>
    </row>
    <row r="262" spans="1:12">
      <c r="A262" s="257" t="s">
        <v>335</v>
      </c>
      <c r="B262" s="278" t="s">
        <v>35</v>
      </c>
      <c r="C262" s="279">
        <f>C258+C261</f>
        <v>24985.067179708221</v>
      </c>
    </row>
    <row r="263" spans="1:12">
      <c r="A263" s="257" t="s">
        <v>6</v>
      </c>
      <c r="B263" s="278" t="s">
        <v>35</v>
      </c>
      <c r="C263" s="289">
        <f>$C$247</f>
        <v>31195.30690755065</v>
      </c>
    </row>
    <row r="264" spans="1:12" ht="14.65" thickBot="1">
      <c r="A264" s="366" t="s">
        <v>66</v>
      </c>
      <c r="B264" s="365" t="s">
        <v>24</v>
      </c>
      <c r="C264" s="303">
        <f>C262/C263</f>
        <v>0.80092390992507678</v>
      </c>
    </row>
    <row r="265" spans="1:12">
      <c r="A265" s="83"/>
      <c r="B265" s="77"/>
      <c r="C265" s="96"/>
    </row>
    <row r="266" spans="1:12" ht="14.65" thickBot="1">
      <c r="A266" s="79" t="s">
        <v>124</v>
      </c>
    </row>
    <row r="267" spans="1:12" ht="14.65" thickBot="1">
      <c r="A267" s="419"/>
      <c r="B267" s="1062" t="s">
        <v>262</v>
      </c>
      <c r="C267" s="1063"/>
      <c r="D267" s="1063"/>
      <c r="E267" s="1063"/>
      <c r="F267" s="1064"/>
      <c r="G267" s="1062" t="s">
        <v>263</v>
      </c>
      <c r="H267" s="1063"/>
      <c r="I267" s="1063"/>
      <c r="J267" s="1063"/>
      <c r="K267" s="1063"/>
      <c r="L267" s="1066"/>
    </row>
    <row r="268" spans="1:12">
      <c r="A268" s="452"/>
      <c r="B268" s="1024" t="s">
        <v>275</v>
      </c>
      <c r="C268" s="1041" t="s">
        <v>243</v>
      </c>
      <c r="D268" s="1041" t="s">
        <v>256</v>
      </c>
      <c r="E268" s="1041" t="s">
        <v>337</v>
      </c>
      <c r="F268" s="1083" t="s">
        <v>276</v>
      </c>
      <c r="G268" s="1022" t="s">
        <v>269</v>
      </c>
      <c r="H268" s="1054"/>
      <c r="I268" s="1022" t="s">
        <v>277</v>
      </c>
      <c r="J268" s="1032"/>
      <c r="K268" s="1032"/>
      <c r="L268" s="1023"/>
    </row>
    <row r="269" spans="1:12">
      <c r="A269" s="219" t="s">
        <v>93</v>
      </c>
      <c r="B269" s="1067"/>
      <c r="C269" s="1042"/>
      <c r="D269" s="1042"/>
      <c r="E269" s="1042"/>
      <c r="F269" s="1084"/>
      <c r="G269" s="1033"/>
      <c r="H269" s="1046"/>
      <c r="I269" s="1033" t="s">
        <v>243</v>
      </c>
      <c r="J269" s="1034"/>
      <c r="K269" s="1034" t="s">
        <v>256</v>
      </c>
      <c r="L269" s="1035"/>
    </row>
    <row r="270" spans="1:12" ht="14.65" thickBot="1">
      <c r="A270" s="220" t="s">
        <v>18</v>
      </c>
      <c r="B270" s="403" t="s">
        <v>35</v>
      </c>
      <c r="C270" s="154" t="s">
        <v>35</v>
      </c>
      <c r="D270" s="154" t="s">
        <v>35</v>
      </c>
      <c r="E270" s="154" t="s">
        <v>35</v>
      </c>
      <c r="F270" s="423" t="s">
        <v>35</v>
      </c>
      <c r="G270" s="403" t="s">
        <v>257</v>
      </c>
      <c r="H270" s="423" t="s">
        <v>237</v>
      </c>
      <c r="I270" s="403" t="s">
        <v>70</v>
      </c>
      <c r="J270" s="154" t="s">
        <v>237</v>
      </c>
      <c r="K270" s="154" t="s">
        <v>70</v>
      </c>
      <c r="L270" s="155" t="s">
        <v>237</v>
      </c>
    </row>
    <row r="271" spans="1:12">
      <c r="A271" s="150" t="s">
        <v>72</v>
      </c>
      <c r="B271" s="540">
        <f>B144</f>
        <v>165.98976432954106</v>
      </c>
      <c r="C271" s="428">
        <f>B271-D271</f>
        <v>161.84002022130252</v>
      </c>
      <c r="D271" s="580">
        <f>D228</f>
        <v>4.1497441082385267</v>
      </c>
      <c r="E271" s="428">
        <f>$C$255</f>
        <v>6210.2397278424214</v>
      </c>
      <c r="F271" s="545">
        <f>$C$247</f>
        <v>31195.30690755065</v>
      </c>
      <c r="G271" s="557">
        <f>B271/E271*1000000</f>
        <v>26728.398838672478</v>
      </c>
      <c r="H271" s="554">
        <f>G271/1000000</f>
        <v>2.6728398838672479E-2</v>
      </c>
      <c r="I271" s="557">
        <f>C271/F271*1000000</f>
        <v>5187.9605063968784</v>
      </c>
      <c r="J271" s="430">
        <f>I271/1000000</f>
        <v>5.1879605063968786E-3</v>
      </c>
      <c r="K271" s="431">
        <f>D271/F271*1000000</f>
        <v>133.02462836915075</v>
      </c>
      <c r="L271" s="433">
        <f>K271/1000000</f>
        <v>1.3302462836915074E-4</v>
      </c>
    </row>
    <row r="272" spans="1:12">
      <c r="A272" s="149" t="s">
        <v>73</v>
      </c>
      <c r="B272" s="541">
        <f>B145</f>
        <v>0.17314080232283449</v>
      </c>
      <c r="C272" s="235">
        <f t="shared" ref="C272:C287" si="29">B272-D272</f>
        <v>1.7314080232283452E-2</v>
      </c>
      <c r="D272" s="579">
        <f>D229</f>
        <v>0.15582672209055104</v>
      </c>
      <c r="E272" s="235">
        <f t="shared" ref="E272:E287" si="30">$C$255</f>
        <v>6210.2397278424214</v>
      </c>
      <c r="F272" s="546">
        <f t="shared" ref="F272:F287" si="31">$C$247</f>
        <v>31195.30690755065</v>
      </c>
      <c r="G272" s="558">
        <f t="shared" ref="G272:G287" si="32">B272/E272*1000000</f>
        <v>27.879890295794997</v>
      </c>
      <c r="H272" s="555">
        <f t="shared" ref="H272:H287" si="33">G272/1000000</f>
        <v>2.7879890295794998E-5</v>
      </c>
      <c r="I272" s="558">
        <f t="shared" ref="I272:I287" si="34">C272/F272*1000000</f>
        <v>0.55502195518046582</v>
      </c>
      <c r="J272" s="425">
        <f t="shared" ref="J272:J287" si="35">I272/1000000</f>
        <v>5.5502195518046577E-7</v>
      </c>
      <c r="K272" s="426">
        <f t="shared" ref="K272:K287" si="36">D272/F272*1000000</f>
        <v>4.9951975966241919</v>
      </c>
      <c r="L272" s="434">
        <f t="shared" ref="L272:L287" si="37">K272/1000000</f>
        <v>4.9951975966241924E-6</v>
      </c>
    </row>
    <row r="273" spans="1:12">
      <c r="A273" s="149" t="s">
        <v>74</v>
      </c>
      <c r="B273" s="541">
        <f>B146</f>
        <v>450.27935403260932</v>
      </c>
      <c r="C273" s="235">
        <f t="shared" si="29"/>
        <v>450.27935403260932</v>
      </c>
      <c r="D273" s="579">
        <v>0</v>
      </c>
      <c r="E273" s="235">
        <f t="shared" si="30"/>
        <v>6210.2397278424214</v>
      </c>
      <c r="F273" s="546">
        <f t="shared" si="31"/>
        <v>31195.30690755065</v>
      </c>
      <c r="G273" s="558">
        <f t="shared" si="32"/>
        <v>72505.953677418918</v>
      </c>
      <c r="H273" s="555">
        <f t="shared" si="33"/>
        <v>7.2505953677418924E-2</v>
      </c>
      <c r="I273" s="558">
        <f t="shared" si="34"/>
        <v>14434.201765254047</v>
      </c>
      <c r="J273" s="425">
        <f t="shared" si="35"/>
        <v>1.4434201765254047E-2</v>
      </c>
      <c r="K273" s="426">
        <f t="shared" si="36"/>
        <v>0</v>
      </c>
      <c r="L273" s="434">
        <f t="shared" si="37"/>
        <v>0</v>
      </c>
    </row>
    <row r="274" spans="1:12">
      <c r="A274" s="149" t="s">
        <v>75</v>
      </c>
      <c r="B274" s="541">
        <f>B147</f>
        <v>2.3520000000000003E-2</v>
      </c>
      <c r="C274" s="235">
        <f t="shared" si="29"/>
        <v>2.2932000000000001E-2</v>
      </c>
      <c r="D274" s="579">
        <f>D230</f>
        <v>5.8800000000000009E-4</v>
      </c>
      <c r="E274" s="235">
        <f t="shared" si="30"/>
        <v>6210.2397278424214</v>
      </c>
      <c r="F274" s="546">
        <f t="shared" si="31"/>
        <v>31195.30690755065</v>
      </c>
      <c r="G274" s="558">
        <f t="shared" si="32"/>
        <v>3.7872934106798786</v>
      </c>
      <c r="H274" s="555">
        <f t="shared" si="33"/>
        <v>3.7872934106798784E-6</v>
      </c>
      <c r="I274" s="558">
        <f t="shared" si="34"/>
        <v>0.735110575060553</v>
      </c>
      <c r="J274" s="425">
        <f t="shared" si="35"/>
        <v>7.35110575060553E-7</v>
      </c>
      <c r="K274" s="426">
        <f t="shared" si="36"/>
        <v>1.8848989104116746E-2</v>
      </c>
      <c r="L274" s="434">
        <f t="shared" si="37"/>
        <v>1.8848989104116746E-8</v>
      </c>
    </row>
    <row r="275" spans="1:12">
      <c r="A275" s="149" t="s">
        <v>76</v>
      </c>
      <c r="B275" s="541">
        <f>B148</f>
        <v>0.26464265446041685</v>
      </c>
      <c r="C275" s="235">
        <f t="shared" si="29"/>
        <v>0.26464265446041685</v>
      </c>
      <c r="D275" s="579">
        <v>0</v>
      </c>
      <c r="E275" s="235">
        <f t="shared" si="30"/>
        <v>6210.2397278424214</v>
      </c>
      <c r="F275" s="546">
        <f t="shared" si="31"/>
        <v>31195.30690755065</v>
      </c>
      <c r="G275" s="558">
        <f t="shared" si="32"/>
        <v>42.613919278178926</v>
      </c>
      <c r="H275" s="555">
        <f t="shared" si="33"/>
        <v>4.2613919278178929E-5</v>
      </c>
      <c r="I275" s="558">
        <f t="shared" si="34"/>
        <v>8.4834124326682474</v>
      </c>
      <c r="J275" s="425">
        <f t="shared" si="35"/>
        <v>8.4834124326682482E-6</v>
      </c>
      <c r="K275" s="426">
        <f t="shared" si="36"/>
        <v>0</v>
      </c>
      <c r="L275" s="434">
        <f t="shared" si="37"/>
        <v>0</v>
      </c>
    </row>
    <row r="276" spans="1:12">
      <c r="A276" s="150" t="s">
        <v>77</v>
      </c>
      <c r="B276" s="541">
        <f>B149</f>
        <v>1.9488449114376936</v>
      </c>
      <c r="C276" s="235">
        <f t="shared" si="29"/>
        <v>1.9488449114376971E-2</v>
      </c>
      <c r="D276" s="579">
        <f>D231</f>
        <v>1.9293564623233166</v>
      </c>
      <c r="E276" s="235">
        <f t="shared" si="30"/>
        <v>6210.2397278424214</v>
      </c>
      <c r="F276" s="546">
        <f t="shared" si="31"/>
        <v>31195.30690755065</v>
      </c>
      <c r="G276" s="558">
        <f t="shared" si="32"/>
        <v>313.81154300701473</v>
      </c>
      <c r="H276" s="555">
        <f t="shared" si="33"/>
        <v>3.1381154300701473E-4</v>
      </c>
      <c r="I276" s="558">
        <f t="shared" si="34"/>
        <v>0.62472375002215164</v>
      </c>
      <c r="J276" s="425">
        <f t="shared" si="35"/>
        <v>6.247237500221516E-7</v>
      </c>
      <c r="K276" s="426">
        <f t="shared" si="36"/>
        <v>61.847651252192897</v>
      </c>
      <c r="L276" s="434">
        <f t="shared" si="37"/>
        <v>6.18476512521929E-5</v>
      </c>
    </row>
    <row r="277" spans="1:12">
      <c r="A277" s="150" t="s">
        <v>78</v>
      </c>
      <c r="B277" s="541">
        <f>B150</f>
        <v>219.71852357742503</v>
      </c>
      <c r="C277" s="235">
        <f t="shared" si="29"/>
        <v>214.22556048798941</v>
      </c>
      <c r="D277" s="579">
        <f>D232</f>
        <v>5.4929630894356265</v>
      </c>
      <c r="E277" s="235">
        <f t="shared" si="30"/>
        <v>6210.2397278424214</v>
      </c>
      <c r="F277" s="546">
        <f t="shared" si="31"/>
        <v>31195.30690755065</v>
      </c>
      <c r="G277" s="558">
        <f t="shared" si="32"/>
        <v>35380.038968924026</v>
      </c>
      <c r="H277" s="555">
        <f t="shared" si="33"/>
        <v>3.5380038968924027E-2</v>
      </c>
      <c r="I277" s="558">
        <f t="shared" si="34"/>
        <v>6867.2368290160121</v>
      </c>
      <c r="J277" s="425">
        <f t="shared" si="35"/>
        <v>6.8672368290160117E-3</v>
      </c>
      <c r="K277" s="426">
        <f t="shared" si="36"/>
        <v>176.0829956157952</v>
      </c>
      <c r="L277" s="434">
        <f t="shared" si="37"/>
        <v>1.760829956157952E-4</v>
      </c>
    </row>
    <row r="278" spans="1:12">
      <c r="A278" s="150" t="s">
        <v>79</v>
      </c>
      <c r="B278" s="541">
        <f>B151</f>
        <v>35.864099256710965</v>
      </c>
      <c r="C278" s="235">
        <f t="shared" si="29"/>
        <v>34.967496775293192</v>
      </c>
      <c r="D278" s="579">
        <f>D233</f>
        <v>0.89660248141777421</v>
      </c>
      <c r="E278" s="235">
        <f t="shared" si="30"/>
        <v>6210.2397278424214</v>
      </c>
      <c r="F278" s="546">
        <f t="shared" si="31"/>
        <v>31195.30690755065</v>
      </c>
      <c r="G278" s="558">
        <f t="shared" si="32"/>
        <v>5774.9943365183044</v>
      </c>
      <c r="H278" s="555">
        <f t="shared" si="33"/>
        <v>5.774994336518304E-3</v>
      </c>
      <c r="I278" s="558">
        <f t="shared" si="34"/>
        <v>1120.9217104009163</v>
      </c>
      <c r="J278" s="425">
        <f t="shared" si="35"/>
        <v>1.1209217104009162E-3</v>
      </c>
      <c r="K278" s="426">
        <f t="shared" si="36"/>
        <v>28.741582317972213</v>
      </c>
      <c r="L278" s="434">
        <f t="shared" si="37"/>
        <v>2.8741582317972215E-5</v>
      </c>
    </row>
    <row r="279" spans="1:12">
      <c r="A279" s="150" t="s">
        <v>80</v>
      </c>
      <c r="B279" s="541">
        <f>B152</f>
        <v>66.734565408625116</v>
      </c>
      <c r="C279" s="235">
        <f t="shared" si="29"/>
        <v>65.06620127340949</v>
      </c>
      <c r="D279" s="579">
        <f>D234</f>
        <v>1.668364135215628</v>
      </c>
      <c r="E279" s="235">
        <f t="shared" si="30"/>
        <v>6210.2397278424214</v>
      </c>
      <c r="F279" s="546">
        <f t="shared" si="31"/>
        <v>31195.30690755065</v>
      </c>
      <c r="G279" s="558">
        <f t="shared" si="32"/>
        <v>10745.89199985847</v>
      </c>
      <c r="H279" s="555">
        <f t="shared" si="33"/>
        <v>1.0745891999858469E-2</v>
      </c>
      <c r="I279" s="558">
        <f t="shared" si="34"/>
        <v>2085.7689096067388</v>
      </c>
      <c r="J279" s="425">
        <f t="shared" si="35"/>
        <v>2.0857689096067389E-3</v>
      </c>
      <c r="K279" s="426">
        <f t="shared" si="36"/>
        <v>53.481254092480484</v>
      </c>
      <c r="L279" s="434">
        <f t="shared" si="37"/>
        <v>5.3481254092480487E-5</v>
      </c>
    </row>
    <row r="280" spans="1:12">
      <c r="A280" s="150" t="s">
        <v>81</v>
      </c>
      <c r="B280" s="541">
        <f>B153</f>
        <v>37.24435889358238</v>
      </c>
      <c r="C280" s="235">
        <f t="shared" si="29"/>
        <v>37.24435889358238</v>
      </c>
      <c r="D280" s="579">
        <v>0</v>
      </c>
      <c r="E280" s="235">
        <f t="shared" si="30"/>
        <v>6210.2397278424214</v>
      </c>
      <c r="F280" s="546">
        <f t="shared" si="31"/>
        <v>31195.30690755065</v>
      </c>
      <c r="G280" s="558">
        <f t="shared" si="32"/>
        <v>5997.2497883784463</v>
      </c>
      <c r="H280" s="555">
        <f t="shared" si="33"/>
        <v>5.9972497883784464E-3</v>
      </c>
      <c r="I280" s="558">
        <f t="shared" si="34"/>
        <v>1193.9090390730405</v>
      </c>
      <c r="J280" s="425">
        <f t="shared" si="35"/>
        <v>1.1939090390730405E-3</v>
      </c>
      <c r="K280" s="426">
        <f t="shared" si="36"/>
        <v>0</v>
      </c>
      <c r="L280" s="434">
        <f t="shared" si="37"/>
        <v>0</v>
      </c>
    </row>
    <row r="281" spans="1:12">
      <c r="A281" s="150" t="s">
        <v>82</v>
      </c>
      <c r="B281" s="541">
        <f>B154</f>
        <v>0.46087752978682439</v>
      </c>
      <c r="C281" s="235">
        <f t="shared" si="29"/>
        <v>0.44935559154215376</v>
      </c>
      <c r="D281" s="579">
        <f>D235</f>
        <v>1.1521938244670611E-2</v>
      </c>
      <c r="E281" s="235">
        <f t="shared" si="30"/>
        <v>6210.2397278424214</v>
      </c>
      <c r="F281" s="546">
        <f t="shared" si="31"/>
        <v>31195.30690755065</v>
      </c>
      <c r="G281" s="558">
        <f t="shared" si="32"/>
        <v>74.212518354254215</v>
      </c>
      <c r="H281" s="555">
        <f t="shared" si="33"/>
        <v>7.4212518354254214E-5</v>
      </c>
      <c r="I281" s="558">
        <f t="shared" si="34"/>
        <v>14.404589538863929</v>
      </c>
      <c r="J281" s="425">
        <f t="shared" si="35"/>
        <v>1.4404589538863929E-5</v>
      </c>
      <c r="K281" s="426">
        <f t="shared" si="36"/>
        <v>0.36934844971445979</v>
      </c>
      <c r="L281" s="434">
        <f t="shared" si="37"/>
        <v>3.6934844971445979E-7</v>
      </c>
    </row>
    <row r="282" spans="1:12">
      <c r="A282" s="150" t="s">
        <v>630</v>
      </c>
      <c r="B282" s="541">
        <f>B155</f>
        <v>548.47296000000006</v>
      </c>
      <c r="C282" s="235">
        <f t="shared" si="29"/>
        <v>534.76113600000008</v>
      </c>
      <c r="D282" s="743">
        <f>D236</f>
        <v>13.711824000000002</v>
      </c>
      <c r="E282" s="235">
        <f t="shared" si="30"/>
        <v>6210.2397278424214</v>
      </c>
      <c r="F282" s="546">
        <f t="shared" si="31"/>
        <v>31195.30690755065</v>
      </c>
      <c r="G282" s="558">
        <f t="shared" si="32"/>
        <v>88317.518169391507</v>
      </c>
      <c r="H282" s="555">
        <f t="shared" si="33"/>
        <v>8.8317518169391512E-2</v>
      </c>
      <c r="I282" s="558">
        <f t="shared" si="34"/>
        <v>17142.358547226351</v>
      </c>
      <c r="J282" s="425">
        <f t="shared" si="35"/>
        <v>1.7142358547226351E-2</v>
      </c>
      <c r="K282" s="426">
        <f t="shared" si="36"/>
        <v>439.54765505708588</v>
      </c>
      <c r="L282" s="434">
        <f t="shared" si="37"/>
        <v>4.3954765505708587E-4</v>
      </c>
    </row>
    <row r="283" spans="1:12">
      <c r="A283" s="150" t="s">
        <v>96</v>
      </c>
      <c r="B283" s="541">
        <f>B156</f>
        <v>1598.537142857143</v>
      </c>
      <c r="C283" s="235">
        <f t="shared" si="29"/>
        <v>1558.5737142857145</v>
      </c>
      <c r="D283" s="579">
        <f>D237</f>
        <v>39.96342857142858</v>
      </c>
      <c r="E283" s="235">
        <f t="shared" si="30"/>
        <v>6210.2397278424214</v>
      </c>
      <c r="F283" s="546">
        <f t="shared" si="31"/>
        <v>31195.30690755065</v>
      </c>
      <c r="G283" s="558">
        <f t="shared" si="32"/>
        <v>257403.45186521669</v>
      </c>
      <c r="H283" s="555">
        <f t="shared" si="33"/>
        <v>0.25740345186521668</v>
      </c>
      <c r="I283" s="558">
        <f t="shared" si="34"/>
        <v>49961.800949888086</v>
      </c>
      <c r="J283" s="425">
        <f t="shared" si="35"/>
        <v>4.9961800949888086E-2</v>
      </c>
      <c r="K283" s="426">
        <f t="shared" si="36"/>
        <v>1281.0718192278998</v>
      </c>
      <c r="L283" s="434">
        <f t="shared" si="37"/>
        <v>1.2810718192278999E-3</v>
      </c>
    </row>
    <row r="284" spans="1:12">
      <c r="A284" s="151" t="s">
        <v>274</v>
      </c>
      <c r="B284" s="541">
        <f>B282+B283</f>
        <v>2147.010102857143</v>
      </c>
      <c r="C284" s="235">
        <f t="shared" si="29"/>
        <v>2093.3348502857143</v>
      </c>
      <c r="D284" s="579">
        <f>D282+D283</f>
        <v>53.67525257142858</v>
      </c>
      <c r="E284" s="235">
        <f t="shared" si="30"/>
        <v>6210.2397278424214</v>
      </c>
      <c r="F284" s="546">
        <f t="shared" si="31"/>
        <v>31195.30690755065</v>
      </c>
      <c r="G284" s="558">
        <f t="shared" si="32"/>
        <v>345720.97003460815</v>
      </c>
      <c r="H284" s="555">
        <f t="shared" si="33"/>
        <v>0.34572097003460817</v>
      </c>
      <c r="I284" s="558">
        <f t="shared" si="34"/>
        <v>67104.159497114422</v>
      </c>
      <c r="J284" s="425">
        <f t="shared" si="35"/>
        <v>6.7104159497114416E-2</v>
      </c>
      <c r="K284" s="426">
        <f t="shared" si="36"/>
        <v>1720.6194742849857</v>
      </c>
      <c r="L284" s="434">
        <f t="shared" si="37"/>
        <v>1.7206194742849857E-3</v>
      </c>
    </row>
    <row r="285" spans="1:12">
      <c r="A285" s="151" t="s">
        <v>84</v>
      </c>
      <c r="B285" s="541">
        <f>B158</f>
        <v>9.1801009653789414E-2</v>
      </c>
      <c r="C285" s="235">
        <f t="shared" si="29"/>
        <v>8.9505984412444672E-2</v>
      </c>
      <c r="D285" s="579">
        <f>D239</f>
        <v>2.2950252413447354E-3</v>
      </c>
      <c r="E285" s="235">
        <f t="shared" si="30"/>
        <v>6210.2397278424214</v>
      </c>
      <c r="F285" s="546">
        <f t="shared" si="31"/>
        <v>31195.30690755065</v>
      </c>
      <c r="G285" s="558">
        <f t="shared" si="32"/>
        <v>14.782200635865498</v>
      </c>
      <c r="H285" s="555">
        <f t="shared" si="33"/>
        <v>1.4782200635865498E-5</v>
      </c>
      <c r="I285" s="558">
        <f t="shared" si="34"/>
        <v>2.869213137658865</v>
      </c>
      <c r="J285" s="425">
        <f t="shared" si="35"/>
        <v>2.8692131376588651E-6</v>
      </c>
      <c r="K285" s="426">
        <f t="shared" si="36"/>
        <v>7.3569567632278607E-2</v>
      </c>
      <c r="L285" s="434">
        <f t="shared" si="37"/>
        <v>7.3569567632278603E-8</v>
      </c>
    </row>
    <row r="286" spans="1:12">
      <c r="A286" s="151" t="s">
        <v>248</v>
      </c>
      <c r="B286" s="33">
        <f>C208*B194*32/78</f>
        <v>9.8929015615573057</v>
      </c>
      <c r="C286" s="235">
        <f t="shared" si="29"/>
        <v>0</v>
      </c>
      <c r="D286" s="579">
        <f>D240</f>
        <v>9.8929015615573057</v>
      </c>
      <c r="E286" s="235">
        <f t="shared" si="30"/>
        <v>6210.2397278424214</v>
      </c>
      <c r="F286" s="546">
        <f t="shared" si="31"/>
        <v>31195.30690755065</v>
      </c>
      <c r="G286" s="558">
        <f t="shared" si="32"/>
        <v>1592.998337440079</v>
      </c>
      <c r="H286" s="555">
        <f t="shared" si="33"/>
        <v>1.5929983374400791E-3</v>
      </c>
      <c r="I286" s="558">
        <f t="shared" si="34"/>
        <v>0</v>
      </c>
      <c r="J286" s="425">
        <f t="shared" si="35"/>
        <v>0</v>
      </c>
      <c r="K286" s="426">
        <f t="shared" si="36"/>
        <v>317.1278805134238</v>
      </c>
      <c r="L286" s="434">
        <f t="shared" si="37"/>
        <v>3.1712788051342378E-4</v>
      </c>
    </row>
    <row r="287" spans="1:12" ht="14.65" thickBot="1">
      <c r="A287" s="152" t="s">
        <v>86</v>
      </c>
      <c r="B287" s="542">
        <f>B164</f>
        <v>7.2570684191029562</v>
      </c>
      <c r="C287" s="236">
        <f t="shared" si="29"/>
        <v>0.36285342095514839</v>
      </c>
      <c r="D287" s="581">
        <f>D241</f>
        <v>6.8942149981478078</v>
      </c>
      <c r="E287" s="236">
        <f t="shared" si="30"/>
        <v>6210.2397278424214</v>
      </c>
      <c r="F287" s="547">
        <f t="shared" si="31"/>
        <v>31195.30690755065</v>
      </c>
      <c r="G287" s="559">
        <f t="shared" si="32"/>
        <v>1168.5649406684381</v>
      </c>
      <c r="H287" s="556">
        <f t="shared" si="33"/>
        <v>1.1685649406684381E-3</v>
      </c>
      <c r="I287" s="559">
        <f t="shared" si="34"/>
        <v>11.631666969345371</v>
      </c>
      <c r="J287" s="436">
        <f t="shared" si="35"/>
        <v>1.1631666969345372E-5</v>
      </c>
      <c r="K287" s="437">
        <f t="shared" si="36"/>
        <v>221.00167241756168</v>
      </c>
      <c r="L287" s="439">
        <f t="shared" si="37"/>
        <v>2.2100167241756167E-4</v>
      </c>
    </row>
    <row r="289" spans="1:3">
      <c r="A289" s="1" t="s">
        <v>204</v>
      </c>
      <c r="B289" s="1"/>
      <c r="C289" s="1"/>
    </row>
    <row r="290" spans="1:3" ht="14.65" thickBot="1">
      <c r="A290" s="79" t="s">
        <v>361</v>
      </c>
    </row>
    <row r="291" spans="1:3" ht="14.65" thickBot="1">
      <c r="A291" s="453" t="s">
        <v>26</v>
      </c>
      <c r="B291" s="454" t="s">
        <v>27</v>
      </c>
      <c r="C291" s="455" t="s">
        <v>355</v>
      </c>
    </row>
    <row r="292" spans="1:3" ht="14.65" thickBot="1">
      <c r="A292" s="456">
        <v>0.98599999999999999</v>
      </c>
      <c r="B292" s="457">
        <v>1.4E-2</v>
      </c>
      <c r="C292" s="458">
        <v>0.3</v>
      </c>
    </row>
    <row r="294" spans="1:3" ht="14.65" thickBot="1">
      <c r="A294" s="79" t="s">
        <v>287</v>
      </c>
    </row>
    <row r="295" spans="1:3">
      <c r="A295" s="18" t="s">
        <v>53</v>
      </c>
      <c r="B295" s="104" t="s">
        <v>18</v>
      </c>
      <c r="C295" s="15" t="s">
        <v>106</v>
      </c>
    </row>
    <row r="296" spans="1:3" ht="14.65" thickBot="1">
      <c r="A296" s="93" t="s">
        <v>6</v>
      </c>
      <c r="B296" s="271" t="s">
        <v>35</v>
      </c>
      <c r="C296" s="384">
        <f>$C$247</f>
        <v>31195.30690755065</v>
      </c>
    </row>
    <row r="297" spans="1:3">
      <c r="A297" s="83"/>
      <c r="B297" s="77"/>
      <c r="C297" s="96"/>
    </row>
    <row r="298" spans="1:3" ht="14.65" thickBot="1">
      <c r="A298" s="79" t="s">
        <v>288</v>
      </c>
    </row>
    <row r="299" spans="1:3" ht="14.65" thickBot="1">
      <c r="A299" s="103" t="s">
        <v>90</v>
      </c>
      <c r="B299" s="102" t="s">
        <v>18</v>
      </c>
      <c r="C299" s="17" t="s">
        <v>91</v>
      </c>
    </row>
    <row r="300" spans="1:3">
      <c r="A300" s="276" t="s">
        <v>6</v>
      </c>
      <c r="B300" s="296" t="s">
        <v>35</v>
      </c>
      <c r="C300" s="286">
        <f>$C$296</f>
        <v>31195.30690755065</v>
      </c>
    </row>
    <row r="301" spans="1:3">
      <c r="A301" s="257" t="s">
        <v>130</v>
      </c>
      <c r="B301" s="278" t="s">
        <v>24</v>
      </c>
      <c r="C301" s="314">
        <f>A292</f>
        <v>0.98599999999999999</v>
      </c>
    </row>
    <row r="302" spans="1:3">
      <c r="A302" s="253" t="s">
        <v>191</v>
      </c>
      <c r="B302" s="270" t="s">
        <v>35</v>
      </c>
      <c r="C302" s="254">
        <f>C300*C301</f>
        <v>30758.572610844942</v>
      </c>
    </row>
    <row r="303" spans="1:3">
      <c r="A303" s="257" t="s">
        <v>131</v>
      </c>
      <c r="B303" s="278" t="s">
        <v>24</v>
      </c>
      <c r="C303" s="314">
        <f>B292</f>
        <v>1.4E-2</v>
      </c>
    </row>
    <row r="304" spans="1:3">
      <c r="A304" s="253" t="s">
        <v>192</v>
      </c>
      <c r="B304" s="270" t="s">
        <v>35</v>
      </c>
      <c r="C304" s="322">
        <f>C300*C303</f>
        <v>436.73429670570908</v>
      </c>
    </row>
    <row r="305" spans="1:3">
      <c r="A305" s="281" t="s">
        <v>355</v>
      </c>
      <c r="B305" s="278" t="s">
        <v>24</v>
      </c>
      <c r="C305" s="318">
        <f>C292</f>
        <v>0.3</v>
      </c>
    </row>
    <row r="306" spans="1:3">
      <c r="A306" s="315" t="s">
        <v>431</v>
      </c>
      <c r="B306" s="270" t="s">
        <v>35</v>
      </c>
      <c r="C306" s="317">
        <f>C304*C305</f>
        <v>131.02028901171272</v>
      </c>
    </row>
    <row r="307" spans="1:3">
      <c r="A307" s="281" t="s">
        <v>371</v>
      </c>
      <c r="B307" s="278" t="s">
        <v>24</v>
      </c>
      <c r="C307" s="318">
        <f>1-C305</f>
        <v>0.7</v>
      </c>
    </row>
    <row r="308" spans="1:3" ht="14.65" thickBot="1">
      <c r="A308" s="345" t="s">
        <v>372</v>
      </c>
      <c r="B308" s="271" t="s">
        <v>35</v>
      </c>
      <c r="C308" s="291">
        <f>C304*C307</f>
        <v>305.71400769399634</v>
      </c>
    </row>
    <row r="309" spans="1:3">
      <c r="A309" s="77"/>
      <c r="B309" s="77"/>
      <c r="C309" s="117"/>
    </row>
    <row r="310" spans="1:3" ht="14.65" thickBot="1">
      <c r="A310" s="79" t="s">
        <v>205</v>
      </c>
      <c r="B310" s="79"/>
      <c r="C310" s="79"/>
    </row>
    <row r="311" spans="1:3">
      <c r="A311" s="3" t="s">
        <v>90</v>
      </c>
      <c r="B311" s="14" t="s">
        <v>18</v>
      </c>
      <c r="C311" s="15" t="s">
        <v>106</v>
      </c>
    </row>
    <row r="312" spans="1:3">
      <c r="A312" s="282" t="s">
        <v>206</v>
      </c>
      <c r="B312" s="288" t="s">
        <v>35</v>
      </c>
      <c r="C312" s="279">
        <f>C255</f>
        <v>6210.2397278424214</v>
      </c>
    </row>
    <row r="313" spans="1:3">
      <c r="A313" s="287" t="s">
        <v>431</v>
      </c>
      <c r="B313" s="288" t="s">
        <v>35</v>
      </c>
      <c r="C313" s="289">
        <f>$C$306</f>
        <v>131.02028901171272</v>
      </c>
    </row>
    <row r="314" spans="1:3">
      <c r="A314" s="282" t="s">
        <v>374</v>
      </c>
      <c r="B314" s="288" t="s">
        <v>35</v>
      </c>
      <c r="C314" s="279">
        <f>C312-C313</f>
        <v>6079.2194388307089</v>
      </c>
    </row>
    <row r="315" spans="1:3">
      <c r="A315" s="282" t="s">
        <v>191</v>
      </c>
      <c r="B315" s="288" t="s">
        <v>35</v>
      </c>
      <c r="C315" s="279">
        <f>$C$302</f>
        <v>30758.572610844942</v>
      </c>
    </row>
    <row r="316" spans="1:3">
      <c r="A316" s="310" t="s">
        <v>64</v>
      </c>
      <c r="B316" s="283" t="s">
        <v>24</v>
      </c>
      <c r="C316" s="300">
        <f>C314/C315</f>
        <v>0.19764309338227487</v>
      </c>
    </row>
    <row r="317" spans="1:3">
      <c r="A317" s="282" t="s">
        <v>335</v>
      </c>
      <c r="B317" s="288" t="s">
        <v>35</v>
      </c>
      <c r="C317" s="279">
        <f>C262</f>
        <v>24985.067179708221</v>
      </c>
    </row>
    <row r="318" spans="1:3">
      <c r="A318" s="287" t="s">
        <v>372</v>
      </c>
      <c r="B318" s="288" t="s">
        <v>35</v>
      </c>
      <c r="C318" s="289">
        <f>$C$308</f>
        <v>305.71400769399634</v>
      </c>
    </row>
    <row r="319" spans="1:3">
      <c r="A319" s="282" t="s">
        <v>376</v>
      </c>
      <c r="B319" s="288" t="s">
        <v>35</v>
      </c>
      <c r="C319" s="279">
        <f>C317-C318</f>
        <v>24679.353172014224</v>
      </c>
    </row>
    <row r="320" spans="1:3">
      <c r="A320" s="282" t="s">
        <v>191</v>
      </c>
      <c r="B320" s="288" t="s">
        <v>35</v>
      </c>
      <c r="C320" s="279">
        <f>$C$302</f>
        <v>30758.572610844942</v>
      </c>
    </row>
    <row r="321" spans="1:8" ht="14.65" thickBot="1">
      <c r="A321" s="311" t="s">
        <v>66</v>
      </c>
      <c r="B321" s="284" t="s">
        <v>24</v>
      </c>
      <c r="C321" s="303">
        <f>C319/C320</f>
        <v>0.80235690661772485</v>
      </c>
    </row>
    <row r="322" spans="1:8">
      <c r="A322" s="77"/>
      <c r="B322" s="77"/>
      <c r="C322" s="117"/>
    </row>
    <row r="323" spans="1:8" ht="14.65" thickBot="1">
      <c r="A323" s="79" t="s">
        <v>207</v>
      </c>
    </row>
    <row r="324" spans="1:8" ht="14.65" thickBot="1">
      <c r="A324" s="419"/>
      <c r="B324" s="1028" t="s">
        <v>262</v>
      </c>
      <c r="C324" s="1029"/>
      <c r="D324" s="1031"/>
      <c r="E324" s="1065" t="s">
        <v>263</v>
      </c>
      <c r="F324" s="1061"/>
      <c r="G324" s="1061"/>
      <c r="H324" s="1009"/>
    </row>
    <row r="325" spans="1:8">
      <c r="A325" s="92" t="s">
        <v>93</v>
      </c>
      <c r="B325" s="377" t="s">
        <v>243</v>
      </c>
      <c r="C325" s="491" t="s">
        <v>374</v>
      </c>
      <c r="D325" s="492" t="s">
        <v>293</v>
      </c>
      <c r="E325" s="1039" t="s">
        <v>269</v>
      </c>
      <c r="F325" s="1040"/>
      <c r="G325" s="1022" t="s">
        <v>294</v>
      </c>
      <c r="H325" s="1023"/>
    </row>
    <row r="326" spans="1:8" ht="14.65" thickBot="1">
      <c r="A326" s="93" t="s">
        <v>18</v>
      </c>
      <c r="B326" s="403" t="s">
        <v>35</v>
      </c>
      <c r="C326" s="154" t="s">
        <v>35</v>
      </c>
      <c r="D326" s="155" t="s">
        <v>35</v>
      </c>
      <c r="E326" s="153" t="s">
        <v>257</v>
      </c>
      <c r="F326" s="423" t="s">
        <v>237</v>
      </c>
      <c r="G326" s="403" t="s">
        <v>71</v>
      </c>
      <c r="H326" s="155" t="s">
        <v>237</v>
      </c>
    </row>
    <row r="327" spans="1:8">
      <c r="A327" s="150" t="s">
        <v>72</v>
      </c>
      <c r="B327" s="540">
        <f>C271</f>
        <v>161.84002022130252</v>
      </c>
      <c r="C327" s="428">
        <f>$C$314</f>
        <v>6079.2194388307089</v>
      </c>
      <c r="D327" s="545">
        <f>$C$302</f>
        <v>30758.572610844942</v>
      </c>
      <c r="E327" s="557">
        <f>B327/C327*1000000</f>
        <v>26621.842137751686</v>
      </c>
      <c r="F327" s="554">
        <f>E327/1000000</f>
        <v>2.6621842137751685E-2</v>
      </c>
      <c r="G327" s="557">
        <f>B327/D327*1000000</f>
        <v>5261.6232316398364</v>
      </c>
      <c r="H327" s="433">
        <f>G327/1000000</f>
        <v>5.2616232316398366E-3</v>
      </c>
    </row>
    <row r="328" spans="1:8">
      <c r="A328" s="149" t="s">
        <v>73</v>
      </c>
      <c r="B328" s="541">
        <f>C272</f>
        <v>1.7314080232283452E-2</v>
      </c>
      <c r="C328" s="235">
        <f t="shared" ref="C328:C343" si="38">$C$314</f>
        <v>6079.2194388307089</v>
      </c>
      <c r="D328" s="546">
        <f t="shared" ref="D328:D343" si="39">$C$302</f>
        <v>30758.572610844942</v>
      </c>
      <c r="E328" s="558">
        <f t="shared" ref="E328:E343" si="40">B328/C328*1000000</f>
        <v>2.8480762055882756</v>
      </c>
      <c r="F328" s="555">
        <f t="shared" ref="F328:F343" si="41">E328/1000000</f>
        <v>2.8480762055882757E-6</v>
      </c>
      <c r="G328" s="558">
        <f t="shared" ref="G328:G343" si="42">B328/D328*1000000</f>
        <v>0.56290259146091859</v>
      </c>
      <c r="H328" s="434">
        <f t="shared" ref="H328:H343" si="43">G328/1000000</f>
        <v>5.6290259146091861E-7</v>
      </c>
    </row>
    <row r="329" spans="1:8">
      <c r="A329" s="149" t="s">
        <v>74</v>
      </c>
      <c r="B329" s="541">
        <f>C273</f>
        <v>450.27935403260932</v>
      </c>
      <c r="C329" s="235">
        <f t="shared" si="38"/>
        <v>6079.2194388307089</v>
      </c>
      <c r="D329" s="546">
        <f t="shared" si="39"/>
        <v>30758.572610844942</v>
      </c>
      <c r="E329" s="558">
        <f t="shared" si="40"/>
        <v>74068.613341455071</v>
      </c>
      <c r="F329" s="555">
        <f t="shared" si="41"/>
        <v>7.4068613341455078E-2</v>
      </c>
      <c r="G329" s="558">
        <f t="shared" si="42"/>
        <v>14639.149863340816</v>
      </c>
      <c r="H329" s="434">
        <f t="shared" si="43"/>
        <v>1.4639149863340816E-2</v>
      </c>
    </row>
    <row r="330" spans="1:8">
      <c r="A330" s="149" t="s">
        <v>75</v>
      </c>
      <c r="B330" s="541">
        <f>C274</f>
        <v>2.2932000000000001E-2</v>
      </c>
      <c r="C330" s="235">
        <f t="shared" si="38"/>
        <v>6079.2194388307089</v>
      </c>
      <c r="D330" s="546">
        <f t="shared" si="39"/>
        <v>30758.572610844942</v>
      </c>
      <c r="E330" s="558">
        <f t="shared" si="40"/>
        <v>3.772194807366716</v>
      </c>
      <c r="F330" s="555">
        <f t="shared" si="41"/>
        <v>3.7721948073667161E-6</v>
      </c>
      <c r="G330" s="558">
        <f t="shared" si="42"/>
        <v>0.74554825056851226</v>
      </c>
      <c r="H330" s="434">
        <f t="shared" si="43"/>
        <v>7.4554825056851222E-7</v>
      </c>
    </row>
    <row r="331" spans="1:8">
      <c r="A331" s="149" t="s">
        <v>76</v>
      </c>
      <c r="B331" s="541">
        <f>C275</f>
        <v>0.26464265446041685</v>
      </c>
      <c r="C331" s="235">
        <f t="shared" si="38"/>
        <v>6079.2194388307089</v>
      </c>
      <c r="D331" s="546">
        <f t="shared" si="39"/>
        <v>30758.572610844942</v>
      </c>
      <c r="E331" s="558">
        <f t="shared" si="40"/>
        <v>43.532341137420566</v>
      </c>
      <c r="F331" s="555">
        <f t="shared" si="41"/>
        <v>4.3532341137420567E-5</v>
      </c>
      <c r="G331" s="558">
        <f t="shared" si="42"/>
        <v>8.6038665645722592</v>
      </c>
      <c r="H331" s="434">
        <f t="shared" si="43"/>
        <v>8.6038665645722599E-6</v>
      </c>
    </row>
    <row r="332" spans="1:8">
      <c r="A332" s="150" t="s">
        <v>77</v>
      </c>
      <c r="B332" s="541">
        <f>C276</f>
        <v>1.9488449114376971E-2</v>
      </c>
      <c r="C332" s="235">
        <f t="shared" si="38"/>
        <v>6079.2194388307089</v>
      </c>
      <c r="D332" s="546">
        <f t="shared" si="39"/>
        <v>30758.572610844942</v>
      </c>
      <c r="E332" s="558">
        <f t="shared" si="40"/>
        <v>3.2057485850725311</v>
      </c>
      <c r="F332" s="555">
        <f t="shared" si="41"/>
        <v>3.205748585072531E-6</v>
      </c>
      <c r="G332" s="558">
        <f t="shared" si="42"/>
        <v>0.63359406695958576</v>
      </c>
      <c r="H332" s="434">
        <f t="shared" si="43"/>
        <v>6.3359406695958576E-7</v>
      </c>
    </row>
    <row r="333" spans="1:8">
      <c r="A333" s="150" t="s">
        <v>78</v>
      </c>
      <c r="B333" s="541">
        <f>C277</f>
        <v>214.22556048798941</v>
      </c>
      <c r="C333" s="235">
        <f t="shared" si="38"/>
        <v>6079.2194388307089</v>
      </c>
      <c r="D333" s="546">
        <f t="shared" si="39"/>
        <v>30758.572610844942</v>
      </c>
      <c r="E333" s="558">
        <f t="shared" si="40"/>
        <v>35238.991229636224</v>
      </c>
      <c r="F333" s="555">
        <f t="shared" si="41"/>
        <v>3.5238991229636224E-2</v>
      </c>
      <c r="G333" s="558">
        <f t="shared" si="42"/>
        <v>6964.7432342961574</v>
      </c>
      <c r="H333" s="434">
        <f t="shared" si="43"/>
        <v>6.9647432342961578E-3</v>
      </c>
    </row>
    <row r="334" spans="1:8">
      <c r="A334" s="150" t="s">
        <v>79</v>
      </c>
      <c r="B334" s="541">
        <f>C278</f>
        <v>34.967496775293192</v>
      </c>
      <c r="C334" s="235">
        <f t="shared" si="38"/>
        <v>6079.2194388307089</v>
      </c>
      <c r="D334" s="546">
        <f t="shared" si="39"/>
        <v>30758.572610844942</v>
      </c>
      <c r="E334" s="558">
        <f t="shared" si="40"/>
        <v>5751.9714705378228</v>
      </c>
      <c r="F334" s="555">
        <f t="shared" si="41"/>
        <v>5.7519714705378229E-3</v>
      </c>
      <c r="G334" s="558">
        <f t="shared" si="42"/>
        <v>1136.837434483688</v>
      </c>
      <c r="H334" s="434">
        <f t="shared" si="43"/>
        <v>1.1368374344836879E-3</v>
      </c>
    </row>
    <row r="335" spans="1:8">
      <c r="A335" s="150" t="s">
        <v>80</v>
      </c>
      <c r="B335" s="541">
        <f>C279</f>
        <v>65.06620127340949</v>
      </c>
      <c r="C335" s="235">
        <f t="shared" si="38"/>
        <v>6079.2194388307089</v>
      </c>
      <c r="D335" s="546">
        <f t="shared" si="39"/>
        <v>30758.572610844942</v>
      </c>
      <c r="E335" s="558">
        <f t="shared" si="40"/>
        <v>10703.051917784444</v>
      </c>
      <c r="F335" s="555">
        <f t="shared" si="41"/>
        <v>1.0703051917784444E-2</v>
      </c>
      <c r="G335" s="558">
        <f t="shared" si="42"/>
        <v>2115.3842896620072</v>
      </c>
      <c r="H335" s="434">
        <f t="shared" si="43"/>
        <v>2.1153842896620072E-3</v>
      </c>
    </row>
    <row r="336" spans="1:8">
      <c r="A336" s="150" t="s">
        <v>81</v>
      </c>
      <c r="B336" s="541">
        <f>C280</f>
        <v>37.24435889358238</v>
      </c>
      <c r="C336" s="235">
        <f t="shared" si="38"/>
        <v>6079.2194388307089</v>
      </c>
      <c r="D336" s="546">
        <f t="shared" si="39"/>
        <v>30758.572610844942</v>
      </c>
      <c r="E336" s="558">
        <f t="shared" si="40"/>
        <v>6126.5034546517454</v>
      </c>
      <c r="F336" s="555">
        <f t="shared" si="41"/>
        <v>6.1265034546517452E-3</v>
      </c>
      <c r="G336" s="558">
        <f t="shared" si="42"/>
        <v>1210.8610943945644</v>
      </c>
      <c r="H336" s="434">
        <f t="shared" si="43"/>
        <v>1.2108610943945644E-3</v>
      </c>
    </row>
    <row r="337" spans="1:8">
      <c r="A337" s="150" t="s">
        <v>82</v>
      </c>
      <c r="B337" s="541">
        <f>C281</f>
        <v>0.44935559154215376</v>
      </c>
      <c r="C337" s="235">
        <f t="shared" si="38"/>
        <v>6079.2194388307089</v>
      </c>
      <c r="D337" s="546">
        <f t="shared" si="39"/>
        <v>30758.572610844942</v>
      </c>
      <c r="E337" s="558">
        <f t="shared" si="40"/>
        <v>73.916659213174228</v>
      </c>
      <c r="F337" s="555">
        <f t="shared" si="41"/>
        <v>7.391665921317423E-5</v>
      </c>
      <c r="G337" s="558">
        <f t="shared" si="42"/>
        <v>14.609117179375181</v>
      </c>
      <c r="H337" s="434">
        <f t="shared" si="43"/>
        <v>1.4609117179375182E-5</v>
      </c>
    </row>
    <row r="338" spans="1:8">
      <c r="A338" s="150" t="s">
        <v>630</v>
      </c>
      <c r="B338" s="541">
        <f>C282</f>
        <v>534.76113600000008</v>
      </c>
      <c r="C338" s="235">
        <f t="shared" si="38"/>
        <v>6079.2194388307089</v>
      </c>
      <c r="D338" s="546">
        <f t="shared" si="39"/>
        <v>30758.572610844942</v>
      </c>
      <c r="E338" s="558">
        <f t="shared" si="40"/>
        <v>87965.427367901895</v>
      </c>
      <c r="F338" s="555">
        <f t="shared" si="41"/>
        <v>8.7965427367901888E-2</v>
      </c>
      <c r="G338" s="558">
        <f t="shared" si="42"/>
        <v>17385.759175685951</v>
      </c>
      <c r="H338" s="434">
        <f t="shared" si="43"/>
        <v>1.7385759175685953E-2</v>
      </c>
    </row>
    <row r="339" spans="1:8">
      <c r="A339" s="150" t="s">
        <v>96</v>
      </c>
      <c r="B339" s="541">
        <f>C283</f>
        <v>1558.5737142857145</v>
      </c>
      <c r="C339" s="235">
        <f t="shared" si="38"/>
        <v>6079.2194388307089</v>
      </c>
      <c r="D339" s="546">
        <f t="shared" si="39"/>
        <v>30758.572610844942</v>
      </c>
      <c r="E339" s="558">
        <f t="shared" si="40"/>
        <v>256377.27507094137</v>
      </c>
      <c r="F339" s="555">
        <f t="shared" si="41"/>
        <v>0.25637727507094138</v>
      </c>
      <c r="G339" s="558">
        <f t="shared" si="42"/>
        <v>50671.197717939234</v>
      </c>
      <c r="H339" s="434">
        <f t="shared" si="43"/>
        <v>5.0671197717939237E-2</v>
      </c>
    </row>
    <row r="340" spans="1:8">
      <c r="A340" s="151" t="s">
        <v>274</v>
      </c>
      <c r="B340" s="541">
        <f>C284</f>
        <v>2093.3348502857143</v>
      </c>
      <c r="C340" s="235">
        <f t="shared" si="38"/>
        <v>6079.2194388307089</v>
      </c>
      <c r="D340" s="546">
        <f t="shared" si="39"/>
        <v>30758.572610844942</v>
      </c>
      <c r="E340" s="558">
        <f t="shared" si="40"/>
        <v>344342.70243884326</v>
      </c>
      <c r="F340" s="555">
        <f t="shared" si="41"/>
        <v>0.34434270243884324</v>
      </c>
      <c r="G340" s="558">
        <f t="shared" si="42"/>
        <v>68056.956893625174</v>
      </c>
      <c r="H340" s="434">
        <f t="shared" si="43"/>
        <v>6.8056956893625176E-2</v>
      </c>
    </row>
    <row r="341" spans="1:8">
      <c r="A341" s="151" t="s">
        <v>84</v>
      </c>
      <c r="B341" s="541">
        <f>C285</f>
        <v>8.9505984412444672E-2</v>
      </c>
      <c r="C341" s="235">
        <f t="shared" si="38"/>
        <v>6079.2194388307089</v>
      </c>
      <c r="D341" s="546">
        <f t="shared" si="39"/>
        <v>30758.572610844942</v>
      </c>
      <c r="E341" s="558">
        <f t="shared" si="40"/>
        <v>14.723269214585295</v>
      </c>
      <c r="F341" s="555">
        <f t="shared" si="41"/>
        <v>1.4723269214585296E-5</v>
      </c>
      <c r="G341" s="558">
        <f t="shared" si="42"/>
        <v>2.9099524722706542</v>
      </c>
      <c r="H341" s="434">
        <f t="shared" si="43"/>
        <v>2.9099524722706542E-6</v>
      </c>
    </row>
    <row r="342" spans="1:8">
      <c r="A342" s="151" t="s">
        <v>248</v>
      </c>
      <c r="B342" s="541">
        <f>C286</f>
        <v>0</v>
      </c>
      <c r="C342" s="235">
        <f t="shared" si="38"/>
        <v>6079.2194388307089</v>
      </c>
      <c r="D342" s="546">
        <f t="shared" si="39"/>
        <v>30758.572610844942</v>
      </c>
      <c r="E342" s="558">
        <f t="shared" si="40"/>
        <v>0</v>
      </c>
      <c r="F342" s="555">
        <f t="shared" si="41"/>
        <v>0</v>
      </c>
      <c r="G342" s="558">
        <f t="shared" si="42"/>
        <v>0</v>
      </c>
      <c r="H342" s="434">
        <f t="shared" si="43"/>
        <v>0</v>
      </c>
    </row>
    <row r="343" spans="1:8" ht="14.65" thickBot="1">
      <c r="A343" s="152" t="s">
        <v>86</v>
      </c>
      <c r="B343" s="542">
        <f>C287</f>
        <v>0.36285342095514839</v>
      </c>
      <c r="C343" s="236">
        <f t="shared" si="38"/>
        <v>6079.2194388307089</v>
      </c>
      <c r="D343" s="547">
        <f t="shared" si="39"/>
        <v>30758.572610844942</v>
      </c>
      <c r="E343" s="559">
        <f t="shared" si="40"/>
        <v>59.687501760084594</v>
      </c>
      <c r="F343" s="556">
        <f t="shared" si="41"/>
        <v>5.9687501760084592E-5</v>
      </c>
      <c r="G343" s="559">
        <f t="shared" si="42"/>
        <v>11.796822484123094</v>
      </c>
      <c r="H343" s="439">
        <f t="shared" si="43"/>
        <v>1.1796822484123094E-5</v>
      </c>
    </row>
    <row r="344" spans="1:8">
      <c r="A344" s="145"/>
      <c r="B344" s="234"/>
      <c r="C344" s="96"/>
      <c r="D344" s="96"/>
      <c r="E344" s="95"/>
      <c r="F344" s="95"/>
    </row>
    <row r="345" spans="1:8" ht="14.65" thickBot="1">
      <c r="A345" s="79" t="s">
        <v>215</v>
      </c>
    </row>
    <row r="346" spans="1:8" ht="14.65" thickBot="1">
      <c r="A346" s="419"/>
      <c r="B346" s="1028" t="s">
        <v>262</v>
      </c>
      <c r="C346" s="1029"/>
      <c r="D346" s="1031"/>
      <c r="E346" s="1065" t="s">
        <v>263</v>
      </c>
      <c r="F346" s="1061"/>
      <c r="G346" s="1061"/>
      <c r="H346" s="1009"/>
    </row>
    <row r="347" spans="1:8">
      <c r="A347" s="92" t="s">
        <v>93</v>
      </c>
      <c r="B347" s="377" t="s">
        <v>256</v>
      </c>
      <c r="C347" s="491" t="s">
        <v>431</v>
      </c>
      <c r="D347" s="492" t="s">
        <v>295</v>
      </c>
      <c r="E347" s="1039" t="s">
        <v>269</v>
      </c>
      <c r="F347" s="1040"/>
      <c r="G347" s="1022" t="s">
        <v>296</v>
      </c>
      <c r="H347" s="1023"/>
    </row>
    <row r="348" spans="1:8" ht="14.65" thickBot="1">
      <c r="A348" s="93" t="s">
        <v>18</v>
      </c>
      <c r="B348" s="403" t="s">
        <v>35</v>
      </c>
      <c r="C348" s="154" t="s">
        <v>35</v>
      </c>
      <c r="D348" s="155" t="s">
        <v>35</v>
      </c>
      <c r="E348" s="153" t="s">
        <v>257</v>
      </c>
      <c r="F348" s="423" t="s">
        <v>237</v>
      </c>
      <c r="G348" s="403" t="s">
        <v>71</v>
      </c>
      <c r="H348" s="155" t="s">
        <v>237</v>
      </c>
    </row>
    <row r="349" spans="1:8">
      <c r="A349" s="150" t="s">
        <v>72</v>
      </c>
      <c r="B349" s="156">
        <f>D271</f>
        <v>4.1497441082385267</v>
      </c>
      <c r="C349" s="428">
        <f>$C$306</f>
        <v>131.02028901171272</v>
      </c>
      <c r="D349" s="545">
        <f>$C$304</f>
        <v>436.73429670570908</v>
      </c>
      <c r="E349" s="557">
        <f>B349/C349*1000000</f>
        <v>31672.530564083514</v>
      </c>
      <c r="F349" s="554">
        <f>E349/1000000</f>
        <v>3.1672530564083513E-2</v>
      </c>
      <c r="G349" s="557">
        <f>B349/D349*1000000</f>
        <v>9501.7591692250535</v>
      </c>
      <c r="H349" s="433">
        <f>G349/1000000</f>
        <v>9.5017591692250526E-3</v>
      </c>
    </row>
    <row r="350" spans="1:8">
      <c r="A350" s="149" t="s">
        <v>73</v>
      </c>
      <c r="B350" s="157">
        <f>D272</f>
        <v>0.15582672209055104</v>
      </c>
      <c r="C350" s="235">
        <f t="shared" ref="C350:C365" si="44">$C$306</f>
        <v>131.02028901171272</v>
      </c>
      <c r="D350" s="546">
        <f t="shared" ref="D350:D365" si="45">$C$304</f>
        <v>436.73429670570908</v>
      </c>
      <c r="E350" s="558">
        <f t="shared" ref="E350:E365" si="46">B350/C350*1000000</f>
        <v>1189.3327611009979</v>
      </c>
      <c r="F350" s="555">
        <f t="shared" ref="F350:F365" si="47">E350/1000000</f>
        <v>1.189332761100998E-3</v>
      </c>
      <c r="G350" s="558">
        <f t="shared" ref="G350:G365" si="48">B350/D350*1000000</f>
        <v>356.79982833029942</v>
      </c>
      <c r="H350" s="434">
        <f t="shared" ref="H350:H365" si="49">G350/1000000</f>
        <v>3.5679982833029941E-4</v>
      </c>
    </row>
    <row r="351" spans="1:8">
      <c r="A351" s="149" t="s">
        <v>74</v>
      </c>
      <c r="B351" s="157">
        <f>D273</f>
        <v>0</v>
      </c>
      <c r="C351" s="235">
        <f t="shared" si="44"/>
        <v>131.02028901171272</v>
      </c>
      <c r="D351" s="546">
        <f t="shared" si="45"/>
        <v>436.73429670570908</v>
      </c>
      <c r="E351" s="558">
        <f t="shared" si="46"/>
        <v>0</v>
      </c>
      <c r="F351" s="555">
        <f t="shared" si="47"/>
        <v>0</v>
      </c>
      <c r="G351" s="558">
        <f t="shared" si="48"/>
        <v>0</v>
      </c>
      <c r="H351" s="434">
        <f t="shared" si="49"/>
        <v>0</v>
      </c>
    </row>
    <row r="352" spans="1:8">
      <c r="A352" s="149" t="s">
        <v>75</v>
      </c>
      <c r="B352" s="157">
        <f>D274</f>
        <v>5.8800000000000009E-4</v>
      </c>
      <c r="C352" s="235">
        <f t="shared" si="44"/>
        <v>131.02028901171272</v>
      </c>
      <c r="D352" s="546">
        <f t="shared" si="45"/>
        <v>436.73429670570908</v>
      </c>
      <c r="E352" s="558">
        <f t="shared" si="46"/>
        <v>4.4878545485992252</v>
      </c>
      <c r="F352" s="555">
        <f t="shared" si="47"/>
        <v>4.4878545485992255E-6</v>
      </c>
      <c r="G352" s="558">
        <f t="shared" si="48"/>
        <v>1.3463563645797676</v>
      </c>
      <c r="H352" s="434">
        <f t="shared" si="49"/>
        <v>1.3463563645797676E-6</v>
      </c>
    </row>
    <row r="353" spans="1:8">
      <c r="A353" s="149" t="s">
        <v>76</v>
      </c>
      <c r="B353" s="157">
        <f>D275</f>
        <v>0</v>
      </c>
      <c r="C353" s="235">
        <f t="shared" si="44"/>
        <v>131.02028901171272</v>
      </c>
      <c r="D353" s="546">
        <f t="shared" si="45"/>
        <v>436.73429670570908</v>
      </c>
      <c r="E353" s="558">
        <f t="shared" si="46"/>
        <v>0</v>
      </c>
      <c r="F353" s="555">
        <f t="shared" si="47"/>
        <v>0</v>
      </c>
      <c r="G353" s="558">
        <f t="shared" si="48"/>
        <v>0</v>
      </c>
      <c r="H353" s="434">
        <f t="shared" si="49"/>
        <v>0</v>
      </c>
    </row>
    <row r="354" spans="1:8">
      <c r="A354" s="150" t="s">
        <v>77</v>
      </c>
      <c r="B354" s="157">
        <f>D276</f>
        <v>1.9293564623233166</v>
      </c>
      <c r="C354" s="235">
        <f t="shared" si="44"/>
        <v>131.02028901171272</v>
      </c>
      <c r="D354" s="546">
        <f t="shared" si="45"/>
        <v>436.73429670570908</v>
      </c>
      <c r="E354" s="558">
        <f t="shared" si="46"/>
        <v>14725.631250522118</v>
      </c>
      <c r="F354" s="555">
        <f t="shared" si="47"/>
        <v>1.4725631250522118E-2</v>
      </c>
      <c r="G354" s="558">
        <f t="shared" si="48"/>
        <v>4417.6893751566358</v>
      </c>
      <c r="H354" s="434">
        <f t="shared" si="49"/>
        <v>4.4176893751566356E-3</v>
      </c>
    </row>
    <row r="355" spans="1:8">
      <c r="A355" s="150" t="s">
        <v>78</v>
      </c>
      <c r="B355" s="157">
        <f>D277</f>
        <v>5.4929630894356265</v>
      </c>
      <c r="C355" s="235">
        <f t="shared" si="44"/>
        <v>131.02028901171272</v>
      </c>
      <c r="D355" s="546">
        <f t="shared" si="45"/>
        <v>436.73429670570908</v>
      </c>
      <c r="E355" s="558">
        <f t="shared" si="46"/>
        <v>41924.522765665526</v>
      </c>
      <c r="F355" s="555">
        <f t="shared" si="47"/>
        <v>4.1924522765665523E-2</v>
      </c>
      <c r="G355" s="558">
        <f t="shared" si="48"/>
        <v>12577.356829699658</v>
      </c>
      <c r="H355" s="434">
        <f t="shared" si="49"/>
        <v>1.2577356829699658E-2</v>
      </c>
    </row>
    <row r="356" spans="1:8">
      <c r="A356" s="150" t="s">
        <v>79</v>
      </c>
      <c r="B356" s="157">
        <f>D278</f>
        <v>0.89660248141777421</v>
      </c>
      <c r="C356" s="235">
        <f t="shared" si="44"/>
        <v>131.02028901171272</v>
      </c>
      <c r="D356" s="546">
        <f t="shared" si="45"/>
        <v>436.73429670570908</v>
      </c>
      <c r="E356" s="558">
        <f t="shared" si="46"/>
        <v>6843.2338852314797</v>
      </c>
      <c r="F356" s="555">
        <f t="shared" si="47"/>
        <v>6.8432338852314799E-3</v>
      </c>
      <c r="G356" s="558">
        <f t="shared" si="48"/>
        <v>2052.9701655694439</v>
      </c>
      <c r="H356" s="434">
        <f t="shared" si="49"/>
        <v>2.0529701655694439E-3</v>
      </c>
    </row>
    <row r="357" spans="1:8">
      <c r="A357" s="150" t="s">
        <v>80</v>
      </c>
      <c r="B357" s="157">
        <f>D279</f>
        <v>1.668364135215628</v>
      </c>
      <c r="C357" s="235">
        <f t="shared" si="44"/>
        <v>131.02028901171272</v>
      </c>
      <c r="D357" s="546">
        <f t="shared" si="45"/>
        <v>436.73429670570908</v>
      </c>
      <c r="E357" s="558">
        <f t="shared" si="46"/>
        <v>12733.631926781069</v>
      </c>
      <c r="F357" s="555">
        <f t="shared" si="47"/>
        <v>1.2733631926781069E-2</v>
      </c>
      <c r="G357" s="558">
        <f t="shared" si="48"/>
        <v>3820.0895780343203</v>
      </c>
      <c r="H357" s="434">
        <f t="shared" si="49"/>
        <v>3.8200895780343201E-3</v>
      </c>
    </row>
    <row r="358" spans="1:8">
      <c r="A358" s="150" t="s">
        <v>81</v>
      </c>
      <c r="B358" s="157">
        <f>D280</f>
        <v>0</v>
      </c>
      <c r="C358" s="235">
        <f t="shared" si="44"/>
        <v>131.02028901171272</v>
      </c>
      <c r="D358" s="546">
        <f t="shared" si="45"/>
        <v>436.73429670570908</v>
      </c>
      <c r="E358" s="558">
        <f t="shared" si="46"/>
        <v>0</v>
      </c>
      <c r="F358" s="555">
        <f t="shared" si="47"/>
        <v>0</v>
      </c>
      <c r="G358" s="558">
        <f t="shared" si="48"/>
        <v>0</v>
      </c>
      <c r="H358" s="434">
        <f t="shared" si="49"/>
        <v>0</v>
      </c>
    </row>
    <row r="359" spans="1:8">
      <c r="A359" s="150" t="s">
        <v>82</v>
      </c>
      <c r="B359" s="157">
        <f>D281</f>
        <v>1.1521938244670611E-2</v>
      </c>
      <c r="C359" s="235">
        <f t="shared" si="44"/>
        <v>131.02028901171272</v>
      </c>
      <c r="D359" s="546">
        <f t="shared" si="45"/>
        <v>436.73429670570908</v>
      </c>
      <c r="E359" s="558">
        <f t="shared" si="46"/>
        <v>87.940107074871378</v>
      </c>
      <c r="F359" s="555">
        <f t="shared" si="47"/>
        <v>8.7940107074871378E-5</v>
      </c>
      <c r="G359" s="558">
        <f t="shared" si="48"/>
        <v>26.382032122461414</v>
      </c>
      <c r="H359" s="434">
        <f t="shared" si="49"/>
        <v>2.6382032122461415E-5</v>
      </c>
    </row>
    <row r="360" spans="1:8">
      <c r="A360" s="150" t="s">
        <v>630</v>
      </c>
      <c r="B360" s="157">
        <f>D282</f>
        <v>13.711824000000002</v>
      </c>
      <c r="C360" s="235">
        <f t="shared" si="44"/>
        <v>131.02028901171272</v>
      </c>
      <c r="D360" s="546">
        <f t="shared" si="45"/>
        <v>436.73429670570908</v>
      </c>
      <c r="E360" s="558">
        <f t="shared" si="46"/>
        <v>104654.20358502047</v>
      </c>
      <c r="F360" s="555">
        <f t="shared" si="47"/>
        <v>0.10465420358502046</v>
      </c>
      <c r="G360" s="558">
        <f t="shared" si="48"/>
        <v>31396.261075506136</v>
      </c>
      <c r="H360" s="434">
        <f t="shared" si="49"/>
        <v>3.1396261075506138E-2</v>
      </c>
    </row>
    <row r="361" spans="1:8">
      <c r="A361" s="150" t="s">
        <v>96</v>
      </c>
      <c r="B361" s="157">
        <f>D283</f>
        <v>39.96342857142858</v>
      </c>
      <c r="C361" s="235">
        <f t="shared" si="44"/>
        <v>131.02028901171272</v>
      </c>
      <c r="D361" s="546">
        <f t="shared" si="45"/>
        <v>436.73429670570908</v>
      </c>
      <c r="E361" s="558">
        <f t="shared" si="46"/>
        <v>305017.09981616662</v>
      </c>
      <c r="F361" s="555">
        <f t="shared" si="47"/>
        <v>0.30501709981616665</v>
      </c>
      <c r="G361" s="558">
        <f t="shared" si="48"/>
        <v>91505.129944849978</v>
      </c>
      <c r="H361" s="434">
        <f t="shared" si="49"/>
        <v>9.1505129944849981E-2</v>
      </c>
    </row>
    <row r="362" spans="1:8">
      <c r="A362" s="151" t="s">
        <v>274</v>
      </c>
      <c r="B362" s="157">
        <f>D284</f>
        <v>53.67525257142858</v>
      </c>
      <c r="C362" s="235">
        <f t="shared" si="44"/>
        <v>131.02028901171272</v>
      </c>
      <c r="D362" s="546">
        <f t="shared" si="45"/>
        <v>436.73429670570908</v>
      </c>
      <c r="E362" s="558">
        <f t="shared" si="46"/>
        <v>409671.30340118706</v>
      </c>
      <c r="F362" s="555">
        <f t="shared" si="47"/>
        <v>0.40967130340118707</v>
      </c>
      <c r="G362" s="558">
        <f t="shared" si="48"/>
        <v>122901.39102035612</v>
      </c>
      <c r="H362" s="434">
        <f t="shared" si="49"/>
        <v>0.12290139102035612</v>
      </c>
    </row>
    <row r="363" spans="1:8">
      <c r="A363" s="151" t="s">
        <v>84</v>
      </c>
      <c r="B363" s="157">
        <f>D285</f>
        <v>2.2950252413447354E-3</v>
      </c>
      <c r="C363" s="235">
        <f t="shared" si="44"/>
        <v>131.02028901171272</v>
      </c>
      <c r="D363" s="546">
        <f t="shared" si="45"/>
        <v>436.73429670570908</v>
      </c>
      <c r="E363" s="558">
        <f t="shared" si="46"/>
        <v>17.516563721971096</v>
      </c>
      <c r="F363" s="555">
        <f t="shared" si="47"/>
        <v>1.7516563721971097E-5</v>
      </c>
      <c r="G363" s="558">
        <f t="shared" si="48"/>
        <v>5.2549691165913286</v>
      </c>
      <c r="H363" s="434">
        <f t="shared" si="49"/>
        <v>5.2549691165913288E-6</v>
      </c>
    </row>
    <row r="364" spans="1:8">
      <c r="A364" s="151" t="s">
        <v>248</v>
      </c>
      <c r="B364" s="157">
        <f>D286</f>
        <v>9.8929015615573057</v>
      </c>
      <c r="C364" s="235">
        <f t="shared" si="44"/>
        <v>131.02028901171272</v>
      </c>
      <c r="D364" s="546">
        <f t="shared" si="45"/>
        <v>436.73429670570908</v>
      </c>
      <c r="E364" s="558">
        <f t="shared" si="46"/>
        <v>75506.638217481857</v>
      </c>
      <c r="F364" s="555">
        <f t="shared" si="47"/>
        <v>7.5506638217481853E-2</v>
      </c>
      <c r="G364" s="558">
        <f t="shared" si="48"/>
        <v>22651.991465244555</v>
      </c>
      <c r="H364" s="434">
        <f t="shared" si="49"/>
        <v>2.2651991465244554E-2</v>
      </c>
    </row>
    <row r="365" spans="1:8" ht="14.65" thickBot="1">
      <c r="A365" s="152" t="s">
        <v>86</v>
      </c>
      <c r="B365" s="158">
        <f>D287</f>
        <v>6.8942149981478078</v>
      </c>
      <c r="C365" s="236">
        <f t="shared" si="44"/>
        <v>131.02028901171272</v>
      </c>
      <c r="D365" s="547">
        <f t="shared" si="45"/>
        <v>436.73429670570908</v>
      </c>
      <c r="E365" s="559">
        <f t="shared" si="46"/>
        <v>52619.44581370517</v>
      </c>
      <c r="F365" s="556">
        <f t="shared" si="47"/>
        <v>5.2619445813705167E-2</v>
      </c>
      <c r="G365" s="559">
        <f t="shared" si="48"/>
        <v>15785.833744111549</v>
      </c>
      <c r="H365" s="439">
        <f t="shared" si="49"/>
        <v>1.5785833744111549E-2</v>
      </c>
    </row>
    <row r="366" spans="1:8">
      <c r="A366" s="145"/>
      <c r="B366" s="234"/>
      <c r="C366" s="96"/>
      <c r="D366" s="96"/>
      <c r="E366" s="95"/>
      <c r="F366" s="95"/>
    </row>
    <row r="367" spans="1:8">
      <c r="A367" s="1" t="s">
        <v>209</v>
      </c>
      <c r="B367" s="1"/>
      <c r="C367" s="1"/>
      <c r="D367" s="1"/>
    </row>
    <row r="368" spans="1:8" ht="14.65" thickBot="1">
      <c r="A368" s="79" t="s">
        <v>358</v>
      </c>
      <c r="B368" s="79"/>
      <c r="C368" s="79"/>
    </row>
    <row r="369" spans="1:6">
      <c r="A369" s="2"/>
      <c r="B369" s="323" t="s">
        <v>614</v>
      </c>
      <c r="C369" s="324" t="s">
        <v>615</v>
      </c>
      <c r="D369" s="369" t="s">
        <v>616</v>
      </c>
    </row>
    <row r="370" spans="1:6" ht="14.65" thickBot="1">
      <c r="A370" s="5"/>
      <c r="B370" s="215" t="s">
        <v>35</v>
      </c>
      <c r="C370" s="483" t="s">
        <v>35</v>
      </c>
      <c r="D370" s="319" t="s">
        <v>35</v>
      </c>
    </row>
    <row r="371" spans="1:6" ht="14.65" thickBot="1">
      <c r="A371" s="9" t="s">
        <v>347</v>
      </c>
      <c r="B371" s="250">
        <f>B9</f>
        <v>17500</v>
      </c>
      <c r="C371" s="729">
        <f>C9</f>
        <v>7000</v>
      </c>
      <c r="D371" s="627">
        <f>B371+C371</f>
        <v>24500</v>
      </c>
    </row>
    <row r="373" spans="1:6" ht="14.65" thickBot="1">
      <c r="A373" s="120" t="s">
        <v>641</v>
      </c>
      <c r="B373" s="79"/>
      <c r="C373" s="79"/>
    </row>
    <row r="374" spans="1:6" ht="14.65" thickBot="1">
      <c r="A374" s="519"/>
      <c r="B374" s="1056" t="s">
        <v>263</v>
      </c>
      <c r="C374" s="1056"/>
      <c r="D374" s="1021" t="s">
        <v>262</v>
      </c>
      <c r="E374" s="1021"/>
      <c r="F374" s="1020"/>
    </row>
    <row r="375" spans="1:6" ht="14.65" thickBot="1">
      <c r="A375" s="602"/>
      <c r="B375" s="1065" t="s">
        <v>259</v>
      </c>
      <c r="C375" s="1009"/>
      <c r="D375" s="1100" t="s">
        <v>260</v>
      </c>
      <c r="E375" s="1030"/>
      <c r="F375" s="9" t="s">
        <v>261</v>
      </c>
    </row>
    <row r="376" spans="1:6">
      <c r="A376" s="115"/>
      <c r="B376" s="188" t="s">
        <v>614</v>
      </c>
      <c r="C376" s="190" t="s">
        <v>615</v>
      </c>
      <c r="D376" s="266" t="s">
        <v>161</v>
      </c>
      <c r="E376" s="520" t="s">
        <v>162</v>
      </c>
      <c r="F376" s="521" t="s">
        <v>616</v>
      </c>
    </row>
    <row r="377" spans="1:6" ht="14.65" thickBot="1">
      <c r="A377" s="133" t="s">
        <v>18</v>
      </c>
      <c r="B377" s="23" t="s">
        <v>70</v>
      </c>
      <c r="C377" s="24" t="s">
        <v>71</v>
      </c>
      <c r="D377" s="367" t="s">
        <v>35</v>
      </c>
      <c r="E377" s="522" t="s">
        <v>35</v>
      </c>
      <c r="F377" s="523" t="s">
        <v>35</v>
      </c>
    </row>
    <row r="378" spans="1:6">
      <c r="A378" s="231" t="s">
        <v>72</v>
      </c>
      <c r="B378" s="261">
        <v>47700</v>
      </c>
      <c r="C378" s="355">
        <v>101832</v>
      </c>
      <c r="D378" s="227">
        <f>$B$9*B378/1000000</f>
        <v>834.75</v>
      </c>
      <c r="E378" s="524">
        <f>$C$9*C378/1000000</f>
        <v>712.82399999999996</v>
      </c>
      <c r="F378" s="525">
        <f>D378+E378</f>
        <v>1547.5740000000001</v>
      </c>
    </row>
    <row r="379" spans="1:6">
      <c r="A379" s="232" t="s">
        <v>73</v>
      </c>
      <c r="B379" s="356">
        <v>31</v>
      </c>
      <c r="C379" s="357">
        <v>10</v>
      </c>
      <c r="D379" s="229">
        <f t="shared" ref="D379:D392" si="50">$B$9*B379/1000000</f>
        <v>0.54249999999999998</v>
      </c>
      <c r="E379" s="470">
        <f t="shared" ref="E379:E392" si="51">$C$9*C379/1000000</f>
        <v>7.0000000000000007E-2</v>
      </c>
      <c r="F379" s="526">
        <f t="shared" ref="F379:F392" si="52">D379+E379</f>
        <v>0.61250000000000004</v>
      </c>
    </row>
    <row r="380" spans="1:6">
      <c r="A380" s="232" t="s">
        <v>74</v>
      </c>
      <c r="B380" s="356">
        <v>85425</v>
      </c>
      <c r="C380" s="357">
        <v>111453.2</v>
      </c>
      <c r="D380" s="229">
        <f t="shared" si="50"/>
        <v>1494.9375</v>
      </c>
      <c r="E380" s="470">
        <f t="shared" si="51"/>
        <v>780.17240000000004</v>
      </c>
      <c r="F380" s="526">
        <f t="shared" si="52"/>
        <v>2275.1098999999999</v>
      </c>
    </row>
    <row r="381" spans="1:6">
      <c r="A381" s="232" t="s">
        <v>75</v>
      </c>
      <c r="B381" s="356">
        <v>2.2000000000000002</v>
      </c>
      <c r="C381" s="357">
        <v>2</v>
      </c>
      <c r="D381" s="229">
        <f t="shared" si="50"/>
        <v>3.85E-2</v>
      </c>
      <c r="E381" s="470">
        <f t="shared" si="51"/>
        <v>1.4E-2</v>
      </c>
      <c r="F381" s="526">
        <f t="shared" si="52"/>
        <v>5.2499999999999998E-2</v>
      </c>
    </row>
    <row r="382" spans="1:6">
      <c r="A382" s="232" t="s">
        <v>76</v>
      </c>
      <c r="B382" s="356">
        <v>91</v>
      </c>
      <c r="C382" s="357">
        <v>53.9</v>
      </c>
      <c r="D382" s="229">
        <f t="shared" si="50"/>
        <v>1.5925</v>
      </c>
      <c r="E382" s="470">
        <f t="shared" si="51"/>
        <v>0.37730000000000002</v>
      </c>
      <c r="F382" s="526">
        <f t="shared" si="52"/>
        <v>1.9698</v>
      </c>
    </row>
    <row r="383" spans="1:6">
      <c r="A383" s="232" t="s">
        <v>77</v>
      </c>
      <c r="B383" s="356">
        <v>663</v>
      </c>
      <c r="C383" s="357">
        <v>1099</v>
      </c>
      <c r="D383" s="229">
        <f t="shared" si="50"/>
        <v>11.602499999999999</v>
      </c>
      <c r="E383" s="470">
        <f t="shared" si="51"/>
        <v>7.6929999999999996</v>
      </c>
      <c r="F383" s="526">
        <f t="shared" si="52"/>
        <v>19.295499999999997</v>
      </c>
    </row>
    <row r="384" spans="1:6">
      <c r="A384" s="232" t="s">
        <v>78</v>
      </c>
      <c r="B384" s="356">
        <v>109000</v>
      </c>
      <c r="C384" s="357">
        <v>24315</v>
      </c>
      <c r="D384" s="229">
        <f t="shared" si="50"/>
        <v>1907.5</v>
      </c>
      <c r="E384" s="470">
        <f t="shared" si="51"/>
        <v>170.20500000000001</v>
      </c>
      <c r="F384" s="526">
        <f t="shared" si="52"/>
        <v>2077.7049999999999</v>
      </c>
    </row>
    <row r="385" spans="1:8">
      <c r="A385" s="232" t="s">
        <v>79</v>
      </c>
      <c r="B385" s="356">
        <v>9375</v>
      </c>
      <c r="C385" s="357">
        <v>9848.1</v>
      </c>
      <c r="D385" s="229">
        <f t="shared" si="50"/>
        <v>164.0625</v>
      </c>
      <c r="E385" s="470">
        <f t="shared" si="51"/>
        <v>68.936700000000002</v>
      </c>
      <c r="F385" s="526">
        <f t="shared" si="52"/>
        <v>232.9992</v>
      </c>
    </row>
    <row r="386" spans="1:8">
      <c r="A386" s="232" t="s">
        <v>80</v>
      </c>
      <c r="B386" s="356">
        <v>12191.833333333334</v>
      </c>
      <c r="C386" s="357">
        <v>12706.1</v>
      </c>
      <c r="D386" s="229">
        <f t="shared" si="50"/>
        <v>213.35708333333335</v>
      </c>
      <c r="E386" s="470">
        <f t="shared" si="51"/>
        <v>88.942700000000002</v>
      </c>
      <c r="F386" s="526">
        <f t="shared" si="52"/>
        <v>302.29978333333338</v>
      </c>
    </row>
    <row r="387" spans="1:8">
      <c r="A387" s="232" t="s">
        <v>81</v>
      </c>
      <c r="B387" s="356">
        <v>2530</v>
      </c>
      <c r="C387" s="357">
        <v>3346.1</v>
      </c>
      <c r="D387" s="229">
        <f t="shared" si="50"/>
        <v>44.274999999999999</v>
      </c>
      <c r="E387" s="470">
        <f t="shared" si="51"/>
        <v>23.422699999999999</v>
      </c>
      <c r="F387" s="526">
        <f t="shared" si="52"/>
        <v>67.697699999999998</v>
      </c>
    </row>
    <row r="388" spans="1:8">
      <c r="A388" s="232" t="s">
        <v>82</v>
      </c>
      <c r="B388" s="356">
        <v>64.5</v>
      </c>
      <c r="C388" s="357">
        <v>47.6</v>
      </c>
      <c r="D388" s="229">
        <f t="shared" si="50"/>
        <v>1.1287499999999999</v>
      </c>
      <c r="E388" s="470">
        <f t="shared" si="51"/>
        <v>0.3332</v>
      </c>
      <c r="F388" s="526">
        <f t="shared" si="52"/>
        <v>1.4619499999999999</v>
      </c>
    </row>
    <row r="389" spans="1:8">
      <c r="A389" s="232" t="s">
        <v>83</v>
      </c>
      <c r="B389" s="356">
        <v>70700</v>
      </c>
      <c r="C389" s="357">
        <v>84567</v>
      </c>
      <c r="D389" s="229">
        <f t="shared" si="50"/>
        <v>1237.25</v>
      </c>
      <c r="E389" s="470">
        <f t="shared" si="51"/>
        <v>591.96900000000005</v>
      </c>
      <c r="F389" s="526">
        <f t="shared" si="52"/>
        <v>1829.2190000000001</v>
      </c>
    </row>
    <row r="390" spans="1:8">
      <c r="A390" s="232" t="s">
        <v>84</v>
      </c>
      <c r="B390" s="356">
        <v>117</v>
      </c>
      <c r="C390" s="357">
        <v>80.2</v>
      </c>
      <c r="D390" s="229">
        <f t="shared" si="50"/>
        <v>2.0474999999999999</v>
      </c>
      <c r="E390" s="470">
        <f t="shared" si="51"/>
        <v>0.56140000000000001</v>
      </c>
      <c r="F390" s="526">
        <f t="shared" si="52"/>
        <v>2.6088999999999998</v>
      </c>
    </row>
    <row r="391" spans="1:8">
      <c r="A391" s="232" t="s">
        <v>85</v>
      </c>
      <c r="B391" s="356">
        <v>5857.8888888888887</v>
      </c>
      <c r="C391" s="357">
        <v>3113.7</v>
      </c>
      <c r="D391" s="229">
        <f t="shared" si="50"/>
        <v>102.51305555555555</v>
      </c>
      <c r="E391" s="470">
        <f t="shared" si="51"/>
        <v>21.7959</v>
      </c>
      <c r="F391" s="526">
        <f t="shared" si="52"/>
        <v>124.30895555555556</v>
      </c>
    </row>
    <row r="392" spans="1:8" ht="14.65" thickBot="1">
      <c r="A392" s="233" t="s">
        <v>86</v>
      </c>
      <c r="B392" s="358">
        <v>2260</v>
      </c>
      <c r="C392" s="359">
        <v>1989</v>
      </c>
      <c r="D392" s="230">
        <f t="shared" si="50"/>
        <v>39.549999999999997</v>
      </c>
      <c r="E392" s="471">
        <f t="shared" si="51"/>
        <v>13.923</v>
      </c>
      <c r="F392" s="527">
        <f t="shared" si="52"/>
        <v>53.472999999999999</v>
      </c>
    </row>
    <row r="394" spans="1:8" ht="14.65" thickBot="1">
      <c r="A394" s="79" t="s">
        <v>648</v>
      </c>
    </row>
    <row r="395" spans="1:8" ht="14.65" thickBot="1">
      <c r="A395" s="419"/>
      <c r="B395" s="1019" t="s">
        <v>262</v>
      </c>
      <c r="C395" s="1021"/>
      <c r="D395" s="1021"/>
      <c r="E395" s="1021"/>
      <c r="F395" s="1021"/>
      <c r="G395" s="1019" t="s">
        <v>263</v>
      </c>
      <c r="H395" s="1020"/>
    </row>
    <row r="396" spans="1:8">
      <c r="A396" s="315" t="s">
        <v>93</v>
      </c>
      <c r="B396" s="323" t="s">
        <v>208</v>
      </c>
      <c r="C396" s="274" t="s">
        <v>198</v>
      </c>
      <c r="D396" s="274" t="s">
        <v>618</v>
      </c>
      <c r="E396" s="274" t="s">
        <v>142</v>
      </c>
      <c r="F396" s="324" t="s">
        <v>640</v>
      </c>
      <c r="G396" s="1089" t="s">
        <v>459</v>
      </c>
      <c r="H396" s="1090"/>
    </row>
    <row r="397" spans="1:8" ht="14.65" thickBot="1">
      <c r="A397" s="345" t="s">
        <v>297</v>
      </c>
      <c r="B397" s="586" t="s">
        <v>35</v>
      </c>
      <c r="C397" s="349" t="s">
        <v>35</v>
      </c>
      <c r="D397" s="349" t="s">
        <v>35</v>
      </c>
      <c r="E397" s="349" t="s">
        <v>35</v>
      </c>
      <c r="F397" s="522" t="s">
        <v>35</v>
      </c>
      <c r="G397" s="530" t="s">
        <v>70</v>
      </c>
      <c r="H397" s="155" t="s">
        <v>237</v>
      </c>
    </row>
    <row r="398" spans="1:8">
      <c r="A398" s="373" t="s">
        <v>72</v>
      </c>
      <c r="B398" s="590">
        <f t="shared" ref="B398:B410" si="53">B327</f>
        <v>161.84002022130252</v>
      </c>
      <c r="C398" s="591">
        <f>B170</f>
        <v>302.034235670459</v>
      </c>
      <c r="D398" s="591">
        <f>F378</f>
        <v>1547.5740000000001</v>
      </c>
      <c r="E398" s="591">
        <f>B398+C398+D398</f>
        <v>2011.4482558917616</v>
      </c>
      <c r="F398" s="294">
        <f>$C$314+$C$121+$D$371</f>
        <v>47145.093658544582</v>
      </c>
      <c r="G398" s="551">
        <f>E398/F398*1000000</f>
        <v>42665.060132449362</v>
      </c>
      <c r="H398" s="433">
        <f>G398/1000000</f>
        <v>4.2665060132449362E-2</v>
      </c>
    </row>
    <row r="399" spans="1:8">
      <c r="A399" s="374" t="s">
        <v>73</v>
      </c>
      <c r="B399" s="592">
        <f t="shared" si="53"/>
        <v>1.7314080232283452E-2</v>
      </c>
      <c r="C399" s="364">
        <f>B171</f>
        <v>0.17005919767716551</v>
      </c>
      <c r="D399" s="364">
        <f>F379</f>
        <v>0.61250000000000004</v>
      </c>
      <c r="E399" s="364">
        <f t="shared" ref="E399:E413" si="54">B399+C399+D399</f>
        <v>0.79987327790944907</v>
      </c>
      <c r="F399" s="295">
        <f>$C$314+$C$121+$D$371</f>
        <v>47145.093658544582</v>
      </c>
      <c r="G399" s="552">
        <f t="shared" ref="G399:G414" si="55">E399/F399*1000000</f>
        <v>16.966204027563322</v>
      </c>
      <c r="H399" s="434">
        <f t="shared" ref="H399:H414" si="56">G399/1000000</f>
        <v>1.6966204027563321E-5</v>
      </c>
    </row>
    <row r="400" spans="1:8">
      <c r="A400" s="374" t="s">
        <v>74</v>
      </c>
      <c r="B400" s="592">
        <f t="shared" si="53"/>
        <v>450.27935403260932</v>
      </c>
      <c r="C400" s="364">
        <f>B172</f>
        <v>1457.7206459673907</v>
      </c>
      <c r="D400" s="364">
        <f t="shared" ref="D400:D407" si="57">F380</f>
        <v>2275.1098999999999</v>
      </c>
      <c r="E400" s="364">
        <f t="shared" si="54"/>
        <v>4183.1098999999995</v>
      </c>
      <c r="F400" s="295">
        <f>$C$314+$C$121+$D$371</f>
        <v>47145.093658544582</v>
      </c>
      <c r="G400" s="552">
        <f t="shared" si="55"/>
        <v>88728.424855761259</v>
      </c>
      <c r="H400" s="434">
        <f t="shared" si="56"/>
        <v>8.8728424855761254E-2</v>
      </c>
    </row>
    <row r="401" spans="1:8">
      <c r="A401" s="374" t="s">
        <v>75</v>
      </c>
      <c r="B401" s="592">
        <f t="shared" si="53"/>
        <v>2.2932000000000001E-2</v>
      </c>
      <c r="C401" s="364">
        <f>B173</f>
        <v>1.848E-2</v>
      </c>
      <c r="D401" s="364">
        <f t="shared" si="57"/>
        <v>5.2499999999999998E-2</v>
      </c>
      <c r="E401" s="364">
        <f t="shared" si="54"/>
        <v>9.3911999999999995E-2</v>
      </c>
      <c r="F401" s="295">
        <f>$C$314+$C$121+$D$371</f>
        <v>47145.093658544582</v>
      </c>
      <c r="G401" s="552">
        <f t="shared" si="55"/>
        <v>1.9919782253519687</v>
      </c>
      <c r="H401" s="434">
        <f t="shared" si="56"/>
        <v>1.9919782253519687E-6</v>
      </c>
    </row>
    <row r="402" spans="1:8">
      <c r="A402" s="374" t="s">
        <v>76</v>
      </c>
      <c r="B402" s="592">
        <f t="shared" si="53"/>
        <v>0.26464265446041685</v>
      </c>
      <c r="C402" s="364">
        <f>B174</f>
        <v>1.3673573455395831</v>
      </c>
      <c r="D402" s="364">
        <f t="shared" si="57"/>
        <v>1.9698</v>
      </c>
      <c r="E402" s="364">
        <f t="shared" si="54"/>
        <v>3.6017999999999999</v>
      </c>
      <c r="F402" s="295">
        <f>$C$314+$C$121+$D$371</f>
        <v>47145.093658544582</v>
      </c>
      <c r="G402" s="552">
        <f t="shared" si="55"/>
        <v>76.398193756630903</v>
      </c>
      <c r="H402" s="434">
        <f t="shared" si="56"/>
        <v>7.6398193756630907E-5</v>
      </c>
    </row>
    <row r="403" spans="1:8">
      <c r="A403" s="375" t="s">
        <v>77</v>
      </c>
      <c r="B403" s="592">
        <f t="shared" si="53"/>
        <v>1.9488449114376971E-2</v>
      </c>
      <c r="C403" s="364">
        <f>B175</f>
        <v>5.9231550885623054</v>
      </c>
      <c r="D403" s="364">
        <f t="shared" si="57"/>
        <v>19.295499999999997</v>
      </c>
      <c r="E403" s="364">
        <f t="shared" si="54"/>
        <v>25.238143537676677</v>
      </c>
      <c r="F403" s="295">
        <f>$C$314+$C$121+$D$371</f>
        <v>47145.093658544582</v>
      </c>
      <c r="G403" s="552">
        <f t="shared" si="55"/>
        <v>535.32916320980758</v>
      </c>
      <c r="H403" s="434">
        <f t="shared" si="56"/>
        <v>5.3532916320980762E-4</v>
      </c>
    </row>
    <row r="404" spans="1:8">
      <c r="A404" s="375" t="s">
        <v>78</v>
      </c>
      <c r="B404" s="592">
        <f t="shared" si="53"/>
        <v>214.22556048798941</v>
      </c>
      <c r="C404" s="364">
        <f>B176</f>
        <v>831.20547642257486</v>
      </c>
      <c r="D404" s="364">
        <f t="shared" si="57"/>
        <v>2077.7049999999999</v>
      </c>
      <c r="E404" s="364">
        <f t="shared" si="54"/>
        <v>3123.1360369105641</v>
      </c>
      <c r="F404" s="295">
        <f>$C$314+$C$121+$D$371</f>
        <v>47145.093658544582</v>
      </c>
      <c r="G404" s="552">
        <f t="shared" si="55"/>
        <v>66245.197422458121</v>
      </c>
      <c r="H404" s="434">
        <f t="shared" si="56"/>
        <v>6.6245197422458116E-2</v>
      </c>
    </row>
    <row r="405" spans="1:8">
      <c r="A405" s="375" t="s">
        <v>79</v>
      </c>
      <c r="B405" s="592">
        <f t="shared" si="53"/>
        <v>34.967496775293192</v>
      </c>
      <c r="C405" s="364">
        <f>B177</f>
        <v>62.89590074328904</v>
      </c>
      <c r="D405" s="364">
        <f t="shared" si="57"/>
        <v>232.9992</v>
      </c>
      <c r="E405" s="364">
        <f t="shared" si="54"/>
        <v>330.86259751858222</v>
      </c>
      <c r="F405" s="295">
        <f>$C$314+$C$121+$D$371</f>
        <v>47145.093658544582</v>
      </c>
      <c r="G405" s="552">
        <f t="shared" si="55"/>
        <v>7017.9645821663707</v>
      </c>
      <c r="H405" s="434">
        <f t="shared" si="56"/>
        <v>7.0179645821663705E-3</v>
      </c>
    </row>
    <row r="406" spans="1:8">
      <c r="A406" s="375" t="s">
        <v>80</v>
      </c>
      <c r="B406" s="592">
        <f t="shared" si="53"/>
        <v>65.06620127340949</v>
      </c>
      <c r="C406" s="364">
        <f>B178</f>
        <v>88.065434591374881</v>
      </c>
      <c r="D406" s="364">
        <f t="shared" si="57"/>
        <v>302.29978333333338</v>
      </c>
      <c r="E406" s="364">
        <f t="shared" si="54"/>
        <v>455.43141919811774</v>
      </c>
      <c r="F406" s="295">
        <f>$C$314+$C$121+$D$371</f>
        <v>47145.093658544582</v>
      </c>
      <c r="G406" s="552">
        <f t="shared" si="55"/>
        <v>9660.2081755664367</v>
      </c>
      <c r="H406" s="434">
        <f t="shared" si="56"/>
        <v>9.6602081755664364E-3</v>
      </c>
    </row>
    <row r="407" spans="1:8">
      <c r="A407" s="375" t="s">
        <v>81</v>
      </c>
      <c r="B407" s="592">
        <f t="shared" si="53"/>
        <v>37.24435889358238</v>
      </c>
      <c r="C407" s="364">
        <f>B179</f>
        <v>59.955641106417616</v>
      </c>
      <c r="D407" s="364">
        <f t="shared" si="57"/>
        <v>67.697699999999998</v>
      </c>
      <c r="E407" s="364">
        <f t="shared" si="54"/>
        <v>164.89769999999999</v>
      </c>
      <c r="F407" s="295">
        <f>$C$314+$C$121+$D$371</f>
        <v>47145.093658544582</v>
      </c>
      <c r="G407" s="552">
        <f t="shared" si="55"/>
        <v>3497.6640664730953</v>
      </c>
      <c r="H407" s="434">
        <f t="shared" si="56"/>
        <v>3.4976640664730954E-3</v>
      </c>
    </row>
    <row r="408" spans="1:8">
      <c r="A408" s="375" t="s">
        <v>82</v>
      </c>
      <c r="B408" s="592">
        <f t="shared" si="53"/>
        <v>0.44935559154215376</v>
      </c>
      <c r="C408" s="364">
        <f>B180</f>
        <v>1.0391224702131756</v>
      </c>
      <c r="D408" s="364">
        <f>F388</f>
        <v>1.4619499999999999</v>
      </c>
      <c r="E408" s="364">
        <f t="shared" si="54"/>
        <v>2.9504280617553293</v>
      </c>
      <c r="F408" s="295">
        <f>$C$314+$C$121+$D$371</f>
        <v>47145.093658544582</v>
      </c>
      <c r="G408" s="552">
        <f t="shared" si="55"/>
        <v>62.581868712028609</v>
      </c>
      <c r="H408" s="434">
        <f t="shared" si="56"/>
        <v>6.2581868712028612E-5</v>
      </c>
    </row>
    <row r="409" spans="1:8">
      <c r="A409" s="372" t="s">
        <v>630</v>
      </c>
      <c r="B409" s="592">
        <f t="shared" si="53"/>
        <v>534.76113600000008</v>
      </c>
      <c r="C409" s="364">
        <f>B181</f>
        <v>430.94304000000005</v>
      </c>
      <c r="D409" s="364">
        <f>F389</f>
        <v>1829.2190000000001</v>
      </c>
      <c r="E409" s="364">
        <f t="shared" si="54"/>
        <v>2794.9231760000002</v>
      </c>
      <c r="F409" s="295">
        <f>$C$314+$C$121+$D$371</f>
        <v>47145.093658544582</v>
      </c>
      <c r="G409" s="552">
        <f t="shared" si="55"/>
        <v>59283.436708019944</v>
      </c>
      <c r="H409" s="434">
        <f t="shared" si="56"/>
        <v>5.9283436708019943E-2</v>
      </c>
    </row>
    <row r="410" spans="1:8">
      <c r="A410" s="375" t="s">
        <v>96</v>
      </c>
      <c r="B410" s="592">
        <f t="shared" si="53"/>
        <v>1558.5737142857145</v>
      </c>
      <c r="C410" s="364">
        <f>B182</f>
        <v>1255.9934693877551</v>
      </c>
      <c r="D410" s="364">
        <v>0</v>
      </c>
      <c r="E410" s="364">
        <f t="shared" si="54"/>
        <v>2814.5671836734696</v>
      </c>
      <c r="F410" s="295">
        <f>$C$314+$C$121+$D$371</f>
        <v>47145.093658544582</v>
      </c>
      <c r="G410" s="552">
        <f t="shared" si="55"/>
        <v>59700.108012477293</v>
      </c>
      <c r="H410" s="434">
        <f t="shared" si="56"/>
        <v>5.9700108012477292E-2</v>
      </c>
    </row>
    <row r="411" spans="1:8">
      <c r="A411" s="350" t="s">
        <v>97</v>
      </c>
      <c r="B411" s="593">
        <f>B409+B410</f>
        <v>2093.3348502857143</v>
      </c>
      <c r="C411" s="44">
        <f>C409+C410</f>
        <v>1686.9365093877552</v>
      </c>
      <c r="D411" s="364">
        <f>D409+D410</f>
        <v>1829.2190000000001</v>
      </c>
      <c r="E411" s="364">
        <f t="shared" si="54"/>
        <v>5609.4903596734694</v>
      </c>
      <c r="F411" s="295">
        <f>$C$314+$C$121+$D$371</f>
        <v>47145.093658544582</v>
      </c>
      <c r="G411" s="594">
        <f t="shared" si="55"/>
        <v>118983.54472049723</v>
      </c>
      <c r="H411" s="585">
        <f t="shared" si="56"/>
        <v>0.11898354472049723</v>
      </c>
    </row>
    <row r="412" spans="1:8">
      <c r="A412" s="398" t="s">
        <v>84</v>
      </c>
      <c r="B412" s="593">
        <f>B341</f>
        <v>8.9505984412444672E-2</v>
      </c>
      <c r="C412" s="44">
        <f>B184</f>
        <v>1.3961989903462106</v>
      </c>
      <c r="D412" s="364">
        <f>F390</f>
        <v>2.6088999999999998</v>
      </c>
      <c r="E412" s="364">
        <f t="shared" si="54"/>
        <v>4.0946049747586546</v>
      </c>
      <c r="F412" s="295">
        <f>$C$314+$C$121+$D$371</f>
        <v>47145.093658544582</v>
      </c>
      <c r="G412" s="552">
        <f t="shared" si="55"/>
        <v>86.851136714552865</v>
      </c>
      <c r="H412" s="434">
        <f t="shared" si="56"/>
        <v>8.6851136714552859E-5</v>
      </c>
    </row>
    <row r="413" spans="1:8">
      <c r="A413" s="398" t="s">
        <v>85</v>
      </c>
      <c r="B413" s="593">
        <f>B342</f>
        <v>0</v>
      </c>
      <c r="C413" s="44">
        <f>B187</f>
        <v>791.04489795918357</v>
      </c>
      <c r="D413" s="364">
        <f>F391</f>
        <v>124.30895555555556</v>
      </c>
      <c r="E413" s="364">
        <f t="shared" si="54"/>
        <v>915.35385351473917</v>
      </c>
      <c r="F413" s="295">
        <f>$C$314+$C$121+$D$371</f>
        <v>47145.093658544582</v>
      </c>
      <c r="G413" s="552">
        <f t="shared" si="55"/>
        <v>19415.675788966015</v>
      </c>
      <c r="H413" s="434">
        <f t="shared" si="56"/>
        <v>1.9415675788966014E-2</v>
      </c>
    </row>
    <row r="414" spans="1:8" ht="14.65" thickBot="1">
      <c r="A414" s="376" t="s">
        <v>86</v>
      </c>
      <c r="B414" s="595">
        <f>B343</f>
        <v>0.36285342095514839</v>
      </c>
      <c r="C414" s="49">
        <f>B190</f>
        <v>20.978931580897044</v>
      </c>
      <c r="D414" s="379">
        <f>F392</f>
        <v>53.472999999999999</v>
      </c>
      <c r="E414" s="379">
        <f>B414+C414+D414</f>
        <v>74.814785001852186</v>
      </c>
      <c r="F414" s="380">
        <f>$C$314+$C$121+$D$371</f>
        <v>47145.093658544582</v>
      </c>
      <c r="G414" s="553">
        <f t="shared" si="55"/>
        <v>1586.9050031740205</v>
      </c>
      <c r="H414" s="439">
        <f t="shared" si="56"/>
        <v>1.5869050031740205E-3</v>
      </c>
    </row>
    <row r="416" spans="1:8">
      <c r="A416" s="329" t="s">
        <v>144</v>
      </c>
      <c r="B416" s="329"/>
      <c r="C416" s="329"/>
      <c r="D416" s="329"/>
      <c r="E416" s="329"/>
      <c r="F416" s="329"/>
    </row>
    <row r="417" spans="1:6">
      <c r="A417" s="329" t="s">
        <v>315</v>
      </c>
      <c r="B417" s="329"/>
      <c r="C417" s="329"/>
      <c r="D417" s="329"/>
      <c r="E417" s="329"/>
      <c r="F417" s="329"/>
    </row>
    <row r="418" spans="1:6">
      <c r="D418" s="121"/>
    </row>
    <row r="419" spans="1:6" ht="14.65" thickBot="1">
      <c r="A419" s="79" t="s">
        <v>432</v>
      </c>
      <c r="D419" s="121"/>
    </row>
    <row r="420" spans="1:6">
      <c r="A420" s="388" t="s">
        <v>93</v>
      </c>
      <c r="B420" s="323" t="s">
        <v>146</v>
      </c>
      <c r="C420" s="324" t="s">
        <v>147</v>
      </c>
      <c r="D420" s="1024" t="s">
        <v>459</v>
      </c>
      <c r="E420" s="1025"/>
    </row>
    <row r="421" spans="1:6" ht="14.65" thickBot="1">
      <c r="A421" s="220"/>
      <c r="B421" s="6" t="s">
        <v>35</v>
      </c>
      <c r="C421" s="422" t="s">
        <v>35</v>
      </c>
      <c r="D421" s="403" t="s">
        <v>257</v>
      </c>
      <c r="E421" s="155" t="s">
        <v>237</v>
      </c>
    </row>
    <row r="422" spans="1:6">
      <c r="A422" s="137" t="s">
        <v>211</v>
      </c>
      <c r="B422" s="159">
        <f>B411+C411</f>
        <v>3780.2713596734693</v>
      </c>
      <c r="C422" s="501">
        <f>$C$314+$C$121</f>
        <v>22645.093658544582</v>
      </c>
      <c r="D422" s="227">
        <f>B422/C422*1000000</f>
        <v>166935.55861037804</v>
      </c>
      <c r="E422" s="433">
        <f>D422/1000000</f>
        <v>0.16693555861037804</v>
      </c>
    </row>
    <row r="423" spans="1:6">
      <c r="A423" s="113" t="s">
        <v>620</v>
      </c>
      <c r="B423" s="161">
        <f>$D$409</f>
        <v>1829.2190000000001</v>
      </c>
      <c r="C423" s="502">
        <f>$D$371</f>
        <v>24500</v>
      </c>
      <c r="D423" s="229">
        <f>B423/C423*1000000</f>
        <v>74662</v>
      </c>
      <c r="E423" s="434">
        <f t="shared" ref="E423:E425" si="58">D423/1000000</f>
        <v>7.4662000000000006E-2</v>
      </c>
    </row>
    <row r="424" spans="1:6">
      <c r="A424" s="138" t="s">
        <v>96</v>
      </c>
      <c r="B424" s="444">
        <f>C424*31/98</f>
        <v>4664.2988762037457</v>
      </c>
      <c r="C424" s="587">
        <v>14745.20289896668</v>
      </c>
      <c r="D424" s="229">
        <f>B424/C424*1000000</f>
        <v>316326.53061224491</v>
      </c>
      <c r="E424" s="434">
        <f t="shared" si="58"/>
        <v>0.31632653061224492</v>
      </c>
    </row>
    <row r="425" spans="1:6" ht="14.65" thickBot="1">
      <c r="A425" s="330" t="s">
        <v>306</v>
      </c>
      <c r="B425" s="162">
        <f>SUM($B$422:$B$424)</f>
        <v>10273.789235877215</v>
      </c>
      <c r="C425" s="503">
        <f>SUM($C$422:$C$424)</f>
        <v>61890.296557511261</v>
      </c>
      <c r="D425" s="588">
        <f>B425/C425*1000000</f>
        <v>166000.00011844095</v>
      </c>
      <c r="E425" s="589">
        <f t="shared" si="58"/>
        <v>0.16600000011844096</v>
      </c>
    </row>
    <row r="427" spans="1:6" ht="14.65" thickBot="1">
      <c r="A427" s="79" t="s">
        <v>434</v>
      </c>
    </row>
    <row r="428" spans="1:6" ht="14.65" thickBot="1">
      <c r="A428" s="691"/>
      <c r="B428" s="192" t="s">
        <v>18</v>
      </c>
      <c r="C428" s="744" t="s">
        <v>106</v>
      </c>
    </row>
    <row r="429" spans="1:6">
      <c r="A429" s="172" t="s">
        <v>435</v>
      </c>
      <c r="B429" s="745" t="s">
        <v>35</v>
      </c>
      <c r="C429" s="730">
        <f>$C$424</f>
        <v>14745.20289896668</v>
      </c>
    </row>
    <row r="430" spans="1:6">
      <c r="A430" s="108" t="s">
        <v>436</v>
      </c>
      <c r="B430" s="105" t="s">
        <v>35</v>
      </c>
      <c r="C430" s="84">
        <f>C429/75%*25%</f>
        <v>4915.0676329888929</v>
      </c>
    </row>
    <row r="431" spans="1:6" ht="14.65" thickBot="1">
      <c r="A431" s="333" t="s">
        <v>437</v>
      </c>
      <c r="B431" s="381" t="s">
        <v>35</v>
      </c>
      <c r="C431" s="335">
        <f>C429+C430</f>
        <v>19660.270531955572</v>
      </c>
    </row>
    <row r="433" spans="1:3">
      <c r="A433" s="329" t="s">
        <v>316</v>
      </c>
    </row>
    <row r="434" spans="1:3">
      <c r="A434" s="329" t="s">
        <v>317</v>
      </c>
    </row>
    <row r="435" spans="1:3">
      <c r="A435" s="329"/>
    </row>
    <row r="436" spans="1:3" ht="14.65" thickBot="1">
      <c r="A436" s="329" t="s">
        <v>307</v>
      </c>
    </row>
    <row r="437" spans="1:3">
      <c r="A437" s="664" t="s">
        <v>64</v>
      </c>
      <c r="B437" s="665" t="s">
        <v>24</v>
      </c>
      <c r="C437" s="666">
        <v>0.45</v>
      </c>
    </row>
    <row r="438" spans="1:3" ht="14.65" thickBot="1">
      <c r="A438" s="667" t="s">
        <v>66</v>
      </c>
      <c r="B438" s="284" t="s">
        <v>24</v>
      </c>
      <c r="C438" s="663">
        <v>0.55000000000000004</v>
      </c>
    </row>
    <row r="439" spans="1:3">
      <c r="A439" s="329"/>
    </row>
    <row r="440" spans="1:3" ht="14.65" thickBot="1">
      <c r="A440" s="329" t="s">
        <v>363</v>
      </c>
    </row>
    <row r="441" spans="1:3" ht="14.65" thickBot="1">
      <c r="A441" s="191"/>
      <c r="B441" s="192" t="s">
        <v>18</v>
      </c>
      <c r="C441" s="193" t="s">
        <v>106</v>
      </c>
    </row>
    <row r="442" spans="1:3">
      <c r="A442" s="678" t="s">
        <v>374</v>
      </c>
      <c r="B442" s="293" t="s">
        <v>35</v>
      </c>
      <c r="C442" s="294">
        <f>$C$314</f>
        <v>6079.2194388307089</v>
      </c>
    </row>
    <row r="443" spans="1:3">
      <c r="A443" s="679" t="s">
        <v>375</v>
      </c>
      <c r="B443" s="287" t="s">
        <v>35</v>
      </c>
      <c r="C443" s="295">
        <f>$C$121</f>
        <v>16565.874219713874</v>
      </c>
    </row>
    <row r="444" spans="1:3">
      <c r="A444" s="679" t="s">
        <v>607</v>
      </c>
      <c r="B444" s="282" t="s">
        <v>35</v>
      </c>
      <c r="C444" s="370">
        <f>$B$371</f>
        <v>17500</v>
      </c>
    </row>
    <row r="445" spans="1:3">
      <c r="A445" s="679" t="s">
        <v>605</v>
      </c>
      <c r="B445" s="282" t="s">
        <v>35</v>
      </c>
      <c r="C445" s="347">
        <f>$C$371</f>
        <v>7000</v>
      </c>
    </row>
    <row r="446" spans="1:3">
      <c r="A446" s="375" t="s">
        <v>435</v>
      </c>
      <c r="B446" s="287" t="s">
        <v>35</v>
      </c>
      <c r="C446" s="279">
        <f>$C$429</f>
        <v>14745.20289896668</v>
      </c>
    </row>
    <row r="447" spans="1:3" ht="14.65" thickBot="1">
      <c r="A447" s="683" t="s">
        <v>309</v>
      </c>
      <c r="B447" s="215" t="s">
        <v>35</v>
      </c>
      <c r="C447" s="344">
        <f>C442+C443+C444+C445+C446</f>
        <v>61890.296557511261</v>
      </c>
    </row>
    <row r="448" spans="1:3">
      <c r="A448" s="675" t="s">
        <v>345</v>
      </c>
      <c r="B448" s="676" t="s">
        <v>35</v>
      </c>
      <c r="C448" s="342">
        <f>C447/C437*C438</f>
        <v>75643.695792513769</v>
      </c>
    </row>
    <row r="449" spans="1:3">
      <c r="A449" s="679" t="s">
        <v>376</v>
      </c>
      <c r="B449" s="287" t="s">
        <v>35</v>
      </c>
      <c r="C449" s="279">
        <f>$C$319</f>
        <v>24679.353172014224</v>
      </c>
    </row>
    <row r="450" spans="1:3">
      <c r="A450" s="679" t="s">
        <v>370</v>
      </c>
      <c r="B450" s="287" t="s">
        <v>35</v>
      </c>
      <c r="C450" s="279">
        <f>$C$123</f>
        <v>9481.0978238614007</v>
      </c>
    </row>
    <row r="451" spans="1:3">
      <c r="A451" s="108" t="s">
        <v>436</v>
      </c>
      <c r="B451" s="287" t="s">
        <v>35</v>
      </c>
      <c r="C451" s="347">
        <f>$C$430</f>
        <v>4915.0676329888929</v>
      </c>
    </row>
    <row r="452" spans="1:3" ht="14.65" thickBot="1">
      <c r="A452" s="680" t="s">
        <v>363</v>
      </c>
      <c r="B452" s="698" t="s">
        <v>35</v>
      </c>
      <c r="C452" s="671">
        <f>C448-C449-C450-C451</f>
        <v>36568.177163649249</v>
      </c>
    </row>
    <row r="454" spans="1:3" ht="14.65" thickBot="1">
      <c r="A454" s="79" t="s">
        <v>289</v>
      </c>
    </row>
    <row r="455" spans="1:3" ht="14.65" thickBot="1">
      <c r="A455" s="191" t="s">
        <v>53</v>
      </c>
      <c r="B455" s="192" t="s">
        <v>18</v>
      </c>
      <c r="C455" s="193" t="s">
        <v>106</v>
      </c>
    </row>
    <row r="456" spans="1:3">
      <c r="A456" s="388" t="s">
        <v>191</v>
      </c>
      <c r="B456" s="3" t="s">
        <v>35</v>
      </c>
      <c r="C456" s="687">
        <f>$C$302</f>
        <v>30758.572610844942</v>
      </c>
    </row>
    <row r="457" spans="1:3">
      <c r="A457" s="219" t="s">
        <v>190</v>
      </c>
      <c r="B457" s="90" t="s">
        <v>35</v>
      </c>
      <c r="C457" s="383">
        <f>$C$119</f>
        <v>26046.972043575275</v>
      </c>
    </row>
    <row r="458" spans="1:3">
      <c r="A458" s="219" t="s">
        <v>607</v>
      </c>
      <c r="B458" s="90" t="s">
        <v>35</v>
      </c>
      <c r="C458" s="383">
        <f>$B$371</f>
        <v>17500</v>
      </c>
    </row>
    <row r="459" spans="1:3">
      <c r="A459" s="219" t="s">
        <v>605</v>
      </c>
      <c r="B459" s="90" t="s">
        <v>35</v>
      </c>
      <c r="C459" s="747">
        <f>$C$371</f>
        <v>7000</v>
      </c>
    </row>
    <row r="460" spans="1:3">
      <c r="A460" s="582" t="s">
        <v>437</v>
      </c>
      <c r="B460" s="724" t="s">
        <v>35</v>
      </c>
      <c r="C460" s="750">
        <f>C431</f>
        <v>19660.270531955572</v>
      </c>
    </row>
    <row r="461" spans="1:3" ht="14.65" thickBot="1">
      <c r="A461" s="748" t="s">
        <v>363</v>
      </c>
      <c r="B461" s="694" t="s">
        <v>35</v>
      </c>
      <c r="C461" s="749">
        <f>C452</f>
        <v>36568.177163649249</v>
      </c>
    </row>
    <row r="463" spans="1:3" ht="14.65" thickBot="1">
      <c r="A463" s="79" t="s">
        <v>290</v>
      </c>
    </row>
    <row r="464" spans="1:3" ht="14.65" thickBot="1">
      <c r="A464" s="191" t="s">
        <v>90</v>
      </c>
      <c r="B464" s="192" t="s">
        <v>18</v>
      </c>
      <c r="C464" s="193" t="s">
        <v>91</v>
      </c>
    </row>
    <row r="465" spans="1:3">
      <c r="A465" s="272" t="s">
        <v>191</v>
      </c>
      <c r="B465" s="308" t="s">
        <v>35</v>
      </c>
      <c r="C465" s="614">
        <f>$C$302</f>
        <v>30758.572610844942</v>
      </c>
    </row>
    <row r="466" spans="1:3">
      <c r="A466" s="257" t="s">
        <v>190</v>
      </c>
      <c r="B466" s="282" t="s">
        <v>35</v>
      </c>
      <c r="C466" s="370">
        <f>$C$119</f>
        <v>26046.972043575275</v>
      </c>
    </row>
    <row r="467" spans="1:3">
      <c r="A467" s="257" t="s">
        <v>607</v>
      </c>
      <c r="B467" s="282" t="s">
        <v>35</v>
      </c>
      <c r="C467" s="370">
        <f>$B$371</f>
        <v>17500</v>
      </c>
    </row>
    <row r="468" spans="1:3">
      <c r="A468" s="257" t="s">
        <v>605</v>
      </c>
      <c r="B468" s="282" t="s">
        <v>35</v>
      </c>
      <c r="C468" s="347">
        <f>$C$371</f>
        <v>7000</v>
      </c>
    </row>
    <row r="469" spans="1:3">
      <c r="A469" s="108" t="s">
        <v>437</v>
      </c>
      <c r="B469" s="178" t="s">
        <v>35</v>
      </c>
      <c r="C469" s="84">
        <f>C431</f>
        <v>19660.270531955572</v>
      </c>
    </row>
    <row r="470" spans="1:3">
      <c r="A470" s="68" t="s">
        <v>363</v>
      </c>
      <c r="B470" s="178" t="s">
        <v>35</v>
      </c>
      <c r="C470" s="82">
        <f>C452</f>
        <v>36568.177163649249</v>
      </c>
    </row>
    <row r="471" spans="1:3" ht="14.65" thickBot="1">
      <c r="A471" s="255" t="s">
        <v>305</v>
      </c>
      <c r="B471" s="677" t="s">
        <v>35</v>
      </c>
      <c r="C471" s="256">
        <f>SUM(C465:C470)</f>
        <v>137533.99235002504</v>
      </c>
    </row>
    <row r="473" spans="1:3" ht="14.65" thickBot="1">
      <c r="A473" s="79" t="s">
        <v>307</v>
      </c>
      <c r="B473" s="79"/>
      <c r="C473" s="79"/>
    </row>
    <row r="474" spans="1:3" ht="14.65" thickBot="1">
      <c r="A474" s="103" t="s">
        <v>90</v>
      </c>
      <c r="B474" s="102" t="s">
        <v>18</v>
      </c>
      <c r="C474" s="17" t="s">
        <v>106</v>
      </c>
    </row>
    <row r="475" spans="1:3">
      <c r="A475" s="276" t="s">
        <v>374</v>
      </c>
      <c r="B475" s="296" t="s">
        <v>35</v>
      </c>
      <c r="C475" s="297">
        <f>$C$314</f>
        <v>6079.2194388307089</v>
      </c>
    </row>
    <row r="476" spans="1:3">
      <c r="A476" s="257" t="s">
        <v>375</v>
      </c>
      <c r="B476" s="278" t="s">
        <v>35</v>
      </c>
      <c r="C476" s="295">
        <f>$C$121</f>
        <v>16565.874219713874</v>
      </c>
    </row>
    <row r="477" spans="1:3">
      <c r="A477" s="257" t="s">
        <v>607</v>
      </c>
      <c r="B477" s="346" t="s">
        <v>35</v>
      </c>
      <c r="C477" s="370">
        <f>$B$371</f>
        <v>17500</v>
      </c>
    </row>
    <row r="478" spans="1:3">
      <c r="A478" s="257" t="s">
        <v>605</v>
      </c>
      <c r="B478" s="346" t="s">
        <v>35</v>
      </c>
      <c r="C478" s="347">
        <f>$C$371</f>
        <v>7000</v>
      </c>
    </row>
    <row r="479" spans="1:3">
      <c r="A479" s="348" t="s">
        <v>435</v>
      </c>
      <c r="B479" s="278" t="s">
        <v>35</v>
      </c>
      <c r="C479" s="279">
        <f>$C$429</f>
        <v>14745.20289896668</v>
      </c>
    </row>
    <row r="480" spans="1:3">
      <c r="A480" s="257" t="s">
        <v>309</v>
      </c>
      <c r="B480" s="278" t="s">
        <v>35</v>
      </c>
      <c r="C480" s="279">
        <f>C475+C476+C477+C478+C479</f>
        <v>61890.296557511261</v>
      </c>
    </row>
    <row r="481" spans="1:9">
      <c r="A481" s="257" t="s">
        <v>305</v>
      </c>
      <c r="B481" s="278" t="s">
        <v>35</v>
      </c>
      <c r="C481" s="279">
        <f>C471</f>
        <v>137533.99235002504</v>
      </c>
    </row>
    <row r="482" spans="1:9">
      <c r="A482" s="299" t="s">
        <v>64</v>
      </c>
      <c r="B482" s="260" t="s">
        <v>24</v>
      </c>
      <c r="C482" s="371">
        <f>C480/C481</f>
        <v>0.44999999999999996</v>
      </c>
    </row>
    <row r="483" spans="1:9">
      <c r="A483" s="108" t="s">
        <v>437</v>
      </c>
      <c r="B483" s="178" t="s">
        <v>35</v>
      </c>
      <c r="C483" s="84">
        <f>C430</f>
        <v>4915.0676329888929</v>
      </c>
    </row>
    <row r="484" spans="1:9">
      <c r="A484" s="257" t="s">
        <v>376</v>
      </c>
      <c r="B484" s="278" t="s">
        <v>35</v>
      </c>
      <c r="C484" s="279">
        <f>$C$319</f>
        <v>24679.353172014224</v>
      </c>
    </row>
    <row r="485" spans="1:9">
      <c r="A485" s="257" t="s">
        <v>370</v>
      </c>
      <c r="B485" s="278" t="s">
        <v>35</v>
      </c>
      <c r="C485" s="279">
        <f>$C$123</f>
        <v>9481.0978238614007</v>
      </c>
    </row>
    <row r="486" spans="1:9">
      <c r="A486" s="68" t="s">
        <v>363</v>
      </c>
      <c r="B486" s="178" t="s">
        <v>35</v>
      </c>
      <c r="C486" s="82">
        <f>C452</f>
        <v>36568.177163649249</v>
      </c>
    </row>
    <row r="487" spans="1:9">
      <c r="A487" s="257" t="s">
        <v>345</v>
      </c>
      <c r="B487" s="278" t="s">
        <v>35</v>
      </c>
      <c r="C487" s="279">
        <f>C483+C484+C485+C486</f>
        <v>75643.695792513769</v>
      </c>
    </row>
    <row r="488" spans="1:9">
      <c r="A488" s="257" t="s">
        <v>305</v>
      </c>
      <c r="B488" s="278" t="s">
        <v>35</v>
      </c>
      <c r="C488" s="279">
        <f>C471</f>
        <v>137533.99235002504</v>
      </c>
    </row>
    <row r="489" spans="1:9" ht="14.65" thickBot="1">
      <c r="A489" s="301" t="s">
        <v>66</v>
      </c>
      <c r="B489" s="277" t="s">
        <v>24</v>
      </c>
      <c r="C489" s="303">
        <f>C487/C488</f>
        <v>0.54999999999999993</v>
      </c>
    </row>
    <row r="491" spans="1:9" ht="14.65" thickBot="1">
      <c r="A491" s="79" t="s">
        <v>308</v>
      </c>
    </row>
    <row r="492" spans="1:9" ht="14.65" thickBot="1">
      <c r="A492" s="419"/>
      <c r="B492" s="1019" t="s">
        <v>262</v>
      </c>
      <c r="C492" s="1021"/>
      <c r="D492" s="1021"/>
      <c r="E492" s="1021"/>
      <c r="F492" s="1021"/>
      <c r="G492" s="1021"/>
      <c r="H492" s="1019" t="s">
        <v>263</v>
      </c>
      <c r="I492" s="1020"/>
    </row>
    <row r="493" spans="1:9">
      <c r="A493" s="92" t="s">
        <v>93</v>
      </c>
      <c r="B493" s="323" t="s">
        <v>208</v>
      </c>
      <c r="C493" s="274" t="s">
        <v>198</v>
      </c>
      <c r="D493" s="274" t="s">
        <v>618</v>
      </c>
      <c r="E493" s="274" t="s">
        <v>153</v>
      </c>
      <c r="F493" s="274" t="s">
        <v>142</v>
      </c>
      <c r="G493" s="324" t="s">
        <v>309</v>
      </c>
      <c r="H493" s="1094" t="s">
        <v>459</v>
      </c>
      <c r="I493" s="1095"/>
    </row>
    <row r="494" spans="1:9" ht="14.65" thickBot="1">
      <c r="A494" s="93" t="s">
        <v>297</v>
      </c>
      <c r="B494" s="6" t="s">
        <v>35</v>
      </c>
      <c r="C494" s="7" t="s">
        <v>35</v>
      </c>
      <c r="D494" s="7" t="s">
        <v>35</v>
      </c>
      <c r="E494" s="7" t="s">
        <v>35</v>
      </c>
      <c r="F494" s="7" t="s">
        <v>35</v>
      </c>
      <c r="G494" s="422" t="s">
        <v>35</v>
      </c>
      <c r="H494" s="530" t="s">
        <v>70</v>
      </c>
      <c r="I494" s="155" t="s">
        <v>237</v>
      </c>
    </row>
    <row r="495" spans="1:9">
      <c r="A495" s="111" t="s">
        <v>72</v>
      </c>
      <c r="B495" s="540">
        <f t="shared" ref="B495:D496" si="59">B398</f>
        <v>161.84002022130252</v>
      </c>
      <c r="C495" s="567">
        <f t="shared" si="59"/>
        <v>302.034235670459</v>
      </c>
      <c r="D495" s="567">
        <f t="shared" si="59"/>
        <v>1547.5740000000001</v>
      </c>
      <c r="E495" s="428">
        <v>0</v>
      </c>
      <c r="F495" s="428">
        <f>B495+C495+D495+E495</f>
        <v>2011.4482558917616</v>
      </c>
      <c r="G495" s="545">
        <f t="shared" ref="G495:G509" si="60">$C$480</f>
        <v>61890.296557511261</v>
      </c>
      <c r="H495" s="557">
        <f>F495/G495*1000000</f>
        <v>32500.220030819095</v>
      </c>
      <c r="I495" s="433">
        <f>H495/1000000</f>
        <v>3.2500220030819094E-2</v>
      </c>
    </row>
    <row r="496" spans="1:9">
      <c r="A496" s="112" t="s">
        <v>73</v>
      </c>
      <c r="B496" s="543">
        <f t="shared" si="59"/>
        <v>1.7314080232283452E-2</v>
      </c>
      <c r="C496" s="484">
        <f t="shared" si="59"/>
        <v>0.17005919767716551</v>
      </c>
      <c r="D496" s="484">
        <f t="shared" si="59"/>
        <v>0.61250000000000004</v>
      </c>
      <c r="E496" s="235">
        <v>0</v>
      </c>
      <c r="F496" s="238">
        <f t="shared" ref="F496:F509" si="61">B496+C496+D496+E496</f>
        <v>0.79987327790944907</v>
      </c>
      <c r="G496" s="596">
        <f t="shared" si="60"/>
        <v>61890.296557511261</v>
      </c>
      <c r="H496" s="558">
        <f t="shared" ref="H496:H509" si="62">F496/G496*1000000</f>
        <v>12.924049849497338</v>
      </c>
      <c r="I496" s="434">
        <f t="shared" ref="I496:I509" si="63">H496/1000000</f>
        <v>1.2924049849497338E-5</v>
      </c>
    </row>
    <row r="497" spans="1:9">
      <c r="A497" s="112" t="s">
        <v>74</v>
      </c>
      <c r="B497" s="543">
        <f t="shared" ref="B497:D505" si="64">B400</f>
        <v>450.27935403260932</v>
      </c>
      <c r="C497" s="484">
        <f>C400</f>
        <v>1457.7206459673907</v>
      </c>
      <c r="D497" s="484">
        <f t="shared" ref="D497:D499" si="65">D400</f>
        <v>2275.1098999999999</v>
      </c>
      <c r="E497" s="235">
        <v>0</v>
      </c>
      <c r="F497" s="238">
        <f t="shared" si="61"/>
        <v>4183.1098999999995</v>
      </c>
      <c r="G497" s="596">
        <f t="shared" si="60"/>
        <v>61890.296557511261</v>
      </c>
      <c r="H497" s="558">
        <f t="shared" si="62"/>
        <v>67589.107383139853</v>
      </c>
      <c r="I497" s="434">
        <f t="shared" si="63"/>
        <v>6.7589107383139849E-2</v>
      </c>
    </row>
    <row r="498" spans="1:9">
      <c r="A498" s="112" t="s">
        <v>75</v>
      </c>
      <c r="B498" s="543">
        <f t="shared" ref="B498" si="66">B401</f>
        <v>2.2932000000000001E-2</v>
      </c>
      <c r="C498" s="485">
        <f>C401</f>
        <v>1.848E-2</v>
      </c>
      <c r="D498" s="484">
        <f t="shared" si="65"/>
        <v>5.2499999999999998E-2</v>
      </c>
      <c r="E498" s="235">
        <v>0</v>
      </c>
      <c r="F498" s="238">
        <f t="shared" si="61"/>
        <v>9.3911999999999995E-2</v>
      </c>
      <c r="G498" s="596">
        <f t="shared" si="60"/>
        <v>61890.296557511261</v>
      </c>
      <c r="H498" s="558">
        <f t="shared" si="62"/>
        <v>1.5173945710977927</v>
      </c>
      <c r="I498" s="434">
        <f t="shared" si="63"/>
        <v>1.5173945710977927E-6</v>
      </c>
    </row>
    <row r="499" spans="1:9">
      <c r="A499" s="112" t="s">
        <v>76</v>
      </c>
      <c r="B499" s="543">
        <f t="shared" ref="B499" si="67">B402</f>
        <v>0.26464265446041685</v>
      </c>
      <c r="C499" s="484">
        <f t="shared" si="64"/>
        <v>1.3673573455395831</v>
      </c>
      <c r="D499" s="484">
        <f t="shared" si="65"/>
        <v>1.9698</v>
      </c>
      <c r="E499" s="235">
        <v>0</v>
      </c>
      <c r="F499" s="238">
        <f t="shared" si="61"/>
        <v>3.6017999999999999</v>
      </c>
      <c r="G499" s="596">
        <f t="shared" si="60"/>
        <v>61890.296557511261</v>
      </c>
      <c r="H499" s="558">
        <f t="shared" si="62"/>
        <v>58.196521916049385</v>
      </c>
      <c r="I499" s="434">
        <f t="shared" si="63"/>
        <v>5.8196521916049383E-5</v>
      </c>
    </row>
    <row r="500" spans="1:9">
      <c r="A500" s="113" t="s">
        <v>77</v>
      </c>
      <c r="B500" s="543">
        <f t="shared" ref="B500" si="68">B403</f>
        <v>1.9488449114376971E-2</v>
      </c>
      <c r="C500" s="484">
        <f t="shared" si="64"/>
        <v>5.9231550885623054</v>
      </c>
      <c r="D500" s="484">
        <f t="shared" si="64"/>
        <v>19.295499999999997</v>
      </c>
      <c r="E500" s="235">
        <v>0</v>
      </c>
      <c r="F500" s="238">
        <f t="shared" si="61"/>
        <v>25.238143537676677</v>
      </c>
      <c r="G500" s="596">
        <f t="shared" si="60"/>
        <v>61890.296557511261</v>
      </c>
      <c r="H500" s="558">
        <f t="shared" si="62"/>
        <v>407.78837623155113</v>
      </c>
      <c r="I500" s="434">
        <f t="shared" si="63"/>
        <v>4.0778837623155114E-4</v>
      </c>
    </row>
    <row r="501" spans="1:9">
      <c r="A501" s="113" t="s">
        <v>78</v>
      </c>
      <c r="B501" s="543">
        <f t="shared" ref="B501" si="69">B404</f>
        <v>214.22556048798941</v>
      </c>
      <c r="C501" s="484">
        <f t="shared" si="64"/>
        <v>831.20547642257486</v>
      </c>
      <c r="D501" s="484">
        <f t="shared" si="64"/>
        <v>2077.7049999999999</v>
      </c>
      <c r="E501" s="235">
        <v>0</v>
      </c>
      <c r="F501" s="238">
        <f t="shared" si="61"/>
        <v>3123.1360369105641</v>
      </c>
      <c r="G501" s="596">
        <f t="shared" si="60"/>
        <v>61890.296557511261</v>
      </c>
      <c r="H501" s="558">
        <f t="shared" si="62"/>
        <v>50462.450668795958</v>
      </c>
      <c r="I501" s="434">
        <f t="shared" si="63"/>
        <v>5.0462450668795955E-2</v>
      </c>
    </row>
    <row r="502" spans="1:9">
      <c r="A502" s="113" t="s">
        <v>79</v>
      </c>
      <c r="B502" s="543">
        <f t="shared" ref="B502" si="70">B405</f>
        <v>34.967496775293192</v>
      </c>
      <c r="C502" s="484">
        <f t="shared" si="64"/>
        <v>62.89590074328904</v>
      </c>
      <c r="D502" s="484">
        <f t="shared" si="64"/>
        <v>232.9992</v>
      </c>
      <c r="E502" s="235">
        <v>0</v>
      </c>
      <c r="F502" s="238">
        <f t="shared" si="61"/>
        <v>330.86259751858222</v>
      </c>
      <c r="G502" s="596">
        <f t="shared" si="60"/>
        <v>61890.296557511261</v>
      </c>
      <c r="H502" s="558">
        <f t="shared" si="62"/>
        <v>5345.9526924568818</v>
      </c>
      <c r="I502" s="434">
        <f t="shared" si="63"/>
        <v>5.3459526924568819E-3</v>
      </c>
    </row>
    <row r="503" spans="1:9">
      <c r="A503" s="113" t="s">
        <v>80</v>
      </c>
      <c r="B503" s="543">
        <f t="shared" ref="B503" si="71">B406</f>
        <v>65.06620127340949</v>
      </c>
      <c r="C503" s="484">
        <f t="shared" si="64"/>
        <v>88.065434591374881</v>
      </c>
      <c r="D503" s="484">
        <f t="shared" si="64"/>
        <v>302.29978333333338</v>
      </c>
      <c r="E503" s="235">
        <v>0</v>
      </c>
      <c r="F503" s="238">
        <f t="shared" si="61"/>
        <v>455.43141919811774</v>
      </c>
      <c r="G503" s="596">
        <f t="shared" si="60"/>
        <v>61890.296557511261</v>
      </c>
      <c r="H503" s="558">
        <f t="shared" si="62"/>
        <v>7358.6885914322656</v>
      </c>
      <c r="I503" s="434">
        <f t="shared" si="63"/>
        <v>7.3586885914322655E-3</v>
      </c>
    </row>
    <row r="504" spans="1:9">
      <c r="A504" s="113" t="s">
        <v>81</v>
      </c>
      <c r="B504" s="543">
        <f t="shared" ref="B504" si="72">B407</f>
        <v>37.24435889358238</v>
      </c>
      <c r="C504" s="484">
        <f t="shared" si="64"/>
        <v>59.955641106417616</v>
      </c>
      <c r="D504" s="484">
        <f t="shared" si="64"/>
        <v>67.697699999999998</v>
      </c>
      <c r="E504" s="235">
        <v>0</v>
      </c>
      <c r="F504" s="238">
        <f t="shared" si="61"/>
        <v>164.89769999999999</v>
      </c>
      <c r="G504" s="596">
        <f t="shared" si="60"/>
        <v>61890.296557511261</v>
      </c>
      <c r="H504" s="558">
        <f t="shared" si="62"/>
        <v>2664.3546593248197</v>
      </c>
      <c r="I504" s="434">
        <f t="shared" si="63"/>
        <v>2.6643546593248199E-3</v>
      </c>
    </row>
    <row r="505" spans="1:9">
      <c r="A505" s="113" t="s">
        <v>82</v>
      </c>
      <c r="B505" s="543">
        <f t="shared" ref="B505" si="73">B408</f>
        <v>0.44935559154215376</v>
      </c>
      <c r="C505" s="484">
        <f t="shared" si="64"/>
        <v>1.0391224702131756</v>
      </c>
      <c r="D505" s="484">
        <f t="shared" si="64"/>
        <v>1.4619499999999999</v>
      </c>
      <c r="E505" s="235">
        <v>0</v>
      </c>
      <c r="F505" s="238">
        <f t="shared" si="61"/>
        <v>2.9504280617553293</v>
      </c>
      <c r="G505" s="596">
        <f t="shared" si="60"/>
        <v>61890.296557511261</v>
      </c>
      <c r="H505" s="558">
        <f t="shared" si="62"/>
        <v>47.671900537972995</v>
      </c>
      <c r="I505" s="434">
        <f t="shared" si="63"/>
        <v>4.7671900537972993E-5</v>
      </c>
    </row>
    <row r="506" spans="1:9">
      <c r="A506" s="327" t="s">
        <v>154</v>
      </c>
      <c r="B506" s="712">
        <f>B411</f>
        <v>2093.3348502857143</v>
      </c>
      <c r="C506" s="485">
        <f>C411</f>
        <v>1686.9365093877552</v>
      </c>
      <c r="D506" s="484">
        <f>D411</f>
        <v>1829.2190000000001</v>
      </c>
      <c r="E506" s="364">
        <f>B424</f>
        <v>4664.2988762037457</v>
      </c>
      <c r="F506" s="238">
        <f t="shared" si="61"/>
        <v>10273.789235877215</v>
      </c>
      <c r="G506" s="596">
        <f t="shared" si="60"/>
        <v>61890.296557511261</v>
      </c>
      <c r="H506" s="597">
        <f t="shared" si="62"/>
        <v>166000.00011844095</v>
      </c>
      <c r="I506" s="585">
        <f t="shared" si="63"/>
        <v>0.16600000011844096</v>
      </c>
    </row>
    <row r="507" spans="1:9">
      <c r="A507" s="401" t="s">
        <v>84</v>
      </c>
      <c r="B507" s="543">
        <f t="shared" ref="B507:D509" si="74">B412</f>
        <v>8.9505984412444672E-2</v>
      </c>
      <c r="C507" s="484">
        <f t="shared" si="74"/>
        <v>1.3961989903462106</v>
      </c>
      <c r="D507" s="484">
        <f>D412</f>
        <v>2.6088999999999998</v>
      </c>
      <c r="E507" s="577">
        <v>0</v>
      </c>
      <c r="F507" s="238">
        <f t="shared" si="61"/>
        <v>4.0946049747586546</v>
      </c>
      <c r="G507" s="596">
        <f t="shared" si="60"/>
        <v>61890.296557511261</v>
      </c>
      <c r="H507" s="558">
        <f t="shared" si="62"/>
        <v>66.15907828061161</v>
      </c>
      <c r="I507" s="434">
        <f t="shared" si="63"/>
        <v>6.6159078280611608E-5</v>
      </c>
    </row>
    <row r="508" spans="1:9">
      <c r="A508" s="401" t="s">
        <v>85</v>
      </c>
      <c r="B508" s="543">
        <f t="shared" si="74"/>
        <v>0</v>
      </c>
      <c r="C508" s="484">
        <f t="shared" si="74"/>
        <v>791.04489795918357</v>
      </c>
      <c r="D508" s="484">
        <f t="shared" si="74"/>
        <v>124.30895555555556</v>
      </c>
      <c r="E508" s="577">
        <v>0</v>
      </c>
      <c r="F508" s="238">
        <f t="shared" si="61"/>
        <v>915.35385351473917</v>
      </c>
      <c r="G508" s="596">
        <f t="shared" si="60"/>
        <v>61890.296557511261</v>
      </c>
      <c r="H508" s="558">
        <f t="shared" si="62"/>
        <v>14789.941306294291</v>
      </c>
      <c r="I508" s="434">
        <f t="shared" si="63"/>
        <v>1.4789941306294291E-2</v>
      </c>
    </row>
    <row r="509" spans="1:9" ht="14.65" thickBot="1">
      <c r="A509" s="343" t="s">
        <v>86</v>
      </c>
      <c r="B509" s="598">
        <f t="shared" si="74"/>
        <v>0.36285342095514839</v>
      </c>
      <c r="C509" s="599">
        <f t="shared" si="74"/>
        <v>20.978931580897044</v>
      </c>
      <c r="D509" s="599">
        <f t="shared" si="74"/>
        <v>53.472999999999999</v>
      </c>
      <c r="E509" s="379">
        <v>0</v>
      </c>
      <c r="F509" s="600">
        <f t="shared" si="61"/>
        <v>74.814785001852186</v>
      </c>
      <c r="G509" s="601">
        <f t="shared" si="60"/>
        <v>61890.296557511261</v>
      </c>
      <c r="H509" s="559">
        <f t="shared" si="62"/>
        <v>1208.8289952259465</v>
      </c>
      <c r="I509" s="439">
        <f t="shared" si="63"/>
        <v>1.2088289952259465E-3</v>
      </c>
    </row>
    <row r="510" spans="1:9">
      <c r="E510" s="146"/>
      <c r="F510" s="96"/>
      <c r="G510" s="95"/>
      <c r="H510" s="95"/>
    </row>
    <row r="511" spans="1:9">
      <c r="A511" s="1" t="s">
        <v>155</v>
      </c>
      <c r="B511" s="1"/>
      <c r="C511" s="1"/>
      <c r="E511" s="146"/>
      <c r="F511" s="96"/>
      <c r="G511" s="95"/>
      <c r="H511" s="95"/>
    </row>
    <row r="512" spans="1:9" ht="14.65" thickBot="1">
      <c r="A512" s="79" t="s">
        <v>291</v>
      </c>
    </row>
    <row r="513" spans="1:3" ht="14.65" thickBot="1">
      <c r="A513" s="103" t="s">
        <v>53</v>
      </c>
      <c r="B513" s="102" t="s">
        <v>18</v>
      </c>
      <c r="C513" s="17" t="s">
        <v>106</v>
      </c>
    </row>
    <row r="514" spans="1:3" ht="14.65" thickBot="1">
      <c r="A514" s="163" t="s">
        <v>305</v>
      </c>
      <c r="B514" s="290" t="s">
        <v>35</v>
      </c>
      <c r="C514" s="384">
        <f>$C$471</f>
        <v>137533.99235002504</v>
      </c>
    </row>
    <row r="516" spans="1:3">
      <c r="A516" s="329" t="s">
        <v>319</v>
      </c>
      <c r="B516" s="329"/>
    </row>
    <row r="518" spans="1:3" ht="14.65" thickBot="1">
      <c r="A518" s="79" t="s">
        <v>292</v>
      </c>
    </row>
    <row r="519" spans="1:3" ht="14.65" thickBot="1">
      <c r="A519" s="191" t="s">
        <v>90</v>
      </c>
      <c r="B519" s="192" t="s">
        <v>18</v>
      </c>
      <c r="C519" s="193" t="s">
        <v>91</v>
      </c>
    </row>
    <row r="520" spans="1:3">
      <c r="A520" s="703" t="s">
        <v>314</v>
      </c>
      <c r="B520" s="692" t="s">
        <v>35</v>
      </c>
      <c r="C520" s="730">
        <f>$C$480</f>
        <v>61890.296557511261</v>
      </c>
    </row>
    <row r="521" spans="1:3">
      <c r="A521" s="232" t="s">
        <v>320</v>
      </c>
      <c r="B521" s="178" t="s">
        <v>237</v>
      </c>
      <c r="C521" s="722">
        <v>0.95</v>
      </c>
    </row>
    <row r="522" spans="1:3">
      <c r="A522" s="720" t="s">
        <v>17</v>
      </c>
      <c r="B522" s="724" t="s">
        <v>35</v>
      </c>
      <c r="C522" s="718">
        <f>C520/C521</f>
        <v>65147.68058685396</v>
      </c>
    </row>
    <row r="523" spans="1:3">
      <c r="A523" s="232" t="s">
        <v>321</v>
      </c>
      <c r="B523" s="178" t="s">
        <v>237</v>
      </c>
      <c r="C523" s="722">
        <f>100%-C521</f>
        <v>5.0000000000000044E-2</v>
      </c>
    </row>
    <row r="524" spans="1:3">
      <c r="A524" s="232" t="s">
        <v>348</v>
      </c>
      <c r="B524" s="178" t="s">
        <v>35</v>
      </c>
      <c r="C524" s="84">
        <f>C522*C523</f>
        <v>3257.3840293427011</v>
      </c>
    </row>
    <row r="525" spans="1:3" ht="14.65" thickBot="1">
      <c r="A525" s="680" t="s">
        <v>16</v>
      </c>
      <c r="B525" s="694" t="s">
        <v>35</v>
      </c>
      <c r="C525" s="671">
        <f>$C$487-C524</f>
        <v>72386.311763171063</v>
      </c>
    </row>
    <row r="527" spans="1:3" ht="14.65" thickBot="1">
      <c r="A527" s="1" t="s">
        <v>401</v>
      </c>
      <c r="B527" s="1"/>
      <c r="C527" s="1"/>
    </row>
    <row r="528" spans="1:3" ht="14.65" thickBot="1">
      <c r="A528" s="9" t="s">
        <v>402</v>
      </c>
      <c r="B528" s="790" t="s">
        <v>297</v>
      </c>
      <c r="C528" s="789" t="s">
        <v>403</v>
      </c>
    </row>
    <row r="529" spans="1:5">
      <c r="A529" s="134" t="s">
        <v>329</v>
      </c>
      <c r="B529" s="793" t="s">
        <v>35</v>
      </c>
      <c r="C529" s="795">
        <f>C25</f>
        <v>1727.9999999999998</v>
      </c>
    </row>
    <row r="530" spans="1:5">
      <c r="A530" s="68" t="s">
        <v>331</v>
      </c>
      <c r="B530" s="105" t="s">
        <v>35</v>
      </c>
      <c r="C530" s="84">
        <f>C29</f>
        <v>22200</v>
      </c>
    </row>
    <row r="531" spans="1:5">
      <c r="A531" s="68" t="s">
        <v>409</v>
      </c>
      <c r="B531" s="105" t="s">
        <v>35</v>
      </c>
      <c r="C531" s="84">
        <f>C31</f>
        <v>9024</v>
      </c>
    </row>
    <row r="532" spans="1:5">
      <c r="A532" s="68" t="s">
        <v>410</v>
      </c>
      <c r="B532" s="105" t="s">
        <v>35</v>
      </c>
      <c r="C532" s="82">
        <f>C34</f>
        <v>22560</v>
      </c>
    </row>
    <row r="533" spans="1:5">
      <c r="A533" s="68" t="s">
        <v>404</v>
      </c>
      <c r="B533" s="105" t="s">
        <v>35</v>
      </c>
      <c r="C533" s="80">
        <f>ISH</f>
        <v>12000</v>
      </c>
    </row>
    <row r="534" spans="1:5">
      <c r="A534" s="68" t="s">
        <v>406</v>
      </c>
      <c r="B534" s="105" t="s">
        <v>35</v>
      </c>
      <c r="C534" s="80">
        <f>TVM</f>
        <v>17500</v>
      </c>
    </row>
    <row r="535" spans="1:5">
      <c r="A535" s="68" t="s">
        <v>405</v>
      </c>
      <c r="B535" s="105" t="s">
        <v>35</v>
      </c>
      <c r="C535" s="80">
        <f>SEF</f>
        <v>7000</v>
      </c>
    </row>
    <row r="536" spans="1:5">
      <c r="A536" s="68" t="s">
        <v>334</v>
      </c>
      <c r="B536" s="105" t="s">
        <v>35</v>
      </c>
      <c r="C536" s="86">
        <f>C208</f>
        <v>482.27895112591864</v>
      </c>
    </row>
    <row r="537" spans="1:5">
      <c r="A537" s="68" t="s">
        <v>408</v>
      </c>
      <c r="B537" s="105" t="s">
        <v>35</v>
      </c>
      <c r="C537" s="84">
        <f>C429</f>
        <v>14745.20289896668</v>
      </c>
    </row>
    <row r="538" spans="1:5">
      <c r="A538" s="68" t="s">
        <v>411</v>
      </c>
      <c r="B538" s="105" t="s">
        <v>35</v>
      </c>
      <c r="C538" s="84">
        <f>C431</f>
        <v>19660.270531955572</v>
      </c>
    </row>
    <row r="539" spans="1:5">
      <c r="A539" s="794" t="s">
        <v>412</v>
      </c>
      <c r="B539" s="105" t="s">
        <v>35</v>
      </c>
      <c r="C539" s="84">
        <f>C531+C537</f>
        <v>23769.20289896668</v>
      </c>
    </row>
    <row r="540" spans="1:5" ht="14.65" thickBot="1">
      <c r="A540" s="73" t="s">
        <v>407</v>
      </c>
      <c r="B540" s="23" t="s">
        <v>35</v>
      </c>
      <c r="C540" s="237">
        <f>C452</f>
        <v>36568.177163649249</v>
      </c>
    </row>
    <row r="542" spans="1:5" ht="14.65" thickBot="1">
      <c r="A542" s="1" t="s">
        <v>235</v>
      </c>
      <c r="B542" s="1"/>
      <c r="C542" s="1"/>
      <c r="D542" s="79"/>
      <c r="E542" s="79"/>
    </row>
    <row r="543" spans="1:5" ht="14.65" hidden="1" thickBot="1">
      <c r="A543" s="212"/>
      <c r="B543" s="1008" t="s">
        <v>140</v>
      </c>
      <c r="C543" s="1061"/>
      <c r="D543" s="1061"/>
      <c r="E543" s="1009"/>
    </row>
    <row r="544" spans="1:5" ht="14.65" hidden="1" thickBot="1">
      <c r="A544" s="487" t="s">
        <v>67</v>
      </c>
      <c r="B544" s="385" t="s">
        <v>228</v>
      </c>
      <c r="C544" s="19" t="s">
        <v>229</v>
      </c>
      <c r="D544" s="19" t="s">
        <v>230</v>
      </c>
      <c r="E544" s="20" t="s">
        <v>298</v>
      </c>
    </row>
    <row r="545" spans="1:5" ht="14.65" hidden="1" thickBot="1">
      <c r="A545" s="133" t="s">
        <v>18</v>
      </c>
      <c r="B545" s="23" t="s">
        <v>35</v>
      </c>
      <c r="C545" s="7" t="s">
        <v>35</v>
      </c>
      <c r="D545" s="7" t="s">
        <v>35</v>
      </c>
      <c r="E545" s="24" t="s">
        <v>35</v>
      </c>
    </row>
    <row r="546" spans="1:5" ht="14.65" hidden="1" thickBot="1">
      <c r="A546" s="134" t="s">
        <v>223</v>
      </c>
      <c r="B546" s="241">
        <f>D381</f>
        <v>3.85E-2</v>
      </c>
      <c r="C546" s="241">
        <f>E381</f>
        <v>1.4E-2</v>
      </c>
      <c r="D546" s="241">
        <f>D43</f>
        <v>4.2000000000000003E-2</v>
      </c>
      <c r="E546" s="242">
        <f>SUM(B546:D546)</f>
        <v>9.4500000000000001E-2</v>
      </c>
    </row>
    <row r="547" spans="1:5" ht="14.65" hidden="1" thickBot="1">
      <c r="A547" s="73" t="s">
        <v>226</v>
      </c>
      <c r="B547" s="240">
        <f>D390</f>
        <v>2.0474999999999999</v>
      </c>
      <c r="C547" s="240">
        <f>E390</f>
        <v>0.56140000000000001</v>
      </c>
      <c r="D547" s="240">
        <f>D52</f>
        <v>1.488</v>
      </c>
      <c r="E547" s="239">
        <f>SUM(B547:D547)</f>
        <v>4.0968999999999998</v>
      </c>
    </row>
    <row r="548" spans="1:5" ht="14.65" hidden="1" thickBot="1"/>
    <row r="549" spans="1:5" ht="14.65" thickBot="1">
      <c r="A549" s="512"/>
      <c r="B549" s="249" t="s">
        <v>18</v>
      </c>
      <c r="C549" s="249" t="s">
        <v>234</v>
      </c>
    </row>
    <row r="550" spans="1:5">
      <c r="A550" s="134" t="s">
        <v>232</v>
      </c>
      <c r="B550" s="509" t="s">
        <v>24</v>
      </c>
      <c r="C550" s="248">
        <v>0.38</v>
      </c>
    </row>
    <row r="551" spans="1:5">
      <c r="A551" s="68" t="s">
        <v>314</v>
      </c>
      <c r="B551" s="510" t="s">
        <v>35</v>
      </c>
      <c r="C551" s="244">
        <f>C520</f>
        <v>61890.296557511261</v>
      </c>
    </row>
    <row r="552" spans="1:5">
      <c r="A552" s="68" t="s">
        <v>349</v>
      </c>
      <c r="B552" s="510" t="s">
        <v>35</v>
      </c>
      <c r="C552" s="245">
        <f>C551*C550</f>
        <v>23518.31269185428</v>
      </c>
    </row>
    <row r="553" spans="1:5">
      <c r="A553" s="68" t="s">
        <v>350</v>
      </c>
      <c r="B553" s="510" t="s">
        <v>35</v>
      </c>
      <c r="C553" s="246">
        <f>F498</f>
        <v>9.3911999999999995E-2</v>
      </c>
    </row>
    <row r="554" spans="1:5" ht="14.65" thickBot="1">
      <c r="A554" s="73" t="s">
        <v>351</v>
      </c>
      <c r="B554" s="511" t="s">
        <v>240</v>
      </c>
      <c r="C554" s="932">
        <f>C553/C552*1000000</f>
        <v>3.9931436081520864</v>
      </c>
    </row>
    <row r="555" spans="1:5" ht="14.65" thickBot="1">
      <c r="A555" s="329"/>
    </row>
    <row r="556" spans="1:5" ht="14.65" thickBot="1">
      <c r="A556" s="212"/>
      <c r="B556" s="1087" t="s">
        <v>216</v>
      </c>
      <c r="C556" s="1091" t="s">
        <v>165</v>
      </c>
      <c r="D556" s="1012"/>
    </row>
    <row r="557" spans="1:5">
      <c r="A557" s="487" t="s">
        <v>67</v>
      </c>
      <c r="B557" s="1088"/>
      <c r="C557" s="104" t="s">
        <v>166</v>
      </c>
      <c r="D557" s="15" t="s">
        <v>167</v>
      </c>
    </row>
    <row r="558" spans="1:5" ht="14.65" thickBot="1">
      <c r="A558" s="133" t="s">
        <v>18</v>
      </c>
      <c r="B558" s="609" t="s">
        <v>241</v>
      </c>
      <c r="C558" s="23" t="s">
        <v>70</v>
      </c>
      <c r="D558" s="24" t="s">
        <v>70</v>
      </c>
    </row>
    <row r="559" spans="1:5">
      <c r="A559" s="134" t="s">
        <v>222</v>
      </c>
      <c r="B559" s="681">
        <f>H496</f>
        <v>12.924049849497338</v>
      </c>
      <c r="C559" s="484">
        <f>Rohdaten!$F$12</f>
        <v>40</v>
      </c>
      <c r="D559" s="110">
        <f>Rohdaten!$H$12</f>
        <v>40</v>
      </c>
    </row>
    <row r="560" spans="1:5">
      <c r="A560" s="68" t="s">
        <v>223</v>
      </c>
      <c r="B560" s="930">
        <f>C554</f>
        <v>3.9931436081520864</v>
      </c>
      <c r="C560" s="105" t="str">
        <f>Rohdaten!$F$14</f>
        <v>50mg/kgP2O5</v>
      </c>
      <c r="D560" s="80" t="str">
        <f>Rohdaten!$H$14</f>
        <v>60mg/kgP2O5</v>
      </c>
    </row>
    <row r="561" spans="1:4">
      <c r="A561" s="68" t="s">
        <v>224</v>
      </c>
      <c r="B561" s="606">
        <f>H500</f>
        <v>407.78837623155113</v>
      </c>
      <c r="C561" s="485">
        <f>Rohdaten!$F$16</f>
        <v>900</v>
      </c>
      <c r="D561" s="82">
        <f>Rohdaten!$H$16</f>
        <v>600</v>
      </c>
    </row>
    <row r="562" spans="1:4">
      <c r="A562" s="68" t="s">
        <v>225</v>
      </c>
      <c r="B562" s="606">
        <f>H505</f>
        <v>47.671900537972995</v>
      </c>
      <c r="C562" s="485">
        <f>Rohdaten!$F$21</f>
        <v>80</v>
      </c>
      <c r="D562" s="82">
        <f>Rohdaten!$H$21</f>
        <v>100</v>
      </c>
    </row>
    <row r="563" spans="1:4">
      <c r="A563" s="68" t="s">
        <v>226</v>
      </c>
      <c r="B563" s="607">
        <f>H507</f>
        <v>66.15907828061161</v>
      </c>
      <c r="C563" s="485">
        <f>Rohdaten!$F$23</f>
        <v>150</v>
      </c>
      <c r="D563" s="82">
        <f>Rohdaten!$H$23</f>
        <v>120</v>
      </c>
    </row>
    <row r="564" spans="1:4" ht="14.65" thickBot="1">
      <c r="A564" s="73" t="s">
        <v>227</v>
      </c>
      <c r="B564" s="608">
        <f>H509</f>
        <v>1208.8289952259465</v>
      </c>
      <c r="C564" s="486">
        <f>Rohdaten!$F$25</f>
        <v>5000</v>
      </c>
      <c r="D564" s="237">
        <f>Rohdaten!$H$25</f>
        <v>1500</v>
      </c>
    </row>
  </sheetData>
  <mergeCells count="55">
    <mergeCell ref="B324:D324"/>
    <mergeCell ref="E324:H324"/>
    <mergeCell ref="D37:F37"/>
    <mergeCell ref="B78:F78"/>
    <mergeCell ref="G78:L78"/>
    <mergeCell ref="B79:B80"/>
    <mergeCell ref="C79:C80"/>
    <mergeCell ref="D79:D80"/>
    <mergeCell ref="E79:E80"/>
    <mergeCell ref="F79:F80"/>
    <mergeCell ref="G79:H80"/>
    <mergeCell ref="I79:L79"/>
    <mergeCell ref="K80:L80"/>
    <mergeCell ref="B267:F267"/>
    <mergeCell ref="G267:L267"/>
    <mergeCell ref="B268:B269"/>
    <mergeCell ref="C268:C269"/>
    <mergeCell ref="D268:D269"/>
    <mergeCell ref="E268:E269"/>
    <mergeCell ref="F268:F269"/>
    <mergeCell ref="G268:H269"/>
    <mergeCell ref="B212:C212"/>
    <mergeCell ref="I80:J80"/>
    <mergeCell ref="B167:D167"/>
    <mergeCell ref="E167:H167"/>
    <mergeCell ref="E168:F168"/>
    <mergeCell ref="G168:H168"/>
    <mergeCell ref="B211:C211"/>
    <mergeCell ref="B141:D141"/>
    <mergeCell ref="E141:H141"/>
    <mergeCell ref="E142:F142"/>
    <mergeCell ref="G142:H142"/>
    <mergeCell ref="I268:L268"/>
    <mergeCell ref="I269:J269"/>
    <mergeCell ref="K269:L269"/>
    <mergeCell ref="G325:H325"/>
    <mergeCell ref="E347:F347"/>
    <mergeCell ref="G347:H347"/>
    <mergeCell ref="E325:F325"/>
    <mergeCell ref="B374:C374"/>
    <mergeCell ref="D374:F374"/>
    <mergeCell ref="B346:D346"/>
    <mergeCell ref="E346:H346"/>
    <mergeCell ref="B375:C375"/>
    <mergeCell ref="D375:E375"/>
    <mergeCell ref="H492:I492"/>
    <mergeCell ref="H493:I493"/>
    <mergeCell ref="B395:F395"/>
    <mergeCell ref="G395:H395"/>
    <mergeCell ref="G396:H396"/>
    <mergeCell ref="B543:E543"/>
    <mergeCell ref="B556:B557"/>
    <mergeCell ref="C556:D556"/>
    <mergeCell ref="D420:E420"/>
    <mergeCell ref="B492:G492"/>
  </mergeCell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76E57-617D-4E68-B826-4CAC0C8098D6}">
  <sheetPr codeName="Tabelle28"/>
  <dimension ref="A1:L629"/>
  <sheetViews>
    <sheetView topLeftCell="A594" zoomScale="70" zoomScaleNormal="70" workbookViewId="0">
      <selection activeCell="C327" sqref="C327"/>
    </sheetView>
  </sheetViews>
  <sheetFormatPr baseColWidth="10" defaultColWidth="8.86328125" defaultRowHeight="14.25"/>
  <cols>
    <col min="1" max="1" width="46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4.73046875" customWidth="1"/>
    <col min="7" max="7" width="34.59765625" customWidth="1"/>
    <col min="8" max="8" width="32.33203125" customWidth="1"/>
    <col min="9" max="9" width="20.0664062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4" spans="1:4">
      <c r="A4" s="853"/>
      <c r="B4" t="s">
        <v>613</v>
      </c>
    </row>
    <row r="6" spans="1:4">
      <c r="A6" s="1" t="s">
        <v>194</v>
      </c>
      <c r="B6" s="13"/>
      <c r="C6" s="13"/>
      <c r="D6" s="13"/>
    </row>
    <row r="7" spans="1:4" ht="14.65" thickBot="1">
      <c r="A7" s="79" t="s">
        <v>358</v>
      </c>
      <c r="B7" s="79"/>
      <c r="C7" s="79"/>
      <c r="D7" s="79"/>
    </row>
    <row r="8" spans="1:4">
      <c r="A8" s="2"/>
      <c r="B8" s="166" t="s">
        <v>614</v>
      </c>
      <c r="C8" s="189" t="s">
        <v>615</v>
      </c>
      <c r="D8" s="190" t="s">
        <v>622</v>
      </c>
    </row>
    <row r="9" spans="1:4" ht="14.65" thickBot="1">
      <c r="A9" s="5"/>
      <c r="B9" s="6" t="s">
        <v>35</v>
      </c>
      <c r="C9" s="7" t="s">
        <v>35</v>
      </c>
      <c r="D9" s="24" t="s">
        <v>35</v>
      </c>
    </row>
    <row r="10" spans="1:4" ht="14.65" thickBot="1">
      <c r="A10" s="513" t="s">
        <v>347</v>
      </c>
      <c r="B10" s="263">
        <v>17500</v>
      </c>
      <c r="C10" s="603">
        <v>7000</v>
      </c>
      <c r="D10" s="604">
        <v>12000</v>
      </c>
    </row>
    <row r="11" spans="1:4">
      <c r="A11" s="79"/>
    </row>
    <row r="12" spans="1:4" ht="14.65" thickBot="1">
      <c r="A12" s="79" t="s">
        <v>359</v>
      </c>
    </row>
    <row r="13" spans="1:4" ht="14.65" thickBot="1">
      <c r="A13" s="164"/>
      <c r="B13" s="192" t="s">
        <v>18</v>
      </c>
      <c r="C13" s="193" t="s">
        <v>48</v>
      </c>
    </row>
    <row r="14" spans="1:4">
      <c r="A14" s="528" t="s">
        <v>353</v>
      </c>
      <c r="B14" s="173" t="s">
        <v>21</v>
      </c>
      <c r="C14" s="518">
        <v>0.14399999999999999</v>
      </c>
    </row>
    <row r="15" spans="1:4">
      <c r="A15" s="415" t="s">
        <v>346</v>
      </c>
      <c r="B15" s="37" t="s">
        <v>22</v>
      </c>
      <c r="C15" s="529">
        <v>0.752</v>
      </c>
    </row>
    <row r="16" spans="1:4">
      <c r="A16" s="415" t="s">
        <v>332</v>
      </c>
      <c r="B16" s="37" t="s">
        <v>19</v>
      </c>
      <c r="C16" s="529">
        <v>2.8340000000000001</v>
      </c>
    </row>
    <row r="17" spans="1:3" ht="14.65" thickBot="1">
      <c r="A17" s="417" t="s">
        <v>23</v>
      </c>
      <c r="B17" s="215" t="s">
        <v>237</v>
      </c>
      <c r="C17" s="416">
        <v>1.8</v>
      </c>
    </row>
    <row r="18" spans="1:3">
      <c r="A18" s="5"/>
    </row>
    <row r="19" spans="1:3">
      <c r="A19" s="731" t="s">
        <v>470</v>
      </c>
    </row>
    <row r="21" spans="1:3" ht="14.65" thickBot="1">
      <c r="A21" s="79" t="s">
        <v>364</v>
      </c>
    </row>
    <row r="22" spans="1:3" ht="14.65" thickBot="1">
      <c r="A22" s="103" t="s">
        <v>53</v>
      </c>
      <c r="B22" s="192" t="s">
        <v>18</v>
      </c>
      <c r="C22" s="193" t="s">
        <v>54</v>
      </c>
    </row>
    <row r="23" spans="1:3">
      <c r="A23" s="733" t="s">
        <v>627</v>
      </c>
      <c r="B23" s="735" t="s">
        <v>35</v>
      </c>
      <c r="C23" s="736">
        <f>$D$10</f>
        <v>12000</v>
      </c>
    </row>
    <row r="24" spans="1:3" hidden="1">
      <c r="A24" s="679" t="s">
        <v>49</v>
      </c>
      <c r="B24" s="721" t="s">
        <v>21</v>
      </c>
      <c r="C24" s="87">
        <f>$C$14</f>
        <v>0.14399999999999999</v>
      </c>
    </row>
    <row r="25" spans="1:3">
      <c r="A25" s="232" t="s">
        <v>366</v>
      </c>
      <c r="B25" s="178" t="s">
        <v>35</v>
      </c>
      <c r="C25" s="468">
        <f>C23*WK</f>
        <v>34008</v>
      </c>
    </row>
    <row r="26" spans="1:3">
      <c r="A26" s="232" t="s">
        <v>329</v>
      </c>
      <c r="B26" s="178" t="s">
        <v>35</v>
      </c>
      <c r="C26" s="468">
        <f>C23*SSK</f>
        <v>1727.9999999999998</v>
      </c>
    </row>
    <row r="27" spans="1:3" hidden="1">
      <c r="A27" s="232" t="s">
        <v>50</v>
      </c>
      <c r="B27" s="178" t="s">
        <v>35</v>
      </c>
      <c r="C27" s="85">
        <f>$C$15</f>
        <v>0.752</v>
      </c>
    </row>
    <row r="28" spans="1:3">
      <c r="A28" s="232" t="s">
        <v>327</v>
      </c>
      <c r="B28" s="178" t="s">
        <v>237</v>
      </c>
      <c r="C28" s="732">
        <f>C26/(C26+C29)</f>
        <v>7.7837837837837834E-2</v>
      </c>
    </row>
    <row r="29" spans="1:3">
      <c r="A29" s="232" t="s">
        <v>367</v>
      </c>
      <c r="B29" s="178" t="s">
        <v>35</v>
      </c>
      <c r="C29" s="468">
        <f>C25-C34</f>
        <v>20472</v>
      </c>
    </row>
    <row r="30" spans="1:3">
      <c r="A30" s="720" t="s">
        <v>331</v>
      </c>
      <c r="B30" s="724" t="s">
        <v>35</v>
      </c>
      <c r="C30" s="737">
        <f>C26+C29</f>
        <v>22200</v>
      </c>
    </row>
    <row r="31" spans="1:3" hidden="1">
      <c r="A31" s="232" t="s">
        <v>51</v>
      </c>
      <c r="B31" s="178" t="s">
        <v>35</v>
      </c>
      <c r="C31" s="468">
        <f>$C$16</f>
        <v>2.8340000000000001</v>
      </c>
    </row>
    <row r="32" spans="1:3">
      <c r="A32" s="734" t="s">
        <v>428</v>
      </c>
      <c r="B32" s="178" t="s">
        <v>35</v>
      </c>
      <c r="C32" s="468">
        <f>C23*PSK</f>
        <v>9024</v>
      </c>
    </row>
    <row r="33" spans="1:8">
      <c r="A33" s="734" t="s">
        <v>326</v>
      </c>
      <c r="B33" s="37" t="s">
        <v>237</v>
      </c>
      <c r="C33" s="732">
        <v>0.4</v>
      </c>
    </row>
    <row r="34" spans="1:8">
      <c r="A34" s="734" t="s">
        <v>426</v>
      </c>
      <c r="B34" s="178" t="s">
        <v>35</v>
      </c>
      <c r="C34" s="468">
        <f>C32/C33*(1-C33)</f>
        <v>13536</v>
      </c>
    </row>
    <row r="35" spans="1:8" ht="14.65" thickBot="1">
      <c r="A35" s="680" t="s">
        <v>427</v>
      </c>
      <c r="B35" s="694" t="s">
        <v>35</v>
      </c>
      <c r="C35" s="738">
        <f>C32+C34</f>
        <v>22560</v>
      </c>
    </row>
    <row r="36" spans="1:8">
      <c r="A36" s="83"/>
      <c r="B36" s="77"/>
      <c r="C36" s="95"/>
    </row>
    <row r="37" spans="1:8" ht="14.65" thickBot="1">
      <c r="A37" s="183" t="s">
        <v>644</v>
      </c>
    </row>
    <row r="38" spans="1:8" ht="14.65" thickBot="1">
      <c r="A38" s="773"/>
      <c r="B38" s="177"/>
      <c r="C38" s="846"/>
      <c r="D38" s="217"/>
      <c r="E38" s="514" t="s">
        <v>263</v>
      </c>
      <c r="F38" s="1074" t="s">
        <v>262</v>
      </c>
      <c r="G38" s="1075"/>
      <c r="H38" s="1076"/>
    </row>
    <row r="39" spans="1:8">
      <c r="A39" s="879"/>
      <c r="B39" s="848" t="s">
        <v>453</v>
      </c>
      <c r="C39" s="854" t="s">
        <v>454</v>
      </c>
      <c r="D39" s="867" t="s">
        <v>455</v>
      </c>
      <c r="E39" s="532" t="s">
        <v>622</v>
      </c>
      <c r="F39" s="521" t="s">
        <v>624</v>
      </c>
      <c r="G39" s="266" t="s">
        <v>625</v>
      </c>
      <c r="H39" s="275" t="s">
        <v>634</v>
      </c>
    </row>
    <row r="40" spans="1:8" ht="14.65" thickBot="1">
      <c r="A40" s="220" t="s">
        <v>93</v>
      </c>
      <c r="B40" s="859" t="s">
        <v>24</v>
      </c>
      <c r="C40" s="860" t="s">
        <v>24</v>
      </c>
      <c r="D40" s="872" t="s">
        <v>24</v>
      </c>
      <c r="E40" s="533" t="s">
        <v>71</v>
      </c>
      <c r="F40" s="530" t="s">
        <v>35</v>
      </c>
      <c r="G40" s="153" t="s">
        <v>35</v>
      </c>
      <c r="H40" s="155" t="s">
        <v>35</v>
      </c>
    </row>
    <row r="41" spans="1:8">
      <c r="A41" s="184" t="s">
        <v>72</v>
      </c>
      <c r="B41" s="880">
        <v>0.35466079587700855</v>
      </c>
      <c r="C41" s="855">
        <v>0.9</v>
      </c>
      <c r="D41" s="702">
        <f>B41*C41</f>
        <v>0.31919471628930768</v>
      </c>
      <c r="E41" s="534">
        <v>39002</v>
      </c>
      <c r="F41" s="531">
        <f t="shared" ref="F41:F55" si="0">$D$10*E41/1000000</f>
        <v>468.024</v>
      </c>
      <c r="G41" s="459">
        <f>D41*F41</f>
        <v>149.39078789658694</v>
      </c>
      <c r="H41" s="467">
        <f>F41*(1-D41)</f>
        <v>318.63321210341309</v>
      </c>
    </row>
    <row r="42" spans="1:8">
      <c r="A42" s="185" t="s">
        <v>73</v>
      </c>
      <c r="B42" s="881">
        <v>0.50448951725767621</v>
      </c>
      <c r="C42" s="856">
        <v>0.9</v>
      </c>
      <c r="D42" s="72">
        <f t="shared" ref="D42:D55" si="1">B42*C42</f>
        <v>0.45404056553190858</v>
      </c>
      <c r="E42" s="535">
        <v>28.6</v>
      </c>
      <c r="F42" s="473">
        <f t="shared" si="0"/>
        <v>0.34320000000000001</v>
      </c>
      <c r="G42" s="461">
        <f t="shared" ref="G42:G55" si="2">D42*F42</f>
        <v>0.15582672209055104</v>
      </c>
      <c r="H42" s="468">
        <f t="shared" ref="H42:H55" si="3">F42*(1-D42)</f>
        <v>0.18737327790944897</v>
      </c>
    </row>
    <row r="43" spans="1:8">
      <c r="A43" s="186" t="s">
        <v>74</v>
      </c>
      <c r="B43" s="881">
        <v>0.23599546857054995</v>
      </c>
      <c r="C43" s="856">
        <v>0.9</v>
      </c>
      <c r="D43" s="72">
        <f t="shared" si="1"/>
        <v>0.21239592171349497</v>
      </c>
      <c r="E43" s="535">
        <v>159000</v>
      </c>
      <c r="F43" s="473">
        <f t="shared" si="0"/>
        <v>1908</v>
      </c>
      <c r="G43" s="461">
        <f t="shared" si="2"/>
        <v>405.25141862934839</v>
      </c>
      <c r="H43" s="468">
        <f t="shared" si="3"/>
        <v>1502.7485813706517</v>
      </c>
    </row>
    <row r="44" spans="1:8">
      <c r="A44" s="186" t="s">
        <v>75</v>
      </c>
      <c r="B44" s="881" t="s">
        <v>89</v>
      </c>
      <c r="C44" s="856">
        <v>0.9</v>
      </c>
      <c r="D44" s="72" t="s">
        <v>89</v>
      </c>
      <c r="E44" s="535">
        <v>3.5</v>
      </c>
      <c r="F44" s="473">
        <f t="shared" si="0"/>
        <v>4.2000000000000003E-2</v>
      </c>
      <c r="G44" s="461" t="s">
        <v>89</v>
      </c>
      <c r="H44" s="468" t="s">
        <v>89</v>
      </c>
    </row>
    <row r="45" spans="1:8">
      <c r="A45" s="186" t="s">
        <v>76</v>
      </c>
      <c r="B45" s="881">
        <v>0.1621584892527064</v>
      </c>
      <c r="C45" s="856">
        <v>0.9</v>
      </c>
      <c r="D45" s="72">
        <f t="shared" si="1"/>
        <v>0.14594264032743576</v>
      </c>
      <c r="E45" s="535">
        <v>136</v>
      </c>
      <c r="F45" s="473">
        <f t="shared" si="0"/>
        <v>1.6319999999999999</v>
      </c>
      <c r="G45" s="461">
        <f t="shared" si="2"/>
        <v>0.23817838901437513</v>
      </c>
      <c r="H45" s="468">
        <f t="shared" si="3"/>
        <v>1.3938216109856247</v>
      </c>
    </row>
    <row r="46" spans="1:8">
      <c r="A46" s="186" t="s">
        <v>77</v>
      </c>
      <c r="B46" s="881">
        <v>0.24756668082287775</v>
      </c>
      <c r="C46" s="856">
        <v>0.9</v>
      </c>
      <c r="D46" s="72">
        <f t="shared" si="1"/>
        <v>0.22281001274058998</v>
      </c>
      <c r="E46" s="535">
        <v>656</v>
      </c>
      <c r="F46" s="473">
        <f t="shared" si="0"/>
        <v>7.8719999999999999</v>
      </c>
      <c r="G46" s="461">
        <f t="shared" si="2"/>
        <v>1.7539604202939243</v>
      </c>
      <c r="H46" s="468">
        <f t="shared" si="3"/>
        <v>6.1180395797060756</v>
      </c>
    </row>
    <row r="47" spans="1:8">
      <c r="A47" s="186" t="s">
        <v>78</v>
      </c>
      <c r="B47" s="881">
        <v>0.20907175359723923</v>
      </c>
      <c r="C47" s="856">
        <v>0.9</v>
      </c>
      <c r="D47" s="72">
        <f t="shared" si="1"/>
        <v>0.18816457823751531</v>
      </c>
      <c r="E47" s="535">
        <v>87577</v>
      </c>
      <c r="F47" s="473">
        <f t="shared" si="0"/>
        <v>1050.924</v>
      </c>
      <c r="G47" s="461">
        <f t="shared" si="2"/>
        <v>197.74667121968253</v>
      </c>
      <c r="H47" s="468">
        <f t="shared" si="3"/>
        <v>853.17732878031745</v>
      </c>
    </row>
    <row r="48" spans="1:8">
      <c r="A48" s="186" t="s">
        <v>79</v>
      </c>
      <c r="B48" s="881">
        <v>0.36314397789298258</v>
      </c>
      <c r="C48" s="856">
        <v>0.9</v>
      </c>
      <c r="D48" s="72">
        <f t="shared" si="1"/>
        <v>0.32682958010368435</v>
      </c>
      <c r="E48" s="535">
        <v>8230</v>
      </c>
      <c r="F48" s="473">
        <f t="shared" si="0"/>
        <v>98.76</v>
      </c>
      <c r="G48" s="461">
        <f t="shared" si="2"/>
        <v>32.277689331039866</v>
      </c>
      <c r="H48" s="468">
        <f t="shared" si="3"/>
        <v>66.482310668960139</v>
      </c>
    </row>
    <row r="49" spans="1:8">
      <c r="A49" s="186" t="s">
        <v>80</v>
      </c>
      <c r="B49" s="881">
        <v>0.43110184372496846</v>
      </c>
      <c r="C49" s="856">
        <v>0.9</v>
      </c>
      <c r="D49" s="72">
        <f t="shared" si="1"/>
        <v>0.3879916593524716</v>
      </c>
      <c r="E49" s="535">
        <v>12900</v>
      </c>
      <c r="F49" s="473">
        <f t="shared" si="0"/>
        <v>154.80000000000001</v>
      </c>
      <c r="G49" s="461">
        <f t="shared" si="2"/>
        <v>60.061108867762606</v>
      </c>
      <c r="H49" s="468">
        <f t="shared" si="3"/>
        <v>94.738891132237399</v>
      </c>
    </row>
    <row r="50" spans="1:8">
      <c r="A50" s="186" t="s">
        <v>81</v>
      </c>
      <c r="B50" s="881">
        <v>0.38317241660064177</v>
      </c>
      <c r="C50" s="856">
        <v>0.9</v>
      </c>
      <c r="D50" s="72">
        <f t="shared" si="1"/>
        <v>0.3448551749405776</v>
      </c>
      <c r="E50" s="535">
        <v>8100</v>
      </c>
      <c r="F50" s="473">
        <f t="shared" si="0"/>
        <v>97.2</v>
      </c>
      <c r="G50" s="461">
        <f t="shared" si="2"/>
        <v>33.519923004224147</v>
      </c>
      <c r="H50" s="468">
        <f t="shared" si="3"/>
        <v>63.680076995775856</v>
      </c>
    </row>
    <row r="51" spans="1:8">
      <c r="A51" s="186" t="s">
        <v>82</v>
      </c>
      <c r="B51" s="881">
        <v>0.30725168652454959</v>
      </c>
      <c r="C51" s="856">
        <v>0.9</v>
      </c>
      <c r="D51" s="72">
        <f t="shared" si="1"/>
        <v>0.27652651787209465</v>
      </c>
      <c r="E51" s="535">
        <v>125</v>
      </c>
      <c r="F51" s="473">
        <f t="shared" si="0"/>
        <v>1.5</v>
      </c>
      <c r="G51" s="461">
        <f t="shared" si="2"/>
        <v>0.414789776808142</v>
      </c>
      <c r="H51" s="468">
        <f t="shared" si="3"/>
        <v>1.0852102231918581</v>
      </c>
    </row>
    <row r="52" spans="1:8">
      <c r="A52" s="186" t="s">
        <v>83</v>
      </c>
      <c r="B52" s="881" t="s">
        <v>89</v>
      </c>
      <c r="C52" s="856">
        <v>0.9</v>
      </c>
      <c r="D52" s="72" t="s">
        <v>89</v>
      </c>
      <c r="E52" s="535">
        <v>81618</v>
      </c>
      <c r="F52" s="473">
        <f t="shared" si="0"/>
        <v>979.41600000000005</v>
      </c>
      <c r="G52" s="461" t="s">
        <v>89</v>
      </c>
      <c r="H52" s="468" t="s">
        <v>89</v>
      </c>
    </row>
    <row r="53" spans="1:8">
      <c r="A53" s="186" t="s">
        <v>84</v>
      </c>
      <c r="B53" s="881">
        <v>6.169422691786923E-2</v>
      </c>
      <c r="C53" s="856">
        <v>0.9</v>
      </c>
      <c r="D53" s="72">
        <f t="shared" si="1"/>
        <v>5.552480422608231E-2</v>
      </c>
      <c r="E53" s="535">
        <v>124</v>
      </c>
      <c r="F53" s="473">
        <f t="shared" si="0"/>
        <v>1.488</v>
      </c>
      <c r="G53" s="461">
        <f t="shared" si="2"/>
        <v>8.2620908688410474E-2</v>
      </c>
      <c r="H53" s="468">
        <f t="shared" si="3"/>
        <v>1.4053790913115896</v>
      </c>
    </row>
    <row r="54" spans="1:8">
      <c r="A54" s="186" t="s">
        <v>85</v>
      </c>
      <c r="B54" s="881" t="s">
        <v>89</v>
      </c>
      <c r="C54" s="856">
        <v>0.9</v>
      </c>
      <c r="D54" s="72" t="s">
        <v>89</v>
      </c>
      <c r="E54" s="535">
        <v>18900</v>
      </c>
      <c r="F54" s="473">
        <f t="shared" si="0"/>
        <v>226.8</v>
      </c>
      <c r="G54" s="461" t="s">
        <v>89</v>
      </c>
      <c r="H54" s="578" t="s">
        <v>89</v>
      </c>
    </row>
    <row r="55" spans="1:8" ht="14.65" thickBot="1">
      <c r="A55" s="187" t="s">
        <v>86</v>
      </c>
      <c r="B55" s="883">
        <v>0.25701474780786782</v>
      </c>
      <c r="C55" s="857">
        <v>0.9</v>
      </c>
      <c r="D55" s="76">
        <f t="shared" si="1"/>
        <v>0.23131327302708105</v>
      </c>
      <c r="E55" s="536">
        <v>2353</v>
      </c>
      <c r="F55" s="474">
        <f t="shared" si="0"/>
        <v>28.236000000000001</v>
      </c>
      <c r="G55" s="463">
        <f t="shared" si="2"/>
        <v>6.5313615771926603</v>
      </c>
      <c r="H55" s="469">
        <f t="shared" si="3"/>
        <v>21.704638422807339</v>
      </c>
    </row>
    <row r="57" spans="1:8" ht="14.65" thickBot="1">
      <c r="A57" s="79" t="s">
        <v>368</v>
      </c>
    </row>
    <row r="58" spans="1:8" ht="14.65" thickBot="1">
      <c r="A58" s="103" t="s">
        <v>90</v>
      </c>
      <c r="B58" s="102" t="s">
        <v>18</v>
      </c>
      <c r="C58" s="17" t="s">
        <v>91</v>
      </c>
    </row>
    <row r="59" spans="1:8">
      <c r="A59" s="272" t="s">
        <v>623</v>
      </c>
      <c r="B59" s="298" t="s">
        <v>35</v>
      </c>
      <c r="C59" s="294">
        <f>C23</f>
        <v>12000</v>
      </c>
    </row>
    <row r="60" spans="1:8">
      <c r="A60" s="815" t="s">
        <v>366</v>
      </c>
      <c r="B60" s="278" t="s">
        <v>35</v>
      </c>
      <c r="C60" s="297">
        <f>C25</f>
        <v>34008</v>
      </c>
    </row>
    <row r="61" spans="1:8">
      <c r="A61" s="257" t="s">
        <v>329</v>
      </c>
      <c r="B61" s="278" t="s">
        <v>35</v>
      </c>
      <c r="C61" s="289">
        <f>C26</f>
        <v>1727.9999999999998</v>
      </c>
    </row>
    <row r="62" spans="1:8">
      <c r="A62" s="257" t="s">
        <v>428</v>
      </c>
      <c r="B62" s="278" t="s">
        <v>35</v>
      </c>
      <c r="C62" s="289">
        <f>C32</f>
        <v>9024</v>
      </c>
    </row>
    <row r="63" spans="1:8" ht="14.65" thickBot="1">
      <c r="A63" s="255" t="s">
        <v>4</v>
      </c>
      <c r="B63" s="271" t="s">
        <v>35</v>
      </c>
      <c r="C63" s="256">
        <f>C59+C60+C61+C62</f>
        <v>56760</v>
      </c>
    </row>
    <row r="65" spans="1:12" ht="14.65" thickBot="1">
      <c r="A65" s="79" t="s">
        <v>278</v>
      </c>
      <c r="B65" s="79"/>
      <c r="C65" s="79"/>
    </row>
    <row r="66" spans="1:12" ht="14.65" thickBot="1">
      <c r="A66" s="103" t="s">
        <v>90</v>
      </c>
      <c r="B66" s="102" t="s">
        <v>18</v>
      </c>
      <c r="C66" s="17" t="s">
        <v>91</v>
      </c>
    </row>
    <row r="67" spans="1:12">
      <c r="A67" s="272" t="s">
        <v>623</v>
      </c>
      <c r="B67" s="298" t="s">
        <v>35</v>
      </c>
      <c r="C67" s="294">
        <f>$C$23</f>
        <v>12000</v>
      </c>
    </row>
    <row r="68" spans="1:12">
      <c r="A68" s="257" t="s">
        <v>329</v>
      </c>
      <c r="B68" s="278" t="s">
        <v>35</v>
      </c>
      <c r="C68" s="295">
        <f>C26</f>
        <v>1727.9999999999998</v>
      </c>
    </row>
    <row r="69" spans="1:12">
      <c r="A69" s="257" t="s">
        <v>428</v>
      </c>
      <c r="B69" s="278" t="s">
        <v>35</v>
      </c>
      <c r="C69" s="295">
        <f>C32</f>
        <v>9024</v>
      </c>
    </row>
    <row r="70" spans="1:12">
      <c r="A70" s="257" t="s">
        <v>336</v>
      </c>
      <c r="B70" s="278" t="s">
        <v>35</v>
      </c>
      <c r="C70" s="279">
        <f>C67+C68+C69</f>
        <v>22752</v>
      </c>
    </row>
    <row r="71" spans="1:12">
      <c r="A71" s="257" t="s">
        <v>4</v>
      </c>
      <c r="B71" s="278" t="s">
        <v>35</v>
      </c>
      <c r="C71" s="279">
        <f>C63</f>
        <v>56760</v>
      </c>
    </row>
    <row r="72" spans="1:12">
      <c r="A72" s="299" t="s">
        <v>64</v>
      </c>
      <c r="B72" s="260" t="s">
        <v>24</v>
      </c>
      <c r="C72" s="300">
        <f>C70/C71</f>
        <v>0.40084566596194504</v>
      </c>
    </row>
    <row r="73" spans="1:12">
      <c r="A73" s="257" t="s">
        <v>366</v>
      </c>
      <c r="B73" s="278" t="s">
        <v>35</v>
      </c>
      <c r="C73" s="279">
        <f>C25</f>
        <v>34008</v>
      </c>
    </row>
    <row r="74" spans="1:12">
      <c r="A74" s="257" t="s">
        <v>333</v>
      </c>
      <c r="B74" s="278" t="s">
        <v>35</v>
      </c>
      <c r="C74" s="279">
        <f>C73</f>
        <v>34008</v>
      </c>
    </row>
    <row r="75" spans="1:12">
      <c r="A75" s="257" t="s">
        <v>4</v>
      </c>
      <c r="B75" s="278" t="s">
        <v>35</v>
      </c>
      <c r="C75" s="279">
        <f>$C$63</f>
        <v>56760</v>
      </c>
    </row>
    <row r="76" spans="1:12" ht="14.65" thickBot="1">
      <c r="A76" s="301" t="s">
        <v>66</v>
      </c>
      <c r="B76" s="277" t="s">
        <v>24</v>
      </c>
      <c r="C76" s="303">
        <f>C74/C75</f>
        <v>0.59915433403805496</v>
      </c>
    </row>
    <row r="77" spans="1:12">
      <c r="A77" s="83"/>
      <c r="B77" s="77"/>
      <c r="C77" s="96"/>
    </row>
    <row r="78" spans="1:12" ht="14.65" thickBot="1">
      <c r="A78" s="79" t="s">
        <v>92</v>
      </c>
    </row>
    <row r="79" spans="1:12" ht="14.65" thickBot="1">
      <c r="A79" s="419"/>
      <c r="B79" s="1062" t="s">
        <v>262</v>
      </c>
      <c r="C79" s="1063"/>
      <c r="D79" s="1063"/>
      <c r="E79" s="1063"/>
      <c r="F79" s="1064"/>
      <c r="G79" s="1062" t="s">
        <v>263</v>
      </c>
      <c r="H79" s="1063"/>
      <c r="I79" s="1063"/>
      <c r="J79" s="1063"/>
      <c r="K79" s="1063"/>
      <c r="L79" s="1066"/>
    </row>
    <row r="80" spans="1:12">
      <c r="A80" s="452"/>
      <c r="B80" s="1024" t="s">
        <v>270</v>
      </c>
      <c r="C80" s="1041" t="s">
        <v>243</v>
      </c>
      <c r="D80" s="1041" t="s">
        <v>256</v>
      </c>
      <c r="E80" s="1041" t="s">
        <v>336</v>
      </c>
      <c r="F80" s="1083" t="s">
        <v>266</v>
      </c>
      <c r="G80" s="1022" t="s">
        <v>269</v>
      </c>
      <c r="H80" s="1023"/>
      <c r="I80" s="1085" t="s">
        <v>267</v>
      </c>
      <c r="J80" s="1032"/>
      <c r="K80" s="1032"/>
      <c r="L80" s="1023"/>
    </row>
    <row r="81" spans="1:12">
      <c r="A81" s="219" t="s">
        <v>93</v>
      </c>
      <c r="B81" s="1067"/>
      <c r="C81" s="1042"/>
      <c r="D81" s="1042"/>
      <c r="E81" s="1042"/>
      <c r="F81" s="1084"/>
      <c r="G81" s="1033"/>
      <c r="H81" s="1035"/>
      <c r="I81" s="1086" t="s">
        <v>243</v>
      </c>
      <c r="J81" s="1034"/>
      <c r="K81" s="1034" t="s">
        <v>256</v>
      </c>
      <c r="L81" s="1035"/>
    </row>
    <row r="82" spans="1:12" ht="14.65" thickBot="1">
      <c r="A82" s="220" t="s">
        <v>18</v>
      </c>
      <c r="B82" s="403" t="s">
        <v>35</v>
      </c>
      <c r="C82" s="154" t="s">
        <v>35</v>
      </c>
      <c r="D82" s="154" t="s">
        <v>35</v>
      </c>
      <c r="E82" s="154" t="s">
        <v>35</v>
      </c>
      <c r="F82" s="423" t="s">
        <v>35</v>
      </c>
      <c r="G82" s="403" t="s">
        <v>257</v>
      </c>
      <c r="H82" s="155" t="s">
        <v>237</v>
      </c>
      <c r="I82" s="153" t="s">
        <v>70</v>
      </c>
      <c r="J82" s="154" t="s">
        <v>237</v>
      </c>
      <c r="K82" s="154" t="s">
        <v>70</v>
      </c>
      <c r="L82" s="155" t="s">
        <v>237</v>
      </c>
    </row>
    <row r="83" spans="1:12">
      <c r="A83" s="148" t="s">
        <v>72</v>
      </c>
      <c r="B83" s="540">
        <f>F41</f>
        <v>468.024</v>
      </c>
      <c r="C83" s="428">
        <f>G41</f>
        <v>149.39078789658694</v>
      </c>
      <c r="D83" s="428">
        <f>H41</f>
        <v>318.63321210341309</v>
      </c>
      <c r="E83" s="428">
        <f>$C$70</f>
        <v>22752</v>
      </c>
      <c r="F83" s="545">
        <f>$C$63</f>
        <v>56760</v>
      </c>
      <c r="G83" s="548">
        <f t="shared" ref="G83:G103" si="4">B83/E83*1000000</f>
        <v>20570.675105485232</v>
      </c>
      <c r="H83" s="433">
        <f>G83/1000000</f>
        <v>2.0570675105485232E-2</v>
      </c>
      <c r="I83" s="551">
        <f t="shared" ref="I83:I103" si="5">C83/F83*1000000</f>
        <v>2631.9730073394458</v>
      </c>
      <c r="J83" s="432">
        <f>I83/1000000</f>
        <v>2.6319730073394456E-3</v>
      </c>
      <c r="K83" s="431">
        <f t="shared" ref="K83:K103" si="6">D83/F83*1000000</f>
        <v>5613.6929546055862</v>
      </c>
      <c r="L83" s="433">
        <f>K83/1000000</f>
        <v>5.6136929546055864E-3</v>
      </c>
    </row>
    <row r="84" spans="1:12">
      <c r="A84" s="149" t="s">
        <v>73</v>
      </c>
      <c r="B84" s="541">
        <f>F42</f>
        <v>0.34320000000000001</v>
      </c>
      <c r="C84" s="235">
        <f>G42</f>
        <v>0.15582672209055104</v>
      </c>
      <c r="D84" s="235">
        <f>H42</f>
        <v>0.18737327790944897</v>
      </c>
      <c r="E84" s="235">
        <f t="shared" ref="E84:E103" si="7">$C$70</f>
        <v>22752</v>
      </c>
      <c r="F84" s="546">
        <f t="shared" ref="F84:F103" si="8">$C$63</f>
        <v>56760</v>
      </c>
      <c r="G84" s="549">
        <f t="shared" si="4"/>
        <v>15.084388185654008</v>
      </c>
      <c r="H84" s="434">
        <f t="shared" ref="H84:H103" si="9">G84/1000000</f>
        <v>1.5084388185654009E-5</v>
      </c>
      <c r="I84" s="552">
        <f t="shared" si="5"/>
        <v>2.7453615590301452</v>
      </c>
      <c r="J84" s="427">
        <f t="shared" ref="J84:J103" si="10">I84/1000000</f>
        <v>2.7453615590301451E-6</v>
      </c>
      <c r="K84" s="426">
        <f t="shared" si="6"/>
        <v>3.3011500688768316</v>
      </c>
      <c r="L84" s="434">
        <f t="shared" ref="L84:L103" si="11">K84/1000000</f>
        <v>3.3011500688768315E-6</v>
      </c>
    </row>
    <row r="85" spans="1:12">
      <c r="A85" s="149" t="s">
        <v>74</v>
      </c>
      <c r="B85" s="541">
        <f>F43</f>
        <v>1908</v>
      </c>
      <c r="C85" s="235">
        <f>G43</f>
        <v>405.25141862934839</v>
      </c>
      <c r="D85" s="235">
        <f>H43</f>
        <v>1502.7485813706517</v>
      </c>
      <c r="E85" s="235">
        <f t="shared" si="7"/>
        <v>22752</v>
      </c>
      <c r="F85" s="546">
        <f t="shared" si="8"/>
        <v>56760</v>
      </c>
      <c r="G85" s="549">
        <f t="shared" si="4"/>
        <v>83860.759493670892</v>
      </c>
      <c r="H85" s="434">
        <f t="shared" si="9"/>
        <v>8.3860759493670889E-2</v>
      </c>
      <c r="I85" s="552">
        <f t="shared" si="5"/>
        <v>7139.7360575995135</v>
      </c>
      <c r="J85" s="427">
        <f t="shared" si="10"/>
        <v>7.1397360575995135E-3</v>
      </c>
      <c r="K85" s="426">
        <f t="shared" si="6"/>
        <v>26475.485929715498</v>
      </c>
      <c r="L85" s="434">
        <f t="shared" si="11"/>
        <v>2.6475485929715499E-2</v>
      </c>
    </row>
    <row r="86" spans="1:12">
      <c r="A86" s="149" t="s">
        <v>354</v>
      </c>
      <c r="B86" s="541">
        <f>F44</f>
        <v>4.2000000000000003E-2</v>
      </c>
      <c r="C86" s="235" t="s">
        <v>89</v>
      </c>
      <c r="D86" s="235" t="s">
        <v>89</v>
      </c>
      <c r="E86" s="235">
        <f t="shared" si="7"/>
        <v>22752</v>
      </c>
      <c r="F86" s="546">
        <f t="shared" si="8"/>
        <v>56760</v>
      </c>
      <c r="G86" s="549">
        <f t="shared" si="4"/>
        <v>1.8459915611814346</v>
      </c>
      <c r="H86" s="434">
        <f t="shared" si="9"/>
        <v>1.8459915611814346E-6</v>
      </c>
      <c r="I86" s="552" t="s">
        <v>89</v>
      </c>
      <c r="J86" s="427" t="s">
        <v>89</v>
      </c>
      <c r="K86" s="426" t="s">
        <v>89</v>
      </c>
      <c r="L86" s="434" t="s">
        <v>89</v>
      </c>
    </row>
    <row r="87" spans="1:12">
      <c r="A87" s="149" t="s">
        <v>76</v>
      </c>
      <c r="B87" s="541">
        <f>F45</f>
        <v>1.6319999999999999</v>
      </c>
      <c r="C87" s="235">
        <f>G45</f>
        <v>0.23817838901437513</v>
      </c>
      <c r="D87" s="235">
        <f>H45</f>
        <v>1.3938216109856247</v>
      </c>
      <c r="E87" s="235">
        <f t="shared" si="7"/>
        <v>22752</v>
      </c>
      <c r="F87" s="546">
        <f t="shared" si="8"/>
        <v>56760</v>
      </c>
      <c r="G87" s="549">
        <f t="shared" si="4"/>
        <v>71.729957805907162</v>
      </c>
      <c r="H87" s="434">
        <f t="shared" si="9"/>
        <v>7.1729957805907168E-5</v>
      </c>
      <c r="I87" s="552">
        <f t="shared" si="5"/>
        <v>4.1962365929241567</v>
      </c>
      <c r="J87" s="427">
        <f t="shared" si="10"/>
        <v>4.1962365929241565E-6</v>
      </c>
      <c r="K87" s="426">
        <f t="shared" si="6"/>
        <v>24.556406113206918</v>
      </c>
      <c r="L87" s="434">
        <f t="shared" si="11"/>
        <v>2.455640611320692E-5</v>
      </c>
    </row>
    <row r="88" spans="1:12">
      <c r="A88" s="150" t="s">
        <v>77</v>
      </c>
      <c r="B88" s="541">
        <f>F46</f>
        <v>7.8719999999999999</v>
      </c>
      <c r="C88" s="235">
        <f>G46</f>
        <v>1.7539604202939243</v>
      </c>
      <c r="D88" s="235">
        <f>H46</f>
        <v>6.1180395797060756</v>
      </c>
      <c r="E88" s="235">
        <f t="shared" si="7"/>
        <v>22752</v>
      </c>
      <c r="F88" s="546">
        <f t="shared" si="8"/>
        <v>56760</v>
      </c>
      <c r="G88" s="549">
        <f t="shared" si="4"/>
        <v>345.99156118143458</v>
      </c>
      <c r="H88" s="434">
        <f t="shared" si="9"/>
        <v>3.4599156118143458E-4</v>
      </c>
      <c r="I88" s="552">
        <f t="shared" si="5"/>
        <v>30.901346375861948</v>
      </c>
      <c r="J88" s="427">
        <f t="shared" si="10"/>
        <v>3.0901346375861947E-5</v>
      </c>
      <c r="K88" s="426">
        <f t="shared" si="6"/>
        <v>107.78787138312326</v>
      </c>
      <c r="L88" s="434">
        <f t="shared" si="11"/>
        <v>1.0778787138312325E-4</v>
      </c>
    </row>
    <row r="89" spans="1:12">
      <c r="A89" s="150" t="s">
        <v>78</v>
      </c>
      <c r="B89" s="541">
        <f>F47</f>
        <v>1050.924</v>
      </c>
      <c r="C89" s="235">
        <f>G47</f>
        <v>197.74667121968253</v>
      </c>
      <c r="D89" s="235">
        <f>H47</f>
        <v>853.17732878031745</v>
      </c>
      <c r="E89" s="235">
        <f t="shared" si="7"/>
        <v>22752</v>
      </c>
      <c r="F89" s="546">
        <f t="shared" si="8"/>
        <v>56760</v>
      </c>
      <c r="G89" s="549">
        <f t="shared" si="4"/>
        <v>46190.400843881856</v>
      </c>
      <c r="H89" s="434">
        <f t="shared" si="9"/>
        <v>4.619040084388186E-2</v>
      </c>
      <c r="I89" s="552">
        <f t="shared" si="5"/>
        <v>3483.9089362170985</v>
      </c>
      <c r="J89" s="427">
        <f t="shared" si="10"/>
        <v>3.4839089362170986E-3</v>
      </c>
      <c r="K89" s="426">
        <f t="shared" si="6"/>
        <v>15031.313051097912</v>
      </c>
      <c r="L89" s="434">
        <f t="shared" si="11"/>
        <v>1.5031313051097912E-2</v>
      </c>
    </row>
    <row r="90" spans="1:12">
      <c r="A90" s="150" t="s">
        <v>79</v>
      </c>
      <c r="B90" s="541">
        <f>F48</f>
        <v>98.76</v>
      </c>
      <c r="C90" s="235">
        <f>G48</f>
        <v>32.277689331039866</v>
      </c>
      <c r="D90" s="235">
        <f>H48</f>
        <v>66.482310668960139</v>
      </c>
      <c r="E90" s="235">
        <f t="shared" si="7"/>
        <v>22752</v>
      </c>
      <c r="F90" s="546">
        <f t="shared" si="8"/>
        <v>56760</v>
      </c>
      <c r="G90" s="549">
        <f t="shared" si="4"/>
        <v>4340.7172995780593</v>
      </c>
      <c r="H90" s="434">
        <f t="shared" si="9"/>
        <v>4.3407172995780594E-3</v>
      </c>
      <c r="I90" s="552">
        <f t="shared" si="5"/>
        <v>568.66964994784814</v>
      </c>
      <c r="J90" s="427">
        <f t="shared" si="10"/>
        <v>5.6866964994784809E-4</v>
      </c>
      <c r="K90" s="426">
        <f t="shared" si="6"/>
        <v>1171.2880667540546</v>
      </c>
      <c r="L90" s="434">
        <f t="shared" si="11"/>
        <v>1.1712880667540547E-3</v>
      </c>
    </row>
    <row r="91" spans="1:12">
      <c r="A91" s="150" t="s">
        <v>80</v>
      </c>
      <c r="B91" s="541">
        <f>F49</f>
        <v>154.80000000000001</v>
      </c>
      <c r="C91" s="235">
        <f>G49</f>
        <v>60.061108867762606</v>
      </c>
      <c r="D91" s="235">
        <f>H49</f>
        <v>94.738891132237399</v>
      </c>
      <c r="E91" s="235">
        <f t="shared" si="7"/>
        <v>22752</v>
      </c>
      <c r="F91" s="546">
        <f t="shared" si="8"/>
        <v>56760</v>
      </c>
      <c r="G91" s="549">
        <f t="shared" si="4"/>
        <v>6803.7974683544307</v>
      </c>
      <c r="H91" s="434">
        <f t="shared" si="9"/>
        <v>6.8037974683544311E-3</v>
      </c>
      <c r="I91" s="552">
        <f t="shared" si="5"/>
        <v>1058.1590709612863</v>
      </c>
      <c r="J91" s="427">
        <f t="shared" si="10"/>
        <v>1.0581590709612862E-3</v>
      </c>
      <c r="K91" s="426">
        <f t="shared" si="6"/>
        <v>1669.1136563114412</v>
      </c>
      <c r="L91" s="434">
        <f t="shared" si="11"/>
        <v>1.6691136563114412E-3</v>
      </c>
    </row>
    <row r="92" spans="1:12">
      <c r="A92" s="150" t="s">
        <v>81</v>
      </c>
      <c r="B92" s="541">
        <f>F50</f>
        <v>97.2</v>
      </c>
      <c r="C92" s="235">
        <f>G50</f>
        <v>33.519923004224147</v>
      </c>
      <c r="D92" s="235">
        <f>H50</f>
        <v>63.680076995775856</v>
      </c>
      <c r="E92" s="235">
        <f t="shared" si="7"/>
        <v>22752</v>
      </c>
      <c r="F92" s="546">
        <f t="shared" si="8"/>
        <v>56760</v>
      </c>
      <c r="G92" s="549">
        <f t="shared" si="4"/>
        <v>4272.1518987341778</v>
      </c>
      <c r="H92" s="434">
        <f t="shared" si="9"/>
        <v>4.2721518987341774E-3</v>
      </c>
      <c r="I92" s="552">
        <f t="shared" si="5"/>
        <v>590.55537357688775</v>
      </c>
      <c r="J92" s="427">
        <f t="shared" si="10"/>
        <v>5.9055537357688773E-4</v>
      </c>
      <c r="K92" s="426">
        <f t="shared" si="6"/>
        <v>1121.9181993618015</v>
      </c>
      <c r="L92" s="434">
        <f t="shared" si="11"/>
        <v>1.1219181993618016E-3</v>
      </c>
    </row>
    <row r="93" spans="1:12">
      <c r="A93" s="150" t="s">
        <v>82</v>
      </c>
      <c r="B93" s="541">
        <f>F51</f>
        <v>1.5</v>
      </c>
      <c r="C93" s="235">
        <f>G51</f>
        <v>0.414789776808142</v>
      </c>
      <c r="D93" s="235">
        <f>H51</f>
        <v>1.0852102231918581</v>
      </c>
      <c r="E93" s="235">
        <f t="shared" si="7"/>
        <v>22752</v>
      </c>
      <c r="F93" s="546">
        <f t="shared" si="8"/>
        <v>56760</v>
      </c>
      <c r="G93" s="549">
        <f t="shared" si="4"/>
        <v>65.928270042194086</v>
      </c>
      <c r="H93" s="434">
        <f t="shared" si="9"/>
        <v>6.5928270042194087E-5</v>
      </c>
      <c r="I93" s="552">
        <f t="shared" si="5"/>
        <v>7.3077832418629667</v>
      </c>
      <c r="J93" s="427">
        <f t="shared" si="10"/>
        <v>7.3077832418629667E-6</v>
      </c>
      <c r="K93" s="426">
        <f t="shared" si="6"/>
        <v>19.119278068919279</v>
      </c>
      <c r="L93" s="434">
        <f t="shared" si="11"/>
        <v>1.9119278068919278E-5</v>
      </c>
    </row>
    <row r="94" spans="1:12">
      <c r="A94" s="150" t="s">
        <v>630</v>
      </c>
      <c r="B94" s="541">
        <f>F52</f>
        <v>979.41600000000005</v>
      </c>
      <c r="C94" s="235" t="s">
        <v>89</v>
      </c>
      <c r="D94" s="235" t="s">
        <v>89</v>
      </c>
      <c r="E94" s="235">
        <f t="shared" si="7"/>
        <v>22752</v>
      </c>
      <c r="F94" s="546">
        <f t="shared" si="8"/>
        <v>56760</v>
      </c>
      <c r="G94" s="549">
        <f t="shared" si="4"/>
        <v>43047.468354430377</v>
      </c>
      <c r="H94" s="434">
        <f t="shared" si="9"/>
        <v>4.3047468354430379E-2</v>
      </c>
      <c r="I94" s="552" t="s">
        <v>89</v>
      </c>
      <c r="J94" s="426" t="s">
        <v>89</v>
      </c>
      <c r="K94" s="426" t="s">
        <v>89</v>
      </c>
      <c r="L94" s="544" t="s">
        <v>89</v>
      </c>
    </row>
    <row r="95" spans="1:12">
      <c r="A95" s="150" t="s">
        <v>96</v>
      </c>
      <c r="B95" s="541">
        <f>$C$32*31/98</f>
        <v>2854.5306122448978</v>
      </c>
      <c r="C95" s="235">
        <f>B95</f>
        <v>2854.5306122448978</v>
      </c>
      <c r="D95" s="235">
        <v>0</v>
      </c>
      <c r="E95" s="235">
        <f t="shared" si="7"/>
        <v>22752</v>
      </c>
      <c r="F95" s="546">
        <f t="shared" si="8"/>
        <v>56760</v>
      </c>
      <c r="G95" s="549">
        <f t="shared" si="4"/>
        <v>125462.84336519417</v>
      </c>
      <c r="H95" s="434">
        <f t="shared" si="9"/>
        <v>0.12546284336519417</v>
      </c>
      <c r="I95" s="552">
        <f t="shared" si="5"/>
        <v>50291.237002200454</v>
      </c>
      <c r="J95" s="427">
        <f t="shared" si="10"/>
        <v>5.0291237002200458E-2</v>
      </c>
      <c r="K95" s="426">
        <f t="shared" si="6"/>
        <v>0</v>
      </c>
      <c r="L95" s="434">
        <f t="shared" si="11"/>
        <v>0</v>
      </c>
    </row>
    <row r="96" spans="1:12">
      <c r="A96" s="150" t="s">
        <v>97</v>
      </c>
      <c r="B96" s="541">
        <f>B94+B95</f>
        <v>3833.946612244898</v>
      </c>
      <c r="C96" s="235" t="s">
        <v>89</v>
      </c>
      <c r="D96" s="235" t="s">
        <v>89</v>
      </c>
      <c r="E96" s="235">
        <f t="shared" si="7"/>
        <v>22752</v>
      </c>
      <c r="F96" s="546">
        <f t="shared" si="8"/>
        <v>56760</v>
      </c>
      <c r="G96" s="549">
        <f t="shared" si="4"/>
        <v>168510.31171962456</v>
      </c>
      <c r="H96" s="434">
        <f t="shared" si="9"/>
        <v>0.16851031171962455</v>
      </c>
      <c r="I96" s="552" t="s">
        <v>89</v>
      </c>
      <c r="J96" s="426" t="s">
        <v>89</v>
      </c>
      <c r="K96" s="426" t="s">
        <v>89</v>
      </c>
      <c r="L96" s="544" t="s">
        <v>89</v>
      </c>
    </row>
    <row r="97" spans="1:12">
      <c r="A97" s="151" t="s">
        <v>84</v>
      </c>
      <c r="B97" s="541">
        <f>F53</f>
        <v>1.488</v>
      </c>
      <c r="C97" s="235">
        <f>G53</f>
        <v>8.2620908688410474E-2</v>
      </c>
      <c r="D97" s="235">
        <f>H53</f>
        <v>1.4053790913115896</v>
      </c>
      <c r="E97" s="235">
        <f t="shared" si="7"/>
        <v>22752</v>
      </c>
      <c r="F97" s="546">
        <f t="shared" si="8"/>
        <v>56760</v>
      </c>
      <c r="G97" s="549">
        <f t="shared" si="4"/>
        <v>65.400843881856545</v>
      </c>
      <c r="H97" s="434">
        <f t="shared" si="9"/>
        <v>6.5400843881856542E-5</v>
      </c>
      <c r="I97" s="552">
        <f>C97/F97*1000000</f>
        <v>1.4556185463074431</v>
      </c>
      <c r="J97" s="427">
        <f>I97/1000000</f>
        <v>1.4556185463074431E-6</v>
      </c>
      <c r="K97" s="426">
        <f t="shared" si="6"/>
        <v>24.76002627398854</v>
      </c>
      <c r="L97" s="434">
        <f t="shared" si="11"/>
        <v>2.4760026273988539E-5</v>
      </c>
    </row>
    <row r="98" spans="1:12">
      <c r="A98" s="151" t="s">
        <v>631</v>
      </c>
      <c r="B98" s="541">
        <f>F54</f>
        <v>226.8</v>
      </c>
      <c r="C98" s="235">
        <v>0</v>
      </c>
      <c r="D98" s="235">
        <f>F54</f>
        <v>226.8</v>
      </c>
      <c r="E98" s="235">
        <f t="shared" si="7"/>
        <v>22752</v>
      </c>
      <c r="F98" s="546">
        <f t="shared" si="8"/>
        <v>56760</v>
      </c>
      <c r="G98" s="549">
        <f t="shared" si="4"/>
        <v>9968.354430379748</v>
      </c>
      <c r="H98" s="434">
        <f t="shared" si="9"/>
        <v>9.9683544303797479E-3</v>
      </c>
      <c r="I98" s="552">
        <f>C98/F98*1000000</f>
        <v>0</v>
      </c>
      <c r="J98" s="427">
        <f>I98/1000000</f>
        <v>0</v>
      </c>
      <c r="K98" s="426">
        <f t="shared" si="6"/>
        <v>3995.771670190275</v>
      </c>
      <c r="L98" s="434">
        <f t="shared" si="11"/>
        <v>3.9957716701902752E-3</v>
      </c>
    </row>
    <row r="99" spans="1:12">
      <c r="A99" s="151" t="s">
        <v>250</v>
      </c>
      <c r="B99" s="541">
        <f>C26*32/98</f>
        <v>564.24489795918362</v>
      </c>
      <c r="C99" s="235">
        <v>0</v>
      </c>
      <c r="D99" s="235">
        <f>B99</f>
        <v>564.24489795918362</v>
      </c>
      <c r="E99" s="235">
        <f t="shared" si="7"/>
        <v>22752</v>
      </c>
      <c r="F99" s="546">
        <f t="shared" si="8"/>
        <v>56760</v>
      </c>
      <c r="G99" s="549">
        <f t="shared" si="4"/>
        <v>24799.79333505554</v>
      </c>
      <c r="H99" s="434">
        <f t="shared" si="9"/>
        <v>2.4799793335055539E-2</v>
      </c>
      <c r="I99" s="552">
        <f t="shared" si="5"/>
        <v>0</v>
      </c>
      <c r="J99" s="427">
        <f t="shared" si="10"/>
        <v>0</v>
      </c>
      <c r="K99" s="426">
        <f t="shared" si="6"/>
        <v>9940.8896751089433</v>
      </c>
      <c r="L99" s="434">
        <f t="shared" si="11"/>
        <v>9.9408896751089441E-3</v>
      </c>
    </row>
    <row r="100" spans="1:12">
      <c r="A100" s="151" t="s">
        <v>251</v>
      </c>
      <c r="B100" s="541">
        <f>B98+B99</f>
        <v>791.04489795918357</v>
      </c>
      <c r="C100" s="235">
        <v>0</v>
      </c>
      <c r="D100" s="235">
        <f>D98+D99</f>
        <v>791.04489795918357</v>
      </c>
      <c r="E100" s="235">
        <f t="shared" si="7"/>
        <v>22752</v>
      </c>
      <c r="F100" s="546">
        <f t="shared" si="8"/>
        <v>56760</v>
      </c>
      <c r="G100" s="549">
        <f t="shared" si="4"/>
        <v>34768.147765435286</v>
      </c>
      <c r="H100" s="434">
        <f t="shared" si="9"/>
        <v>3.4768147765435284E-2</v>
      </c>
      <c r="I100" s="552">
        <f t="shared" si="5"/>
        <v>0</v>
      </c>
      <c r="J100" s="427">
        <f t="shared" si="10"/>
        <v>0</v>
      </c>
      <c r="K100" s="426">
        <f t="shared" si="6"/>
        <v>13936.661345299217</v>
      </c>
      <c r="L100" s="434">
        <f t="shared" si="11"/>
        <v>1.3936661345299218E-2</v>
      </c>
    </row>
    <row r="101" spans="1:12">
      <c r="A101" s="151" t="s">
        <v>238</v>
      </c>
      <c r="B101" s="541">
        <f>B100/32*96</f>
        <v>2373.1346938775505</v>
      </c>
      <c r="C101" s="235">
        <v>0</v>
      </c>
      <c r="D101" s="235">
        <f>D100/32*96</f>
        <v>2373.1346938775505</v>
      </c>
      <c r="E101" s="235">
        <f t="shared" si="7"/>
        <v>22752</v>
      </c>
      <c r="F101" s="546">
        <f t="shared" si="8"/>
        <v>56760</v>
      </c>
      <c r="G101" s="549">
        <f t="shared" si="4"/>
        <v>104304.44329630584</v>
      </c>
      <c r="H101" s="434">
        <f t="shared" si="9"/>
        <v>0.10430444329630584</v>
      </c>
      <c r="I101" s="552">
        <f t="shared" si="5"/>
        <v>0</v>
      </c>
      <c r="J101" s="427">
        <f t="shared" si="10"/>
        <v>0</v>
      </c>
      <c r="K101" s="426">
        <f t="shared" si="6"/>
        <v>41809.984035897651</v>
      </c>
      <c r="L101" s="434">
        <f t="shared" si="11"/>
        <v>4.1809984035897647E-2</v>
      </c>
    </row>
    <row r="102" spans="1:12">
      <c r="A102" s="151" t="s">
        <v>239</v>
      </c>
      <c r="B102" s="541">
        <f>B100/32*136</f>
        <v>3361.9408163265302</v>
      </c>
      <c r="C102" s="235">
        <v>0</v>
      </c>
      <c r="D102" s="235">
        <f>D100/32*136</f>
        <v>3361.9408163265302</v>
      </c>
      <c r="E102" s="235">
        <f t="shared" si="7"/>
        <v>22752</v>
      </c>
      <c r="F102" s="546">
        <f t="shared" si="8"/>
        <v>56760</v>
      </c>
      <c r="G102" s="549">
        <f t="shared" si="4"/>
        <v>147764.62800309993</v>
      </c>
      <c r="H102" s="434">
        <f t="shared" si="9"/>
        <v>0.14776462800309995</v>
      </c>
      <c r="I102" s="552">
        <f t="shared" si="5"/>
        <v>0</v>
      </c>
      <c r="J102" s="427">
        <f t="shared" si="10"/>
        <v>0</v>
      </c>
      <c r="K102" s="426">
        <f t="shared" si="6"/>
        <v>59230.810717521679</v>
      </c>
      <c r="L102" s="434">
        <f t="shared" si="11"/>
        <v>5.9230810717521676E-2</v>
      </c>
    </row>
    <row r="103" spans="1:12" ht="14.65" thickBot="1">
      <c r="A103" s="152" t="s">
        <v>86</v>
      </c>
      <c r="B103" s="542">
        <f>F55</f>
        <v>28.236000000000001</v>
      </c>
      <c r="C103" s="236">
        <f>G55</f>
        <v>6.5313615771926603</v>
      </c>
      <c r="D103" s="236">
        <f>H55</f>
        <v>21.704638422807339</v>
      </c>
      <c r="E103" s="236">
        <f t="shared" si="7"/>
        <v>22752</v>
      </c>
      <c r="F103" s="547">
        <f t="shared" si="8"/>
        <v>56760</v>
      </c>
      <c r="G103" s="550">
        <f t="shared" si="4"/>
        <v>1241.0337552742617</v>
      </c>
      <c r="H103" s="439">
        <f t="shared" si="9"/>
        <v>1.2410337552742616E-3</v>
      </c>
      <c r="I103" s="552">
        <f t="shared" si="5"/>
        <v>115.06979522890522</v>
      </c>
      <c r="J103" s="427">
        <f t="shared" si="10"/>
        <v>1.1506979522890522E-4</v>
      </c>
      <c r="K103" s="437">
        <f t="shared" si="6"/>
        <v>382.39320688525964</v>
      </c>
      <c r="L103" s="439">
        <f t="shared" si="11"/>
        <v>3.8239320688525965E-4</v>
      </c>
    </row>
    <row r="104" spans="1:12">
      <c r="A104" s="145"/>
      <c r="B104" s="146"/>
      <c r="C104" s="95"/>
    </row>
    <row r="105" spans="1:12">
      <c r="A105" s="1" t="s">
        <v>196</v>
      </c>
      <c r="B105" s="1"/>
      <c r="C105" s="1"/>
    </row>
    <row r="106" spans="1:12" ht="14.65" thickBot="1">
      <c r="A106" s="816" t="s">
        <v>444</v>
      </c>
      <c r="C106" s="715"/>
      <c r="E106" s="715"/>
    </row>
    <row r="107" spans="1:12" ht="14.65" thickBot="1">
      <c r="A107" s="918" t="s">
        <v>444</v>
      </c>
      <c r="B107" s="101" t="s">
        <v>237</v>
      </c>
      <c r="C107" s="914">
        <f>'P-Ex(Sze.1 SEFoV mit F HS)'!C274</f>
        <v>1.2790628421965582E-2</v>
      </c>
    </row>
    <row r="109" spans="1:12" ht="14.65" thickBot="1">
      <c r="A109" s="816" t="s">
        <v>466</v>
      </c>
    </row>
    <row r="110" spans="1:12" ht="14.65" thickBot="1">
      <c r="A110" s="888" t="s">
        <v>461</v>
      </c>
      <c r="B110" s="889" t="s">
        <v>462</v>
      </c>
      <c r="C110" s="890" t="s">
        <v>463</v>
      </c>
    </row>
    <row r="111" spans="1:12" ht="14.65" thickBot="1">
      <c r="A111" s="456">
        <v>0.54110338189613694</v>
      </c>
      <c r="B111" s="457">
        <v>0.45889661810386317</v>
      </c>
      <c r="C111" s="458">
        <v>0.63600000000000001</v>
      </c>
    </row>
    <row r="113" spans="1:3" ht="14.65" thickBot="1">
      <c r="A113" s="329" t="s">
        <v>647</v>
      </c>
    </row>
    <row r="114" spans="1:3" ht="14.65" thickBot="1">
      <c r="A114" s="913" t="s">
        <v>647</v>
      </c>
      <c r="B114" s="516" t="s">
        <v>237</v>
      </c>
      <c r="C114" s="914">
        <v>1.0435000000000001</v>
      </c>
    </row>
    <row r="116" spans="1:3" ht="14.65" thickBot="1">
      <c r="A116" s="823" t="s">
        <v>577</v>
      </c>
      <c r="B116" s="824"/>
      <c r="C116" s="824"/>
    </row>
    <row r="117" spans="1:3" ht="14.65" thickBot="1">
      <c r="A117" s="891" t="s">
        <v>578</v>
      </c>
      <c r="B117" s="892" t="s">
        <v>579</v>
      </c>
      <c r="C117" s="915" t="s">
        <v>580</v>
      </c>
    </row>
    <row r="118" spans="1:3" ht="14.65" thickBot="1">
      <c r="A118" s="893">
        <f>C145</f>
        <v>0.56023323612471188</v>
      </c>
      <c r="B118" s="894">
        <f>C147</f>
        <v>0.43976676387528812</v>
      </c>
      <c r="C118" s="916">
        <f>TSFE*1.0435</f>
        <v>0.66366600000000009</v>
      </c>
    </row>
    <row r="120" spans="1:3" ht="14.65" thickBot="1">
      <c r="A120" s="79" t="s">
        <v>287</v>
      </c>
    </row>
    <row r="121" spans="1:3">
      <c r="A121" s="18" t="s">
        <v>53</v>
      </c>
      <c r="B121" s="104" t="s">
        <v>18</v>
      </c>
      <c r="C121" s="15" t="s">
        <v>106</v>
      </c>
    </row>
    <row r="122" spans="1:3" ht="14.65" thickBot="1">
      <c r="A122" s="93" t="s">
        <v>4</v>
      </c>
      <c r="B122" s="271" t="s">
        <v>35</v>
      </c>
      <c r="C122" s="384">
        <f>C63</f>
        <v>56760</v>
      </c>
    </row>
    <row r="123" spans="1:3">
      <c r="A123" s="83"/>
      <c r="B123" s="77"/>
      <c r="C123" s="96"/>
    </row>
    <row r="124" spans="1:3" ht="14.65" thickBot="1">
      <c r="A124" s="79" t="s">
        <v>460</v>
      </c>
    </row>
    <row r="125" spans="1:3" ht="14.65" thickBot="1">
      <c r="A125" s="191" t="s">
        <v>90</v>
      </c>
      <c r="B125" s="192" t="s">
        <v>18</v>
      </c>
      <c r="C125" s="193" t="s">
        <v>91</v>
      </c>
    </row>
    <row r="126" spans="1:3">
      <c r="A126" s="272" t="s">
        <v>4</v>
      </c>
      <c r="B126" s="298" t="s">
        <v>35</v>
      </c>
      <c r="C126" s="313">
        <f>$C$63</f>
        <v>56760</v>
      </c>
    </row>
    <row r="127" spans="1:3">
      <c r="A127" s="655" t="s">
        <v>444</v>
      </c>
      <c r="B127" s="831" t="s">
        <v>237</v>
      </c>
      <c r="C127" s="873">
        <f>C107</f>
        <v>1.2790628421965582E-2</v>
      </c>
    </row>
    <row r="128" spans="1:3">
      <c r="A128" s="655" t="s">
        <v>443</v>
      </c>
      <c r="B128" s="831" t="s">
        <v>35</v>
      </c>
      <c r="C128" s="279">
        <f>C126*C127</f>
        <v>725.99606923076647</v>
      </c>
    </row>
    <row r="129" spans="1:3">
      <c r="A129" s="655" t="s">
        <v>445</v>
      </c>
      <c r="B129" s="831" t="s">
        <v>35</v>
      </c>
      <c r="C129" s="279">
        <f>C126-C128</f>
        <v>56034.003930769235</v>
      </c>
    </row>
    <row r="130" spans="1:3">
      <c r="A130" s="257" t="s">
        <v>461</v>
      </c>
      <c r="B130" s="278" t="s">
        <v>24</v>
      </c>
      <c r="C130" s="314">
        <f>A111</f>
        <v>0.54110338189613694</v>
      </c>
    </row>
    <row r="131" spans="1:3">
      <c r="A131" s="92" t="s">
        <v>9</v>
      </c>
      <c r="B131" s="900" t="s">
        <v>35</v>
      </c>
      <c r="C131" s="383">
        <f>C129*C130</f>
        <v>30320.189028120665</v>
      </c>
    </row>
    <row r="132" spans="1:3">
      <c r="A132" s="815" t="s">
        <v>462</v>
      </c>
      <c r="B132" s="105" t="s">
        <v>24</v>
      </c>
      <c r="C132" s="221">
        <f>B111</f>
        <v>0.45889661810386317</v>
      </c>
    </row>
    <row r="133" spans="1:3">
      <c r="A133" s="92" t="s">
        <v>190</v>
      </c>
      <c r="B133" s="900" t="s">
        <v>35</v>
      </c>
      <c r="C133" s="901">
        <f>C129*C132</f>
        <v>25713.814902648577</v>
      </c>
    </row>
    <row r="134" spans="1:3">
      <c r="A134" s="281" t="s">
        <v>463</v>
      </c>
      <c r="B134" s="278" t="s">
        <v>24</v>
      </c>
      <c r="C134" s="318">
        <f>C111</f>
        <v>0.63600000000000001</v>
      </c>
    </row>
    <row r="135" spans="1:3">
      <c r="A135" s="281" t="s">
        <v>375</v>
      </c>
      <c r="B135" s="278" t="s">
        <v>35</v>
      </c>
      <c r="C135" s="289">
        <f>C133*C134</f>
        <v>16353.986278084496</v>
      </c>
    </row>
    <row r="136" spans="1:3">
      <c r="A136" s="281" t="s">
        <v>369</v>
      </c>
      <c r="B136" s="278" t="s">
        <v>24</v>
      </c>
      <c r="C136" s="318">
        <f>1-C134</f>
        <v>0.36399999999999999</v>
      </c>
    </row>
    <row r="137" spans="1:3" ht="14.65" thickBot="1">
      <c r="A137" s="319" t="s">
        <v>370</v>
      </c>
      <c r="B137" s="320" t="s">
        <v>35</v>
      </c>
      <c r="C137" s="321">
        <f>C133*C136</f>
        <v>9359.8286245640811</v>
      </c>
    </row>
    <row r="138" spans="1:3">
      <c r="A138" s="77"/>
      <c r="B138" s="77"/>
      <c r="C138" s="117"/>
    </row>
    <row r="139" spans="1:3" ht="14.65" thickBot="1">
      <c r="A139" s="79" t="s">
        <v>465</v>
      </c>
    </row>
    <row r="140" spans="1:3" ht="14.65" thickBot="1">
      <c r="A140" s="191" t="s">
        <v>90</v>
      </c>
      <c r="B140" s="192" t="s">
        <v>18</v>
      </c>
      <c r="C140" s="193" t="s">
        <v>91</v>
      </c>
    </row>
    <row r="141" spans="1:3">
      <c r="A141" s="272" t="s">
        <v>4</v>
      </c>
      <c r="B141" s="298" t="s">
        <v>35</v>
      </c>
      <c r="C141" s="313">
        <f>$C$63</f>
        <v>56760</v>
      </c>
    </row>
    <row r="142" spans="1:3">
      <c r="A142" s="655" t="s">
        <v>444</v>
      </c>
      <c r="B142" s="831" t="s">
        <v>237</v>
      </c>
      <c r="C142" s="873">
        <f>C107</f>
        <v>1.2790628421965582E-2</v>
      </c>
    </row>
    <row r="143" spans="1:3">
      <c r="A143" s="655" t="s">
        <v>443</v>
      </c>
      <c r="B143" s="831" t="s">
        <v>35</v>
      </c>
      <c r="C143" s="279">
        <f>C141*C142</f>
        <v>725.99606923076647</v>
      </c>
    </row>
    <row r="144" spans="1:3">
      <c r="A144" s="655" t="s">
        <v>445</v>
      </c>
      <c r="B144" s="831" t="s">
        <v>35</v>
      </c>
      <c r="C144" s="279">
        <f>C141-C143</f>
        <v>56034.003930769235</v>
      </c>
    </row>
    <row r="145" spans="1:3">
      <c r="A145" s="257" t="s">
        <v>578</v>
      </c>
      <c r="B145" s="278" t="s">
        <v>24</v>
      </c>
      <c r="C145" s="314">
        <f>C146/C144</f>
        <v>0.56023323612471188</v>
      </c>
    </row>
    <row r="146" spans="1:3">
      <c r="A146" s="253" t="s">
        <v>9</v>
      </c>
      <c r="B146" s="270" t="s">
        <v>35</v>
      </c>
      <c r="C146" s="254">
        <f>C144-C148</f>
        <v>31392.111355159675</v>
      </c>
    </row>
    <row r="147" spans="1:3">
      <c r="A147" s="257" t="s">
        <v>579</v>
      </c>
      <c r="B147" s="278" t="s">
        <v>24</v>
      </c>
      <c r="C147" s="314">
        <f>C148/C144</f>
        <v>0.43976676387528812</v>
      </c>
    </row>
    <row r="148" spans="1:3">
      <c r="A148" s="253" t="s">
        <v>190</v>
      </c>
      <c r="B148" s="270" t="s">
        <v>35</v>
      </c>
      <c r="C148" s="322">
        <f>C150/C149</f>
        <v>24641.89257560956</v>
      </c>
    </row>
    <row r="149" spans="1:3">
      <c r="A149" s="281" t="s">
        <v>580</v>
      </c>
      <c r="B149" s="278" t="s">
        <v>24</v>
      </c>
      <c r="C149" s="318">
        <f>C118</f>
        <v>0.66366600000000009</v>
      </c>
    </row>
    <row r="150" spans="1:3">
      <c r="A150" s="281" t="s">
        <v>375</v>
      </c>
      <c r="B150" s="278" t="s">
        <v>35</v>
      </c>
      <c r="C150" s="289">
        <f>C135</f>
        <v>16353.986278084496</v>
      </c>
    </row>
    <row r="151" spans="1:3">
      <c r="A151" s="281" t="s">
        <v>369</v>
      </c>
      <c r="B151" s="278" t="s">
        <v>24</v>
      </c>
      <c r="C151" s="318">
        <f>1-C149</f>
        <v>0.33633399999999991</v>
      </c>
    </row>
    <row r="152" spans="1:3" ht="14.65" thickBot="1">
      <c r="A152" s="319" t="s">
        <v>370</v>
      </c>
      <c r="B152" s="320" t="s">
        <v>35</v>
      </c>
      <c r="C152" s="321">
        <f>C148*C151</f>
        <v>8287.9062975250636</v>
      </c>
    </row>
    <row r="153" spans="1:3">
      <c r="A153" s="77"/>
      <c r="B153" s="77"/>
      <c r="C153" s="117"/>
    </row>
    <row r="154" spans="1:3" ht="14.65" thickBot="1">
      <c r="A154" s="79" t="s">
        <v>133</v>
      </c>
      <c r="B154" s="79"/>
      <c r="C154" s="79"/>
    </row>
    <row r="155" spans="1:3" ht="14.65" thickBot="1">
      <c r="A155" s="103" t="s">
        <v>90</v>
      </c>
      <c r="B155" s="102" t="s">
        <v>18</v>
      </c>
      <c r="C155" s="17" t="s">
        <v>106</v>
      </c>
    </row>
    <row r="156" spans="1:3">
      <c r="A156" s="276" t="s">
        <v>623</v>
      </c>
      <c r="B156" s="296" t="s">
        <v>35</v>
      </c>
      <c r="C156" s="297">
        <f>C23</f>
        <v>12000</v>
      </c>
    </row>
    <row r="157" spans="1:3">
      <c r="A157" s="257" t="s">
        <v>329</v>
      </c>
      <c r="B157" s="278" t="s">
        <v>35</v>
      </c>
      <c r="C157" s="295">
        <f>C26</f>
        <v>1727.9999999999998</v>
      </c>
    </row>
    <row r="158" spans="1:3">
      <c r="A158" s="257" t="s">
        <v>428</v>
      </c>
      <c r="B158" s="278" t="s">
        <v>35</v>
      </c>
      <c r="C158" s="295">
        <f>C32</f>
        <v>9024</v>
      </c>
    </row>
    <row r="159" spans="1:3">
      <c r="A159" s="281" t="s">
        <v>375</v>
      </c>
      <c r="B159" s="278" t="s">
        <v>35</v>
      </c>
      <c r="C159" s="289">
        <f>C150</f>
        <v>16353.986278084496</v>
      </c>
    </row>
    <row r="160" spans="1:3">
      <c r="A160" s="281" t="s">
        <v>448</v>
      </c>
      <c r="B160" s="278" t="s">
        <v>237</v>
      </c>
      <c r="C160" s="840">
        <f>C118</f>
        <v>0.66366600000000009</v>
      </c>
    </row>
    <row r="161" spans="1:8">
      <c r="A161" s="281" t="s">
        <v>446</v>
      </c>
      <c r="B161" s="278" t="s">
        <v>35</v>
      </c>
      <c r="C161" s="289">
        <f>C128*C160</f>
        <v>481.8189072821059</v>
      </c>
    </row>
    <row r="162" spans="1:8">
      <c r="A162" s="257" t="s">
        <v>341</v>
      </c>
      <c r="B162" s="278" t="s">
        <v>35</v>
      </c>
      <c r="C162" s="279">
        <f>C156+C157+C158-C159-C161</f>
        <v>5916.194814633398</v>
      </c>
    </row>
    <row r="163" spans="1:8">
      <c r="A163" s="257" t="s">
        <v>9</v>
      </c>
      <c r="B163" s="278" t="s">
        <v>35</v>
      </c>
      <c r="C163" s="279">
        <f>C146</f>
        <v>31392.111355159675</v>
      </c>
    </row>
    <row r="164" spans="1:8">
      <c r="A164" s="299" t="s">
        <v>64</v>
      </c>
      <c r="B164" s="260" t="s">
        <v>24</v>
      </c>
      <c r="C164" s="300">
        <f>C162/C163</f>
        <v>0.18846119484285659</v>
      </c>
    </row>
    <row r="165" spans="1:8">
      <c r="A165" s="257" t="s">
        <v>366</v>
      </c>
      <c r="B165" s="278" t="s">
        <v>35</v>
      </c>
      <c r="C165" s="279">
        <f>C25</f>
        <v>34008</v>
      </c>
    </row>
    <row r="166" spans="1:8">
      <c r="A166" s="281" t="s">
        <v>370</v>
      </c>
      <c r="B166" s="278" t="s">
        <v>35</v>
      </c>
      <c r="C166" s="289">
        <f>C152</f>
        <v>8287.9062975250636</v>
      </c>
    </row>
    <row r="167" spans="1:8">
      <c r="A167" s="281" t="s">
        <v>449</v>
      </c>
      <c r="B167" s="278" t="s">
        <v>237</v>
      </c>
      <c r="C167" s="840">
        <f>1-C160</f>
        <v>0.33633399999999991</v>
      </c>
    </row>
    <row r="168" spans="1:8">
      <c r="A168" s="281" t="s">
        <v>447</v>
      </c>
      <c r="B168" s="278" t="s">
        <v>35</v>
      </c>
      <c r="C168" s="289">
        <f>C128*C167</f>
        <v>244.17716194866054</v>
      </c>
    </row>
    <row r="169" spans="1:8">
      <c r="A169" s="257" t="s">
        <v>342</v>
      </c>
      <c r="B169" s="278" t="s">
        <v>35</v>
      </c>
      <c r="C169" s="279">
        <f>C165-C166-C168</f>
        <v>25475.916540526276</v>
      </c>
    </row>
    <row r="170" spans="1:8">
      <c r="A170" s="257" t="s">
        <v>9</v>
      </c>
      <c r="B170" s="278" t="s">
        <v>35</v>
      </c>
      <c r="C170" s="279">
        <f>C146</f>
        <v>31392.111355159675</v>
      </c>
    </row>
    <row r="171" spans="1:8" ht="14.65" thickBot="1">
      <c r="A171" s="301" t="s">
        <v>66</v>
      </c>
      <c r="B171" s="277" t="s">
        <v>24</v>
      </c>
      <c r="C171" s="303">
        <f>C169/C170</f>
        <v>0.81153880515714338</v>
      </c>
    </row>
    <row r="172" spans="1:8">
      <c r="A172" s="77"/>
      <c r="B172" s="77"/>
      <c r="C172" s="117"/>
    </row>
    <row r="173" spans="1:8" ht="14.65" thickBot="1">
      <c r="A173" s="79" t="s">
        <v>135</v>
      </c>
    </row>
    <row r="174" spans="1:8" ht="14.65" thickBot="1">
      <c r="A174" s="419"/>
      <c r="B174" s="1028" t="s">
        <v>262</v>
      </c>
      <c r="C174" s="1029"/>
      <c r="D174" s="1031"/>
      <c r="E174" s="1036" t="s">
        <v>263</v>
      </c>
      <c r="F174" s="1037"/>
      <c r="G174" s="1037"/>
      <c r="H174" s="1038"/>
    </row>
    <row r="175" spans="1:8">
      <c r="A175" s="92" t="s">
        <v>93</v>
      </c>
      <c r="B175" s="377" t="s">
        <v>243</v>
      </c>
      <c r="C175" s="491" t="s">
        <v>341</v>
      </c>
      <c r="D175" s="492" t="s">
        <v>281</v>
      </c>
      <c r="E175" s="1039" t="s">
        <v>269</v>
      </c>
      <c r="F175" s="1040"/>
      <c r="G175" s="1022" t="s">
        <v>282</v>
      </c>
      <c r="H175" s="1023"/>
    </row>
    <row r="176" spans="1:8" ht="14.65" thickBot="1">
      <c r="A176" s="93" t="s">
        <v>18</v>
      </c>
      <c r="B176" s="403" t="s">
        <v>35</v>
      </c>
      <c r="C176" s="154" t="s">
        <v>35</v>
      </c>
      <c r="D176" s="155" t="s">
        <v>35</v>
      </c>
      <c r="E176" s="153" t="s">
        <v>257</v>
      </c>
      <c r="F176" s="423" t="s">
        <v>237</v>
      </c>
      <c r="G176" s="403" t="s">
        <v>71</v>
      </c>
      <c r="H176" s="155" t="s">
        <v>237</v>
      </c>
    </row>
    <row r="177" spans="1:8">
      <c r="A177" s="148" t="s">
        <v>72</v>
      </c>
      <c r="B177" s="540">
        <f>C83*(1-$C$107)</f>
        <v>147.47998583893704</v>
      </c>
      <c r="C177" s="428">
        <f>$C$162</f>
        <v>5916.194814633398</v>
      </c>
      <c r="D177" s="382">
        <f>$C$146</f>
        <v>31392.111355159675</v>
      </c>
      <c r="E177" s="551">
        <f>B177/C177*1000000</f>
        <v>24928.182803269596</v>
      </c>
      <c r="F177" s="554">
        <f>E177/1000000</f>
        <v>2.4928182803269597E-2</v>
      </c>
      <c r="G177" s="557">
        <f>B177/D177*1000000</f>
        <v>4697.9951163653386</v>
      </c>
      <c r="H177" s="433">
        <f>G177/1000000</f>
        <v>4.6979951163653383E-3</v>
      </c>
    </row>
    <row r="178" spans="1:8">
      <c r="A178" s="149" t="s">
        <v>73</v>
      </c>
      <c r="B178" s="541">
        <f>C84*(1-$C$107)</f>
        <v>0.1538336003900779</v>
      </c>
      <c r="C178" s="235">
        <f t="shared" ref="C178:C197" si="12">$C$162</f>
        <v>5916.194814633398</v>
      </c>
      <c r="D178" s="82">
        <f t="shared" ref="D178:D197" si="13">$C$146</f>
        <v>31392.111355159675</v>
      </c>
      <c r="E178" s="552">
        <f t="shared" ref="E178:E197" si="14">B178/C178*1000000</f>
        <v>26.002118795949478</v>
      </c>
      <c r="F178" s="555">
        <f t="shared" ref="F178:H193" si="15">E178/1000000</f>
        <v>2.6002118795949477E-5</v>
      </c>
      <c r="G178" s="558">
        <f t="shared" ref="G178:G197" si="16">B178/D178*1000000</f>
        <v>4.9003903767305372</v>
      </c>
      <c r="H178" s="434">
        <f t="shared" si="15"/>
        <v>4.9003903767305375E-6</v>
      </c>
    </row>
    <row r="179" spans="1:8">
      <c r="A179" s="149" t="s">
        <v>74</v>
      </c>
      <c r="B179" s="541">
        <f>C85*(1-$C$107)</f>
        <v>400.06799831618599</v>
      </c>
      <c r="C179" s="235">
        <f t="shared" si="12"/>
        <v>5916.194814633398</v>
      </c>
      <c r="D179" s="82">
        <f t="shared" si="13"/>
        <v>31392.111355159675</v>
      </c>
      <c r="E179" s="552">
        <f t="shared" si="14"/>
        <v>67622.519347510126</v>
      </c>
      <c r="F179" s="555">
        <f t="shared" si="15"/>
        <v>6.7622519347510124E-2</v>
      </c>
      <c r="G179" s="558">
        <f t="shared" si="16"/>
        <v>12744.220794515943</v>
      </c>
      <c r="H179" s="434">
        <f t="shared" si="15"/>
        <v>1.2744220794515943E-2</v>
      </c>
    </row>
    <row r="180" spans="1:8">
      <c r="A180" s="149" t="s">
        <v>75</v>
      </c>
      <c r="B180" s="541">
        <f>B86*0.56*(1-$C$107)</f>
        <v>2.3219164419515374E-2</v>
      </c>
      <c r="C180" s="235">
        <f t="shared" si="12"/>
        <v>5916.194814633398</v>
      </c>
      <c r="D180" s="82">
        <f t="shared" si="13"/>
        <v>31392.111355159675</v>
      </c>
      <c r="E180" s="552">
        <f t="shared" si="14"/>
        <v>3.9246788091027676</v>
      </c>
      <c r="F180" s="555">
        <f t="shared" si="15"/>
        <v>3.9246788091027675E-6</v>
      </c>
      <c r="G180" s="558">
        <f t="shared" si="16"/>
        <v>0.73964965773794711</v>
      </c>
      <c r="H180" s="434">
        <f t="shared" si="15"/>
        <v>7.3964965773794708E-7</v>
      </c>
    </row>
    <row r="181" spans="1:8">
      <c r="A181" s="149" t="s">
        <v>76</v>
      </c>
      <c r="B181" s="541">
        <f>C87*(1-$C$107)</f>
        <v>0.23513193774234989</v>
      </c>
      <c r="C181" s="235">
        <f t="shared" si="12"/>
        <v>5916.194814633398</v>
      </c>
      <c r="D181" s="82">
        <f t="shared" si="13"/>
        <v>31392.111355159675</v>
      </c>
      <c r="E181" s="552">
        <f t="shared" si="14"/>
        <v>39.743778747914682</v>
      </c>
      <c r="F181" s="555">
        <f t="shared" si="15"/>
        <v>3.974377874791468E-5</v>
      </c>
      <c r="G181" s="558">
        <f t="shared" si="16"/>
        <v>7.490160030402131</v>
      </c>
      <c r="H181" s="434">
        <f t="shared" si="15"/>
        <v>7.4901600304021314E-6</v>
      </c>
    </row>
    <row r="182" spans="1:8">
      <c r="A182" s="150" t="s">
        <v>77</v>
      </c>
      <c r="B182" s="541">
        <f>C88*(1-$C$107)</f>
        <v>1.7315261642911102</v>
      </c>
      <c r="C182" s="235">
        <f t="shared" si="12"/>
        <v>5916.194814633398</v>
      </c>
      <c r="D182" s="82">
        <f t="shared" si="13"/>
        <v>31392.111355159675</v>
      </c>
      <c r="E182" s="552">
        <f t="shared" si="14"/>
        <v>292.67565023522735</v>
      </c>
      <c r="F182" s="555">
        <f t="shared" si="15"/>
        <v>2.9267565023522737E-4</v>
      </c>
      <c r="G182" s="558">
        <f t="shared" si="16"/>
        <v>55.158002744740926</v>
      </c>
      <c r="H182" s="434">
        <f t="shared" si="15"/>
        <v>5.5158002744740927E-5</v>
      </c>
    </row>
    <row r="183" spans="1:8">
      <c r="A183" s="150" t="s">
        <v>78</v>
      </c>
      <c r="B183" s="541">
        <f>C89*(1-$C$107)</f>
        <v>195.21736702643099</v>
      </c>
      <c r="C183" s="235">
        <f t="shared" si="12"/>
        <v>5916.194814633398</v>
      </c>
      <c r="D183" s="82">
        <f t="shared" si="13"/>
        <v>31392.111355159675</v>
      </c>
      <c r="E183" s="552">
        <f t="shared" si="14"/>
        <v>32997.116075956634</v>
      </c>
      <c r="F183" s="555">
        <f t="shared" si="15"/>
        <v>3.2997116075956637E-2</v>
      </c>
      <c r="G183" s="558">
        <f t="shared" si="16"/>
        <v>6218.6759220432186</v>
      </c>
      <c r="H183" s="434">
        <f t="shared" si="15"/>
        <v>6.2186759220432186E-3</v>
      </c>
    </row>
    <row r="184" spans="1:8">
      <c r="A184" s="150" t="s">
        <v>79</v>
      </c>
      <c r="B184" s="541">
        <f>C90*(1-$C$107)</f>
        <v>31.864837400486895</v>
      </c>
      <c r="C184" s="235">
        <f t="shared" si="12"/>
        <v>5916.194814633398</v>
      </c>
      <c r="D184" s="82">
        <f t="shared" si="13"/>
        <v>31392.111355159675</v>
      </c>
      <c r="E184" s="552">
        <f t="shared" si="14"/>
        <v>5386.0358556264728</v>
      </c>
      <c r="F184" s="555">
        <f t="shared" si="15"/>
        <v>5.3860358556264724E-3</v>
      </c>
      <c r="G184" s="558">
        <f t="shared" si="16"/>
        <v>1015.0587528178324</v>
      </c>
      <c r="H184" s="434">
        <f t="shared" si="15"/>
        <v>1.0150587528178325E-3</v>
      </c>
    </row>
    <row r="185" spans="1:8">
      <c r="A185" s="150" t="s">
        <v>80</v>
      </c>
      <c r="B185" s="541">
        <f>C91*(1-$C$107)</f>
        <v>59.292889541623836</v>
      </c>
      <c r="C185" s="235">
        <f t="shared" si="12"/>
        <v>5916.194814633398</v>
      </c>
      <c r="D185" s="82">
        <f t="shared" si="13"/>
        <v>31392.111355159675</v>
      </c>
      <c r="E185" s="552">
        <f t="shared" si="14"/>
        <v>10022.132705124242</v>
      </c>
      <c r="F185" s="555">
        <f t="shared" si="15"/>
        <v>1.0022132705124243E-2</v>
      </c>
      <c r="G185" s="558">
        <f t="shared" si="16"/>
        <v>1888.7831044813852</v>
      </c>
      <c r="H185" s="434">
        <f t="shared" si="15"/>
        <v>1.8887831044813851E-3</v>
      </c>
    </row>
    <row r="186" spans="1:8">
      <c r="A186" s="150" t="s">
        <v>81</v>
      </c>
      <c r="B186" s="541">
        <f>C92*(1-$C$107)</f>
        <v>33.091182124344222</v>
      </c>
      <c r="C186" s="235">
        <f t="shared" si="12"/>
        <v>5916.194814633398</v>
      </c>
      <c r="D186" s="82">
        <f t="shared" si="13"/>
        <v>31392.111355159675</v>
      </c>
      <c r="E186" s="552">
        <f t="shared" si="14"/>
        <v>5593.3219174079459</v>
      </c>
      <c r="F186" s="555">
        <f t="shared" si="15"/>
        <v>5.5933219174079457E-3</v>
      </c>
      <c r="G186" s="558">
        <f t="shared" si="16"/>
        <v>1054.1241316954388</v>
      </c>
      <c r="H186" s="434">
        <f t="shared" si="15"/>
        <v>1.0541241316954389E-3</v>
      </c>
    </row>
    <row r="187" spans="1:8">
      <c r="A187" s="150" t="s">
        <v>82</v>
      </c>
      <c r="B187" s="541">
        <f>C93*(1-$C$107)</f>
        <v>0.40948435489975904</v>
      </c>
      <c r="C187" s="235">
        <f t="shared" si="12"/>
        <v>5916.194814633398</v>
      </c>
      <c r="D187" s="82">
        <f t="shared" si="13"/>
        <v>31392.111355159675</v>
      </c>
      <c r="E187" s="552">
        <f t="shared" si="14"/>
        <v>69.214143166300232</v>
      </c>
      <c r="F187" s="555">
        <f t="shared" si="15"/>
        <v>6.9214143166300231E-5</v>
      </c>
      <c r="G187" s="558">
        <f t="shared" si="16"/>
        <v>13.044180121145478</v>
      </c>
      <c r="H187" s="434">
        <f t="shared" si="15"/>
        <v>1.3044180121145478E-5</v>
      </c>
    </row>
    <row r="188" spans="1:8">
      <c r="A188" s="150" t="s">
        <v>630</v>
      </c>
      <c r="B188" s="541">
        <f>B94*0.56*(1-$C$107)</f>
        <v>541.45764616914448</v>
      </c>
      <c r="C188" s="235">
        <f t="shared" si="12"/>
        <v>5916.194814633398</v>
      </c>
      <c r="D188" s="82">
        <f t="shared" si="13"/>
        <v>31392.111355159675</v>
      </c>
      <c r="E188" s="552">
        <f t="shared" si="14"/>
        <v>91521.267154671339</v>
      </c>
      <c r="F188" s="555">
        <f t="shared" si="15"/>
        <v>9.1521267154671335E-2</v>
      </c>
      <c r="G188" s="558">
        <f t="shared" si="16"/>
        <v>17248.207361501645</v>
      </c>
      <c r="H188" s="434">
        <f t="shared" si="15"/>
        <v>1.7248207361501646E-2</v>
      </c>
    </row>
    <row r="189" spans="1:8">
      <c r="A189" s="151" t="s">
        <v>96</v>
      </c>
      <c r="B189" s="541">
        <f>C95*(1-$C$107)</f>
        <v>2818.0193718645473</v>
      </c>
      <c r="C189" s="235">
        <f t="shared" si="12"/>
        <v>5916.194814633398</v>
      </c>
      <c r="D189" s="82">
        <f t="shared" si="13"/>
        <v>31392.111355159675</v>
      </c>
      <c r="E189" s="552">
        <f t="shared" si="14"/>
        <v>476322.95084237657</v>
      </c>
      <c r="F189" s="555">
        <f t="shared" si="15"/>
        <v>0.47632295084237658</v>
      </c>
      <c r="G189" s="558">
        <f t="shared" si="16"/>
        <v>89768.39244682953</v>
      </c>
      <c r="H189" s="434">
        <f t="shared" si="15"/>
        <v>8.9768392446829534E-2</v>
      </c>
    </row>
    <row r="190" spans="1:8">
      <c r="A190" s="150" t="s">
        <v>97</v>
      </c>
      <c r="B190" s="541">
        <f>B188+B189</f>
        <v>3359.4770180336918</v>
      </c>
      <c r="C190" s="235">
        <f t="shared" si="12"/>
        <v>5916.194814633398</v>
      </c>
      <c r="D190" s="82">
        <f t="shared" si="13"/>
        <v>31392.111355159675</v>
      </c>
      <c r="E190" s="552">
        <f t="shared" si="14"/>
        <v>567844.21799704793</v>
      </c>
      <c r="F190" s="555">
        <f t="shared" si="15"/>
        <v>0.56784421799704798</v>
      </c>
      <c r="G190" s="558">
        <f t="shared" si="16"/>
        <v>107016.59980833117</v>
      </c>
      <c r="H190" s="434">
        <f t="shared" si="15"/>
        <v>0.10701659980833117</v>
      </c>
    </row>
    <row r="191" spans="1:8">
      <c r="A191" s="151" t="s">
        <v>84</v>
      </c>
      <c r="B191" s="541">
        <f>C97*(1-$C$107)</f>
        <v>8.1564135345491867E-2</v>
      </c>
      <c r="C191" s="235">
        <f t="shared" si="12"/>
        <v>5916.194814633398</v>
      </c>
      <c r="D191" s="82">
        <f t="shared" si="13"/>
        <v>31392.111355159675</v>
      </c>
      <c r="E191" s="552">
        <f t="shared" si="14"/>
        <v>13.786587139380071</v>
      </c>
      <c r="F191" s="555">
        <f t="shared" si="15"/>
        <v>1.3786587139380072E-5</v>
      </c>
      <c r="G191" s="558">
        <f t="shared" si="16"/>
        <v>2.5982366850927279</v>
      </c>
      <c r="H191" s="434">
        <f t="shared" si="15"/>
        <v>2.598236685092728E-6</v>
      </c>
    </row>
    <row r="192" spans="1:8">
      <c r="A192" s="151" t="s">
        <v>631</v>
      </c>
      <c r="B192" s="541">
        <f>C98*(1-$C$107)</f>
        <v>0</v>
      </c>
      <c r="C192" s="235">
        <f t="shared" si="12"/>
        <v>5916.194814633398</v>
      </c>
      <c r="D192" s="82">
        <f t="shared" si="13"/>
        <v>31392.111355159675</v>
      </c>
      <c r="E192" s="552">
        <f t="shared" si="14"/>
        <v>0</v>
      </c>
      <c r="F192" s="555">
        <f t="shared" si="15"/>
        <v>0</v>
      </c>
      <c r="G192" s="558">
        <f t="shared" si="16"/>
        <v>0</v>
      </c>
      <c r="H192" s="434">
        <f t="shared" si="15"/>
        <v>0</v>
      </c>
    </row>
    <row r="193" spans="1:8">
      <c r="A193" s="151" t="s">
        <v>250</v>
      </c>
      <c r="B193" s="541">
        <f>C99*(1-$C$107)</f>
        <v>0</v>
      </c>
      <c r="C193" s="235">
        <f t="shared" si="12"/>
        <v>5916.194814633398</v>
      </c>
      <c r="D193" s="82">
        <f t="shared" si="13"/>
        <v>31392.111355159675</v>
      </c>
      <c r="E193" s="552">
        <f t="shared" si="14"/>
        <v>0</v>
      </c>
      <c r="F193" s="555">
        <f t="shared" si="15"/>
        <v>0</v>
      </c>
      <c r="G193" s="558">
        <f t="shared" si="16"/>
        <v>0</v>
      </c>
      <c r="H193" s="434">
        <f t="shared" si="15"/>
        <v>0</v>
      </c>
    </row>
    <row r="194" spans="1:8">
      <c r="A194" s="151" t="s">
        <v>251</v>
      </c>
      <c r="B194" s="541">
        <f>C100*(1-$C$107)</f>
        <v>0</v>
      </c>
      <c r="C194" s="235">
        <f t="shared" si="12"/>
        <v>5916.194814633398</v>
      </c>
      <c r="D194" s="82">
        <f t="shared" si="13"/>
        <v>31392.111355159675</v>
      </c>
      <c r="E194" s="552">
        <f t="shared" si="14"/>
        <v>0</v>
      </c>
      <c r="F194" s="555">
        <f t="shared" ref="F194:F197" si="17">E194/1000000</f>
        <v>0</v>
      </c>
      <c r="G194" s="558">
        <f t="shared" si="16"/>
        <v>0</v>
      </c>
      <c r="H194" s="434">
        <f t="shared" ref="H194:H197" si="18">G194/1000000</f>
        <v>0</v>
      </c>
    </row>
    <row r="195" spans="1:8">
      <c r="A195" s="151" t="s">
        <v>238</v>
      </c>
      <c r="B195" s="541">
        <f>C101*(1-$C$107)</f>
        <v>0</v>
      </c>
      <c r="C195" s="235">
        <f t="shared" si="12"/>
        <v>5916.194814633398</v>
      </c>
      <c r="D195" s="82">
        <f t="shared" si="13"/>
        <v>31392.111355159675</v>
      </c>
      <c r="E195" s="552">
        <f t="shared" si="14"/>
        <v>0</v>
      </c>
      <c r="F195" s="555">
        <f t="shared" si="17"/>
        <v>0</v>
      </c>
      <c r="G195" s="558">
        <f t="shared" si="16"/>
        <v>0</v>
      </c>
      <c r="H195" s="434">
        <f t="shared" si="18"/>
        <v>0</v>
      </c>
    </row>
    <row r="196" spans="1:8">
      <c r="A196" s="151" t="s">
        <v>239</v>
      </c>
      <c r="B196" s="541">
        <f>C102*(1-$C$107)</f>
        <v>0</v>
      </c>
      <c r="C196" s="235">
        <f t="shared" si="12"/>
        <v>5916.194814633398</v>
      </c>
      <c r="D196" s="82">
        <f t="shared" si="13"/>
        <v>31392.111355159675</v>
      </c>
      <c r="E196" s="552">
        <f t="shared" si="14"/>
        <v>0</v>
      </c>
      <c r="F196" s="555">
        <f t="shared" si="17"/>
        <v>0</v>
      </c>
      <c r="G196" s="558">
        <f t="shared" si="16"/>
        <v>0</v>
      </c>
      <c r="H196" s="434">
        <f t="shared" si="18"/>
        <v>0</v>
      </c>
    </row>
    <row r="197" spans="1:8" ht="14.65" thickBot="1">
      <c r="A197" s="152" t="s">
        <v>86</v>
      </c>
      <c r="B197" s="542">
        <f>C103*(1-$C$107)</f>
        <v>6.4478213581692865</v>
      </c>
      <c r="C197" s="236">
        <f t="shared" si="12"/>
        <v>5916.194814633398</v>
      </c>
      <c r="D197" s="237">
        <f t="shared" si="13"/>
        <v>31392.111355159675</v>
      </c>
      <c r="E197" s="552">
        <f t="shared" si="14"/>
        <v>1089.8595398212613</v>
      </c>
      <c r="F197" s="555">
        <f t="shared" si="17"/>
        <v>1.0898595398212614E-3</v>
      </c>
      <c r="G197" s="558">
        <f t="shared" si="16"/>
        <v>205.3962310856007</v>
      </c>
      <c r="H197" s="434">
        <f t="shared" si="18"/>
        <v>2.0539623108560071E-4</v>
      </c>
    </row>
    <row r="198" spans="1:8">
      <c r="A198" s="145"/>
      <c r="B198" s="146"/>
      <c r="C198" s="95"/>
    </row>
    <row r="199" spans="1:8" ht="14.65" thickBot="1">
      <c r="A199" s="79" t="s">
        <v>197</v>
      </c>
    </row>
    <row r="200" spans="1:8" ht="14.65" thickBot="1">
      <c r="A200" s="419"/>
      <c r="B200" s="1028" t="s">
        <v>262</v>
      </c>
      <c r="C200" s="1029"/>
      <c r="D200" s="1031"/>
      <c r="E200" s="1036" t="s">
        <v>263</v>
      </c>
      <c r="F200" s="1037"/>
      <c r="G200" s="1037"/>
      <c r="H200" s="1038"/>
    </row>
    <row r="201" spans="1:8">
      <c r="A201" s="92" t="s">
        <v>93</v>
      </c>
      <c r="B201" s="377" t="s">
        <v>256</v>
      </c>
      <c r="C201" s="491" t="s">
        <v>375</v>
      </c>
      <c r="D201" s="492" t="s">
        <v>286</v>
      </c>
      <c r="E201" s="1039" t="s">
        <v>269</v>
      </c>
      <c r="F201" s="1040"/>
      <c r="G201" s="1022" t="s">
        <v>258</v>
      </c>
      <c r="H201" s="1023"/>
    </row>
    <row r="202" spans="1:8" ht="14.65" thickBot="1">
      <c r="A202" s="93" t="s">
        <v>18</v>
      </c>
      <c r="B202" s="403" t="s">
        <v>35</v>
      </c>
      <c r="C202" s="154" t="s">
        <v>35</v>
      </c>
      <c r="D202" s="155" t="s">
        <v>35</v>
      </c>
      <c r="E202" s="153" t="s">
        <v>257</v>
      </c>
      <c r="F202" s="423" t="s">
        <v>237</v>
      </c>
      <c r="G202" s="403" t="s">
        <v>71</v>
      </c>
      <c r="H202" s="155" t="s">
        <v>237</v>
      </c>
    </row>
    <row r="203" spans="1:8">
      <c r="A203" s="222" t="s">
        <v>72</v>
      </c>
      <c r="B203" s="540">
        <f>D83*(1-$C$107)</f>
        <v>314.55769308450101</v>
      </c>
      <c r="C203" s="428">
        <f>$C$150</f>
        <v>16353.986278084496</v>
      </c>
      <c r="D203" s="382">
        <f>$C$148</f>
        <v>24641.89257560956</v>
      </c>
      <c r="E203" s="551">
        <f>B203/C203*1000000</f>
        <v>19234.313135387099</v>
      </c>
      <c r="F203" s="554">
        <f>E203/1000000</f>
        <v>1.92343131353871E-2</v>
      </c>
      <c r="G203" s="557">
        <f>B203/D203*1000000</f>
        <v>12765.159661309815</v>
      </c>
      <c r="H203" s="433">
        <f>G203/1000000</f>
        <v>1.2765159661309816E-2</v>
      </c>
    </row>
    <row r="204" spans="1:8">
      <c r="A204" s="149" t="s">
        <v>73</v>
      </c>
      <c r="B204" s="541">
        <f>D84*(1-$C$107)</f>
        <v>0.18497665593550353</v>
      </c>
      <c r="C204" s="235">
        <f t="shared" ref="C204:C223" si="19">$C$150</f>
        <v>16353.986278084496</v>
      </c>
      <c r="D204" s="82">
        <f t="shared" ref="D204:D223" si="20">$C$148</f>
        <v>24641.89257560956</v>
      </c>
      <c r="E204" s="552">
        <f t="shared" ref="E204:E223" si="21">B204/C204*1000000</f>
        <v>11.310799262647382</v>
      </c>
      <c r="F204" s="555">
        <f t="shared" ref="F204:H219" si="22">E204/1000000</f>
        <v>1.1310799262647382E-5</v>
      </c>
      <c r="G204" s="558">
        <f t="shared" ref="G204:G223" si="23">B204/D204*1000000</f>
        <v>7.5065929034441385</v>
      </c>
      <c r="H204" s="434">
        <f t="shared" si="22"/>
        <v>7.5065929034441388E-6</v>
      </c>
    </row>
    <row r="205" spans="1:8">
      <c r="A205" s="149" t="s">
        <v>74</v>
      </c>
      <c r="B205" s="541">
        <f>D85*(1-$C$107)</f>
        <v>1483.5274826547038</v>
      </c>
      <c r="C205" s="235">
        <f t="shared" si="19"/>
        <v>16353.986278084496</v>
      </c>
      <c r="D205" s="82">
        <f t="shared" si="20"/>
        <v>24641.89257560956</v>
      </c>
      <c r="E205" s="552">
        <f t="shared" si="21"/>
        <v>90713.509075321665</v>
      </c>
      <c r="F205" s="555">
        <f t="shared" si="22"/>
        <v>9.0713509075321663E-2</v>
      </c>
      <c r="G205" s="558">
        <f t="shared" si="23"/>
        <v>60203.471713982428</v>
      </c>
      <c r="H205" s="434">
        <f t="shared" si="22"/>
        <v>6.020347171398243E-2</v>
      </c>
    </row>
    <row r="206" spans="1:8">
      <c r="A206" s="149" t="s">
        <v>75</v>
      </c>
      <c r="B206" s="541">
        <f>B86*0.44*(1-$C$107)</f>
        <v>1.8243629186762075E-2</v>
      </c>
      <c r="C206" s="235">
        <f t="shared" si="19"/>
        <v>16353.986278084496</v>
      </c>
      <c r="D206" s="82">
        <f t="shared" si="20"/>
        <v>24641.89257560956</v>
      </c>
      <c r="E206" s="552">
        <f t="shared" si="21"/>
        <v>1.115546318588382</v>
      </c>
      <c r="F206" s="555">
        <f t="shared" si="22"/>
        <v>1.115546318588382E-6</v>
      </c>
      <c r="G206" s="558">
        <f t="shared" si="23"/>
        <v>0.74035016307227719</v>
      </c>
      <c r="H206" s="434">
        <f t="shared" si="22"/>
        <v>7.4035016307227721E-7</v>
      </c>
    </row>
    <row r="207" spans="1:8">
      <c r="A207" s="149" t="s">
        <v>76</v>
      </c>
      <c r="B207" s="541">
        <f>D87*(1-$C$107)</f>
        <v>1.3759937566730023</v>
      </c>
      <c r="C207" s="235">
        <f t="shared" si="19"/>
        <v>16353.986278084496</v>
      </c>
      <c r="D207" s="82">
        <f t="shared" si="20"/>
        <v>24641.89257560956</v>
      </c>
      <c r="E207" s="552">
        <f t="shared" si="21"/>
        <v>84.138125914715459</v>
      </c>
      <c r="F207" s="555">
        <f t="shared" si="22"/>
        <v>8.4138125914715462E-5</v>
      </c>
      <c r="G207" s="558">
        <f t="shared" si="23"/>
        <v>55.839613473315559</v>
      </c>
      <c r="H207" s="434">
        <f t="shared" si="22"/>
        <v>5.5839613473315562E-5</v>
      </c>
    </row>
    <row r="208" spans="1:8">
      <c r="A208" s="150" t="s">
        <v>77</v>
      </c>
      <c r="B208" s="541">
        <f>D88*(1-$C$107)</f>
        <v>6.039786008771177</v>
      </c>
      <c r="C208" s="235">
        <f t="shared" si="19"/>
        <v>16353.986278084496</v>
      </c>
      <c r="D208" s="82">
        <f t="shared" si="20"/>
        <v>24641.89257560956</v>
      </c>
      <c r="E208" s="552">
        <f t="shared" si="21"/>
        <v>369.31582955190072</v>
      </c>
      <c r="F208" s="555">
        <f t="shared" si="22"/>
        <v>3.6931582955190069E-4</v>
      </c>
      <c r="G208" s="558">
        <f t="shared" si="23"/>
        <v>245.10235933539175</v>
      </c>
      <c r="H208" s="434">
        <f t="shared" si="22"/>
        <v>2.4510235933539176E-4</v>
      </c>
    </row>
    <row r="209" spans="1:8">
      <c r="A209" s="150" t="s">
        <v>78</v>
      </c>
      <c r="B209" s="541">
        <f>D89*(1-$C$107)</f>
        <v>842.2646545898433</v>
      </c>
      <c r="C209" s="235">
        <f t="shared" si="19"/>
        <v>16353.986278084496</v>
      </c>
      <c r="D209" s="82">
        <f t="shared" si="20"/>
        <v>24641.89257560956</v>
      </c>
      <c r="E209" s="552">
        <f t="shared" si="21"/>
        <v>51502.10109436974</v>
      </c>
      <c r="F209" s="555">
        <f t="shared" si="22"/>
        <v>5.1502101094369743E-2</v>
      </c>
      <c r="G209" s="558">
        <f t="shared" si="23"/>
        <v>34180.193424895995</v>
      </c>
      <c r="H209" s="434">
        <f t="shared" si="22"/>
        <v>3.4180193424895998E-2</v>
      </c>
    </row>
    <row r="210" spans="1:8">
      <c r="A210" s="150" t="s">
        <v>79</v>
      </c>
      <c r="B210" s="541">
        <f>D90*(1-$C$107)</f>
        <v>65.631960136559798</v>
      </c>
      <c r="C210" s="235">
        <f t="shared" si="19"/>
        <v>16353.986278084496</v>
      </c>
      <c r="D210" s="82">
        <f t="shared" si="20"/>
        <v>24641.89257560956</v>
      </c>
      <c r="E210" s="552">
        <f t="shared" si="21"/>
        <v>4013.2087076843945</v>
      </c>
      <c r="F210" s="555">
        <f t="shared" si="22"/>
        <v>4.0132087076843945E-3</v>
      </c>
      <c r="G210" s="558">
        <f t="shared" si="23"/>
        <v>2663.4301701940717</v>
      </c>
      <c r="H210" s="434">
        <f t="shared" si="22"/>
        <v>2.6634301701940716E-3</v>
      </c>
    </row>
    <row r="211" spans="1:8">
      <c r="A211" s="150" t="s">
        <v>80</v>
      </c>
      <c r="B211" s="541">
        <f>D91*(1-$C$107)</f>
        <v>93.527121178655904</v>
      </c>
      <c r="C211" s="235">
        <f t="shared" si="19"/>
        <v>16353.986278084496</v>
      </c>
      <c r="D211" s="82">
        <f t="shared" si="20"/>
        <v>24641.89257560956</v>
      </c>
      <c r="E211" s="552">
        <f t="shared" si="21"/>
        <v>5718.9188977117401</v>
      </c>
      <c r="F211" s="555">
        <f t="shared" si="22"/>
        <v>5.7189188977117399E-3</v>
      </c>
      <c r="G211" s="558">
        <f t="shared" si="23"/>
        <v>3795.45202916876</v>
      </c>
      <c r="H211" s="434">
        <f t="shared" si="22"/>
        <v>3.7954520291687598E-3</v>
      </c>
    </row>
    <row r="212" spans="1:8">
      <c r="A212" s="150" t="s">
        <v>81</v>
      </c>
      <c r="B212" s="541">
        <f>D92*(1-$C$107)</f>
        <v>62.86556879304073</v>
      </c>
      <c r="C212" s="235">
        <f t="shared" si="19"/>
        <v>16353.986278084496</v>
      </c>
      <c r="D212" s="82">
        <f t="shared" si="20"/>
        <v>24641.89257560956</v>
      </c>
      <c r="E212" s="552">
        <f t="shared" si="21"/>
        <v>3844.0517023843331</v>
      </c>
      <c r="F212" s="555">
        <f t="shared" si="22"/>
        <v>3.8440517023843332E-3</v>
      </c>
      <c r="G212" s="558">
        <f t="shared" si="23"/>
        <v>2551.1664171146012</v>
      </c>
      <c r="H212" s="434">
        <f t="shared" si="22"/>
        <v>2.5511664171146012E-3</v>
      </c>
    </row>
    <row r="213" spans="1:8">
      <c r="A213" s="150" t="s">
        <v>82</v>
      </c>
      <c r="B213" s="541">
        <f>D93*(1-$C$107)</f>
        <v>1.0713297024672928</v>
      </c>
      <c r="C213" s="235">
        <f t="shared" si="19"/>
        <v>16353.986278084496</v>
      </c>
      <c r="D213" s="82">
        <f t="shared" si="20"/>
        <v>24641.89257560956</v>
      </c>
      <c r="E213" s="552">
        <f t="shared" si="21"/>
        <v>65.508780810397923</v>
      </c>
      <c r="F213" s="555">
        <f t="shared" si="22"/>
        <v>6.5508780810397929E-5</v>
      </c>
      <c r="G213" s="558">
        <f t="shared" si="23"/>
        <v>43.475950525313564</v>
      </c>
      <c r="H213" s="434">
        <f t="shared" si="22"/>
        <v>4.3475950525313562E-5</v>
      </c>
    </row>
    <row r="214" spans="1:8">
      <c r="A214" s="150" t="s">
        <v>630</v>
      </c>
      <c r="B214" s="541">
        <f>B94*0.44*(1-$C$107)</f>
        <v>425.43100770432784</v>
      </c>
      <c r="C214" s="235">
        <f t="shared" si="19"/>
        <v>16353.986278084496</v>
      </c>
      <c r="D214" s="82">
        <f t="shared" si="20"/>
        <v>24641.89257560956</v>
      </c>
      <c r="E214" s="552">
        <f t="shared" si="21"/>
        <v>26013.90269444188</v>
      </c>
      <c r="F214" s="555">
        <f t="shared" si="22"/>
        <v>2.6013902694441881E-2</v>
      </c>
      <c r="G214" s="558">
        <f t="shared" si="23"/>
        <v>17264.542745609466</v>
      </c>
      <c r="H214" s="434">
        <f t="shared" si="22"/>
        <v>1.7264542745609467E-2</v>
      </c>
    </row>
    <row r="215" spans="1:8">
      <c r="A215" s="151" t="s">
        <v>96</v>
      </c>
      <c r="B215" s="541">
        <f>D95*(1-$C$107)</f>
        <v>0</v>
      </c>
      <c r="C215" s="235">
        <f t="shared" si="19"/>
        <v>16353.986278084496</v>
      </c>
      <c r="D215" s="82">
        <f t="shared" si="20"/>
        <v>24641.89257560956</v>
      </c>
      <c r="E215" s="552">
        <f t="shared" si="21"/>
        <v>0</v>
      </c>
      <c r="F215" s="555">
        <f t="shared" si="22"/>
        <v>0</v>
      </c>
      <c r="G215" s="558">
        <f t="shared" si="23"/>
        <v>0</v>
      </c>
      <c r="H215" s="434">
        <f t="shared" si="22"/>
        <v>0</v>
      </c>
    </row>
    <row r="216" spans="1:8">
      <c r="A216" s="150" t="s">
        <v>97</v>
      </c>
      <c r="B216" s="541">
        <f>B214+B215</f>
        <v>425.43100770432784</v>
      </c>
      <c r="C216" s="235">
        <f t="shared" si="19"/>
        <v>16353.986278084496</v>
      </c>
      <c r="D216" s="82">
        <f t="shared" si="20"/>
        <v>24641.89257560956</v>
      </c>
      <c r="E216" s="552">
        <f t="shared" si="21"/>
        <v>26013.90269444188</v>
      </c>
      <c r="F216" s="555">
        <f t="shared" si="22"/>
        <v>2.6013902694441881E-2</v>
      </c>
      <c r="G216" s="558">
        <f t="shared" si="23"/>
        <v>17264.542745609466</v>
      </c>
      <c r="H216" s="434">
        <f t="shared" si="22"/>
        <v>1.7264542745609467E-2</v>
      </c>
    </row>
    <row r="217" spans="1:8">
      <c r="A217" s="151" t="s">
        <v>84</v>
      </c>
      <c r="B217" s="541">
        <f>D97*(1-$C$107)</f>
        <v>1.3874034095626235</v>
      </c>
      <c r="C217" s="235">
        <f t="shared" si="19"/>
        <v>16353.986278084496</v>
      </c>
      <c r="D217" s="82">
        <f t="shared" si="20"/>
        <v>24641.89257560956</v>
      </c>
      <c r="E217" s="552">
        <f t="shared" si="21"/>
        <v>84.835793914162849</v>
      </c>
      <c r="F217" s="555">
        <f t="shared" si="22"/>
        <v>8.4835793914162855E-5</v>
      </c>
      <c r="G217" s="558">
        <f t="shared" si="23"/>
        <v>56.302632003836813</v>
      </c>
      <c r="H217" s="434">
        <f t="shared" si="22"/>
        <v>5.6302632003836815E-5</v>
      </c>
    </row>
    <row r="218" spans="1:8">
      <c r="A218" s="151" t="s">
        <v>631</v>
      </c>
      <c r="B218" s="541">
        <f>D98*(1-$C$107)</f>
        <v>223.89908547389823</v>
      </c>
      <c r="C218" s="235">
        <f t="shared" si="19"/>
        <v>16353.986278084496</v>
      </c>
      <c r="D218" s="82">
        <f t="shared" si="20"/>
        <v>24641.89257560956</v>
      </c>
      <c r="E218" s="552">
        <f t="shared" si="21"/>
        <v>13690.795728130146</v>
      </c>
      <c r="F218" s="555">
        <f t="shared" si="22"/>
        <v>1.3690795728130147E-2</v>
      </c>
      <c r="G218" s="558">
        <f t="shared" si="23"/>
        <v>9086.115637705223</v>
      </c>
      <c r="H218" s="434">
        <f t="shared" si="22"/>
        <v>9.0861156377052225E-3</v>
      </c>
    </row>
    <row r="219" spans="1:8">
      <c r="A219" s="151" t="s">
        <v>250</v>
      </c>
      <c r="B219" s="541">
        <f>D99*(1-$C$107)</f>
        <v>557.02785113039783</v>
      </c>
      <c r="C219" s="235">
        <f t="shared" si="19"/>
        <v>16353.986278084496</v>
      </c>
      <c r="D219" s="82">
        <f t="shared" si="20"/>
        <v>24641.89257560956</v>
      </c>
      <c r="E219" s="552">
        <f t="shared" si="21"/>
        <v>34060.677418866049</v>
      </c>
      <c r="F219" s="555">
        <f t="shared" si="22"/>
        <v>3.406067741886605E-2</v>
      </c>
      <c r="G219" s="558">
        <f t="shared" si="23"/>
        <v>22604.913539869161</v>
      </c>
      <c r="H219" s="434">
        <f t="shared" si="22"/>
        <v>2.2604913539869161E-2</v>
      </c>
    </row>
    <row r="220" spans="1:8">
      <c r="A220" s="151" t="s">
        <v>251</v>
      </c>
      <c r="B220" s="541">
        <f>D100*(1-$C$107)</f>
        <v>780.92693660429597</v>
      </c>
      <c r="C220" s="235">
        <f t="shared" si="19"/>
        <v>16353.986278084496</v>
      </c>
      <c r="D220" s="82">
        <f t="shared" si="20"/>
        <v>24641.89257560956</v>
      </c>
      <c r="E220" s="552">
        <f t="shared" si="21"/>
        <v>47751.473146996192</v>
      </c>
      <c r="F220" s="555">
        <f t="shared" ref="F220:H223" si="24">E220/1000000</f>
        <v>4.7751473146996189E-2</v>
      </c>
      <c r="G220" s="558">
        <f t="shared" si="23"/>
        <v>31691.029177574375</v>
      </c>
      <c r="H220" s="434">
        <f t="shared" ref="H220" si="25">G220/1000000</f>
        <v>3.1691029177574374E-2</v>
      </c>
    </row>
    <row r="221" spans="1:8">
      <c r="A221" s="151" t="s">
        <v>238</v>
      </c>
      <c r="B221" s="541">
        <f>D101*(1-$C$107)</f>
        <v>2342.7808098128876</v>
      </c>
      <c r="C221" s="235">
        <f t="shared" si="19"/>
        <v>16353.986278084496</v>
      </c>
      <c r="D221" s="82">
        <f t="shared" si="20"/>
        <v>24641.89257560956</v>
      </c>
      <c r="E221" s="552">
        <f t="shared" si="21"/>
        <v>143254.41944098854</v>
      </c>
      <c r="F221" s="555">
        <f t="shared" si="24"/>
        <v>0.14325441944098855</v>
      </c>
      <c r="G221" s="558">
        <f t="shared" si="23"/>
        <v>95073.087532723119</v>
      </c>
      <c r="H221" s="434">
        <f t="shared" si="24"/>
        <v>9.5073087532723116E-2</v>
      </c>
    </row>
    <row r="222" spans="1:8">
      <c r="A222" s="151" t="s">
        <v>239</v>
      </c>
      <c r="B222" s="541">
        <f>D102*(1-$C$107)</f>
        <v>3318.9394805682582</v>
      </c>
      <c r="C222" s="235">
        <f t="shared" si="19"/>
        <v>16353.986278084496</v>
      </c>
      <c r="D222" s="82">
        <f t="shared" si="20"/>
        <v>24641.89257560956</v>
      </c>
      <c r="E222" s="552">
        <f t="shared" si="21"/>
        <v>202943.76087473382</v>
      </c>
      <c r="F222" s="555">
        <f t="shared" si="24"/>
        <v>0.20294376087473381</v>
      </c>
      <c r="G222" s="558">
        <f t="shared" si="23"/>
        <v>134686.87400469111</v>
      </c>
      <c r="H222" s="434">
        <f t="shared" si="24"/>
        <v>0.13468687400469112</v>
      </c>
    </row>
    <row r="223" spans="1:8" ht="14.65" thickBot="1">
      <c r="A223" s="152" t="s">
        <v>86</v>
      </c>
      <c r="B223" s="542">
        <f>D103*(1-$C$107)</f>
        <v>21.427022457708095</v>
      </c>
      <c r="C223" s="236">
        <f t="shared" si="19"/>
        <v>16353.986278084496</v>
      </c>
      <c r="D223" s="237">
        <f t="shared" si="20"/>
        <v>24641.89257560956</v>
      </c>
      <c r="E223" s="553">
        <f t="shared" si="21"/>
        <v>1310.201812167461</v>
      </c>
      <c r="F223" s="556">
        <f t="shared" si="24"/>
        <v>1.3102018121674609E-3</v>
      </c>
      <c r="G223" s="559">
        <f t="shared" si="23"/>
        <v>869.53639587393013</v>
      </c>
      <c r="H223" s="439">
        <f t="shared" si="24"/>
        <v>8.6953639587393017E-4</v>
      </c>
    </row>
    <row r="224" spans="1:8">
      <c r="A224" s="145"/>
      <c r="B224" s="146"/>
      <c r="C224" s="95"/>
    </row>
    <row r="225" spans="1:3">
      <c r="A225" s="1" t="s">
        <v>199</v>
      </c>
      <c r="B225" s="1"/>
      <c r="C225" s="1"/>
    </row>
    <row r="226" spans="1:3" ht="14.65" thickBot="1">
      <c r="A226" s="79" t="s">
        <v>360</v>
      </c>
      <c r="B226" s="79"/>
      <c r="C226" s="79"/>
    </row>
    <row r="227" spans="1:3">
      <c r="A227" s="919" t="s">
        <v>100</v>
      </c>
      <c r="B227" s="923">
        <v>0.05</v>
      </c>
      <c r="C227" s="202" t="s">
        <v>101</v>
      </c>
    </row>
    <row r="228" spans="1:3">
      <c r="A228" s="920" t="s">
        <v>102</v>
      </c>
      <c r="B228" s="924">
        <v>1.86</v>
      </c>
      <c r="C228" s="72" t="s">
        <v>103</v>
      </c>
    </row>
    <row r="229" spans="1:3">
      <c r="A229" s="920" t="s">
        <v>104</v>
      </c>
      <c r="B229" s="924">
        <v>0.997</v>
      </c>
      <c r="C229" s="72" t="s">
        <v>103</v>
      </c>
    </row>
    <row r="230" spans="1:3">
      <c r="A230" s="920" t="s">
        <v>105</v>
      </c>
      <c r="B230" s="924">
        <v>1.0206786471090072</v>
      </c>
      <c r="C230" s="72" t="s">
        <v>103</v>
      </c>
    </row>
    <row r="231" spans="1:3">
      <c r="A231" s="921" t="s">
        <v>475</v>
      </c>
      <c r="B231" s="924">
        <v>0.02</v>
      </c>
      <c r="C231" s="72" t="s">
        <v>25</v>
      </c>
    </row>
    <row r="232" spans="1:3">
      <c r="A232" s="922" t="s">
        <v>646</v>
      </c>
      <c r="B232" s="925">
        <v>0.9</v>
      </c>
      <c r="C232" s="72" t="s">
        <v>237</v>
      </c>
    </row>
    <row r="233" spans="1:3" ht="14.65" thickBot="1">
      <c r="A233" s="233" t="s">
        <v>476</v>
      </c>
      <c r="B233" s="927">
        <f>B231*B232</f>
        <v>1.8000000000000002E-2</v>
      </c>
      <c r="C233" s="76" t="s">
        <v>25</v>
      </c>
    </row>
    <row r="235" spans="1:3" ht="14.65" thickBot="1">
      <c r="A235" s="79" t="s">
        <v>271</v>
      </c>
    </row>
    <row r="236" spans="1:3" ht="14.65" thickBot="1">
      <c r="A236" s="103" t="s">
        <v>53</v>
      </c>
      <c r="B236" s="102" t="s">
        <v>18</v>
      </c>
      <c r="C236" s="17" t="s">
        <v>106</v>
      </c>
    </row>
    <row r="237" spans="1:3">
      <c r="A237" s="92" t="s">
        <v>9</v>
      </c>
      <c r="B237" s="270" t="s">
        <v>35</v>
      </c>
      <c r="C237" s="383">
        <f>$C$146</f>
        <v>31392.111355159675</v>
      </c>
    </row>
    <row r="238" spans="1:3">
      <c r="A238" s="392" t="s">
        <v>200</v>
      </c>
      <c r="B238" s="278" t="s">
        <v>108</v>
      </c>
      <c r="C238" s="450">
        <v>1.3</v>
      </c>
    </row>
    <row r="239" spans="1:3">
      <c r="A239" s="257" t="s">
        <v>201</v>
      </c>
      <c r="B239" s="278" t="s">
        <v>110</v>
      </c>
      <c r="C239" s="279">
        <f>C237/C238</f>
        <v>24147.777965507441</v>
      </c>
    </row>
    <row r="240" spans="1:3">
      <c r="A240" s="281" t="s">
        <v>334</v>
      </c>
      <c r="B240" s="305" t="s">
        <v>25</v>
      </c>
      <c r="C240" s="306">
        <f>$B$233</f>
        <v>1.8000000000000002E-2</v>
      </c>
    </row>
    <row r="241" spans="1:3">
      <c r="A241" s="281" t="s">
        <v>111</v>
      </c>
      <c r="B241" s="278" t="s">
        <v>110</v>
      </c>
      <c r="C241" s="289">
        <f>C239*C240</f>
        <v>434.66000337913397</v>
      </c>
    </row>
    <row r="242" spans="1:3">
      <c r="A242" s="281" t="s">
        <v>112</v>
      </c>
      <c r="B242" s="278" t="s">
        <v>108</v>
      </c>
      <c r="C242" s="307">
        <f>B230</f>
        <v>1.0206786471090072</v>
      </c>
    </row>
    <row r="243" spans="1:3" ht="14.65" thickBot="1">
      <c r="A243" s="255" t="s">
        <v>334</v>
      </c>
      <c r="B243" s="271" t="s">
        <v>35</v>
      </c>
      <c r="C243" s="280">
        <f>C241*C242</f>
        <v>443.64818420141097</v>
      </c>
    </row>
    <row r="244" spans="1:3">
      <c r="A244" s="79"/>
      <c r="B244" s="79"/>
      <c r="C244" s="79"/>
    </row>
    <row r="245" spans="1:3" ht="14.65" thickBot="1">
      <c r="A245" s="79" t="s">
        <v>373</v>
      </c>
    </row>
    <row r="246" spans="1:3" ht="14.65" thickBot="1">
      <c r="A246" s="905" t="s">
        <v>23</v>
      </c>
      <c r="B246" s="1070">
        <v>1.8</v>
      </c>
      <c r="C246" s="1071"/>
    </row>
    <row r="247" spans="1:3" ht="14.65" thickBot="1">
      <c r="A247" s="2"/>
      <c r="B247" s="1072" t="s">
        <v>120</v>
      </c>
      <c r="C247" s="1073"/>
    </row>
    <row r="248" spans="1:3">
      <c r="A248" s="703" t="s">
        <v>77</v>
      </c>
      <c r="B248" s="880" t="s">
        <v>157</v>
      </c>
      <c r="C248" s="906">
        <v>0.99</v>
      </c>
    </row>
    <row r="249" spans="1:3">
      <c r="A249" s="232" t="s">
        <v>73</v>
      </c>
      <c r="B249" s="881" t="s">
        <v>158</v>
      </c>
      <c r="C249" s="882">
        <v>0.9</v>
      </c>
    </row>
    <row r="250" spans="1:3">
      <c r="A250" s="232" t="s">
        <v>86</v>
      </c>
      <c r="B250" s="881" t="s">
        <v>159</v>
      </c>
      <c r="C250" s="882">
        <v>0.95</v>
      </c>
    </row>
    <row r="251" spans="1:3">
      <c r="A251" s="232" t="s">
        <v>82</v>
      </c>
      <c r="B251" s="881" t="s">
        <v>160</v>
      </c>
      <c r="C251" s="907">
        <v>2.5000000000000001E-2</v>
      </c>
    </row>
    <row r="252" spans="1:3">
      <c r="A252" s="232" t="s">
        <v>72</v>
      </c>
      <c r="B252" s="881" t="s">
        <v>160</v>
      </c>
      <c r="C252" s="907">
        <v>2.5000000000000001E-2</v>
      </c>
    </row>
    <row r="253" spans="1:3">
      <c r="A253" s="232" t="s">
        <v>78</v>
      </c>
      <c r="B253" s="881" t="s">
        <v>160</v>
      </c>
      <c r="C253" s="907">
        <v>2.5000000000000001E-2</v>
      </c>
    </row>
    <row r="254" spans="1:3">
      <c r="A254" s="232" t="s">
        <v>80</v>
      </c>
      <c r="B254" s="881" t="s">
        <v>160</v>
      </c>
      <c r="C254" s="907">
        <v>2.5000000000000001E-2</v>
      </c>
    </row>
    <row r="255" spans="1:3">
      <c r="A255" s="232" t="s">
        <v>83</v>
      </c>
      <c r="B255" s="881" t="s">
        <v>160</v>
      </c>
      <c r="C255" s="907">
        <v>2.5000000000000001E-2</v>
      </c>
    </row>
    <row r="256" spans="1:3">
      <c r="A256" s="232" t="s">
        <v>79</v>
      </c>
      <c r="B256" s="881" t="s">
        <v>160</v>
      </c>
      <c r="C256" s="907">
        <v>2.5000000000000001E-2</v>
      </c>
    </row>
    <row r="257" spans="1:4">
      <c r="A257" s="232" t="s">
        <v>75</v>
      </c>
      <c r="B257" s="881" t="s">
        <v>322</v>
      </c>
      <c r="C257" s="907">
        <v>2.5000000000000001E-2</v>
      </c>
    </row>
    <row r="258" spans="1:4" ht="14.65" thickBot="1">
      <c r="A258" s="233" t="s">
        <v>84</v>
      </c>
      <c r="B258" s="883" t="s">
        <v>323</v>
      </c>
      <c r="C258" s="910">
        <v>2.5000000000000001E-2</v>
      </c>
    </row>
    <row r="259" spans="1:4">
      <c r="A259" s="78"/>
      <c r="B259" s="97"/>
      <c r="C259" s="98"/>
    </row>
    <row r="260" spans="1:4" ht="14.65" thickBot="1">
      <c r="A260" s="79" t="s">
        <v>273</v>
      </c>
    </row>
    <row r="261" spans="1:4">
      <c r="A261" s="18"/>
      <c r="B261" s="266" t="s">
        <v>120</v>
      </c>
      <c r="C261" s="274" t="s">
        <v>243</v>
      </c>
      <c r="D261" s="275" t="s">
        <v>244</v>
      </c>
    </row>
    <row r="262" spans="1:4" ht="14.65" thickBot="1">
      <c r="A262" s="21"/>
      <c r="B262" s="351" t="s">
        <v>237</v>
      </c>
      <c r="C262" s="325" t="s">
        <v>35</v>
      </c>
      <c r="D262" s="326" t="s">
        <v>35</v>
      </c>
    </row>
    <row r="263" spans="1:4">
      <c r="A263" s="106" t="s">
        <v>72</v>
      </c>
      <c r="B263" s="632">
        <f>C252</f>
        <v>2.5000000000000001E-2</v>
      </c>
      <c r="C263" s="378">
        <f>B177</f>
        <v>147.47998583893704</v>
      </c>
      <c r="D263" s="362">
        <f>C263*B263</f>
        <v>3.686999645973426</v>
      </c>
    </row>
    <row r="264" spans="1:4">
      <c r="A264" s="107" t="s">
        <v>73</v>
      </c>
      <c r="B264" s="363">
        <f>C249</f>
        <v>0.9</v>
      </c>
      <c r="C264" s="378">
        <f>B178</f>
        <v>0.1538336003900779</v>
      </c>
      <c r="D264" s="362">
        <f t="shared" ref="D264:D276" si="26">C264*B264</f>
        <v>0.13845024035107012</v>
      </c>
    </row>
    <row r="265" spans="1:4">
      <c r="A265" s="107" t="s">
        <v>75</v>
      </c>
      <c r="B265" s="633">
        <f>C257</f>
        <v>2.5000000000000001E-2</v>
      </c>
      <c r="C265" s="378">
        <f>B180</f>
        <v>2.3219164419515374E-2</v>
      </c>
      <c r="D265" s="362">
        <f t="shared" si="26"/>
        <v>5.8047911048788442E-4</v>
      </c>
    </row>
    <row r="266" spans="1:4">
      <c r="A266" s="108" t="s">
        <v>77</v>
      </c>
      <c r="B266" s="363">
        <f>C248</f>
        <v>0.99</v>
      </c>
      <c r="C266" s="378">
        <f>B182</f>
        <v>1.7315261642911102</v>
      </c>
      <c r="D266" s="362">
        <f t="shared" si="26"/>
        <v>1.7142109026481991</v>
      </c>
    </row>
    <row r="267" spans="1:4">
      <c r="A267" s="108" t="s">
        <v>78</v>
      </c>
      <c r="B267" s="633">
        <f>C253</f>
        <v>2.5000000000000001E-2</v>
      </c>
      <c r="C267" s="378">
        <f>B183</f>
        <v>195.21736702643099</v>
      </c>
      <c r="D267" s="362">
        <f t="shared" si="26"/>
        <v>4.880434175660775</v>
      </c>
    </row>
    <row r="268" spans="1:4">
      <c r="A268" s="108" t="s">
        <v>79</v>
      </c>
      <c r="B268" s="633">
        <f>C256</f>
        <v>2.5000000000000001E-2</v>
      </c>
      <c r="C268" s="378">
        <f>B184</f>
        <v>31.864837400486895</v>
      </c>
      <c r="D268" s="362">
        <f t="shared" si="26"/>
        <v>0.79662093501217246</v>
      </c>
    </row>
    <row r="269" spans="1:4">
      <c r="A269" s="108" t="s">
        <v>80</v>
      </c>
      <c r="B269" s="633">
        <f>C254</f>
        <v>2.5000000000000001E-2</v>
      </c>
      <c r="C269" s="378">
        <f>B185</f>
        <v>59.292889541623836</v>
      </c>
      <c r="D269" s="362">
        <f t="shared" si="26"/>
        <v>1.4823222385405961</v>
      </c>
    </row>
    <row r="270" spans="1:4">
      <c r="A270" s="108" t="s">
        <v>82</v>
      </c>
      <c r="B270" s="633">
        <f>C251</f>
        <v>2.5000000000000001E-2</v>
      </c>
      <c r="C270" s="378">
        <f>B187</f>
        <v>0.40948435489975904</v>
      </c>
      <c r="D270" s="362">
        <f t="shared" si="26"/>
        <v>1.0237108872493976E-2</v>
      </c>
    </row>
    <row r="271" spans="1:4">
      <c r="A271" s="108" t="s">
        <v>630</v>
      </c>
      <c r="B271" s="633">
        <f>C255</f>
        <v>2.5000000000000001E-2</v>
      </c>
      <c r="C271" s="576">
        <f>B188</f>
        <v>541.45764616914448</v>
      </c>
      <c r="D271" s="362">
        <f t="shared" si="26"/>
        <v>13.536441154228612</v>
      </c>
    </row>
    <row r="272" spans="1:4">
      <c r="A272" s="575" t="s">
        <v>96</v>
      </c>
      <c r="B272" s="633">
        <f>C255</f>
        <v>2.5000000000000001E-2</v>
      </c>
      <c r="C272" s="577">
        <f>B189</f>
        <v>2818.0193718645473</v>
      </c>
      <c r="D272" s="362">
        <f t="shared" si="26"/>
        <v>70.450484296613681</v>
      </c>
    </row>
    <row r="273" spans="1:4">
      <c r="A273" s="575" t="s">
        <v>274</v>
      </c>
      <c r="B273" s="662">
        <f>C255</f>
        <v>2.5000000000000001E-2</v>
      </c>
      <c r="C273" s="577">
        <f>C271+C272</f>
        <v>3359.4770180336918</v>
      </c>
      <c r="D273" s="362">
        <f t="shared" si="26"/>
        <v>83.986925450842307</v>
      </c>
    </row>
    <row r="274" spans="1:4">
      <c r="A274" s="575" t="s">
        <v>84</v>
      </c>
      <c r="B274" s="662">
        <f>C258</f>
        <v>2.5000000000000001E-2</v>
      </c>
      <c r="C274" s="577">
        <f>B191</f>
        <v>8.1564135345491867E-2</v>
      </c>
      <c r="D274" s="362">
        <f t="shared" si="26"/>
        <v>2.0391033836372969E-3</v>
      </c>
    </row>
    <row r="275" spans="1:4">
      <c r="A275" s="575" t="s">
        <v>248</v>
      </c>
      <c r="B275" s="574">
        <v>1</v>
      </c>
      <c r="C275" s="577">
        <f>C243*B227*32/78</f>
        <v>9.1004755733622762</v>
      </c>
      <c r="D275" s="362">
        <f t="shared" si="26"/>
        <v>9.1004755733622762</v>
      </c>
    </row>
    <row r="276" spans="1:4" ht="14.65" thickBot="1">
      <c r="A276" s="109" t="s">
        <v>86</v>
      </c>
      <c r="B276" s="116">
        <f>C250</f>
        <v>0.95</v>
      </c>
      <c r="C276" s="236">
        <f>B197</f>
        <v>6.4478213581692865</v>
      </c>
      <c r="D276" s="125">
        <f t="shared" si="26"/>
        <v>6.1254302902608222</v>
      </c>
    </row>
    <row r="278" spans="1:4" ht="14.65" thickBot="1">
      <c r="A278" s="79" t="s">
        <v>272</v>
      </c>
      <c r="D278" s="99"/>
    </row>
    <row r="279" spans="1:4" ht="14.65" thickBot="1">
      <c r="A279" s="16" t="s">
        <v>90</v>
      </c>
      <c r="B279" s="101" t="s">
        <v>18</v>
      </c>
      <c r="C279" s="17" t="s">
        <v>91</v>
      </c>
    </row>
    <row r="280" spans="1:4">
      <c r="A280" s="272" t="s">
        <v>9</v>
      </c>
      <c r="B280" s="278" t="s">
        <v>35</v>
      </c>
      <c r="C280" s="279">
        <f>$C$237</f>
        <v>31392.111355159675</v>
      </c>
    </row>
    <row r="281" spans="1:4">
      <c r="A281" s="281" t="s">
        <v>334</v>
      </c>
      <c r="B281" s="278" t="s">
        <v>35</v>
      </c>
      <c r="C281" s="289">
        <f>$C$243</f>
        <v>443.64818420141097</v>
      </c>
    </row>
    <row r="282" spans="1:4" ht="14.65" thickBot="1">
      <c r="A282" s="255" t="s">
        <v>6</v>
      </c>
      <c r="B282" s="271" t="s">
        <v>35</v>
      </c>
      <c r="C282" s="280">
        <f>C280+C281</f>
        <v>31835.759539361086</v>
      </c>
    </row>
    <row r="283" spans="1:4">
      <c r="B283" s="77"/>
      <c r="C283" s="83"/>
    </row>
    <row r="284" spans="1:4" ht="14.65" thickBot="1">
      <c r="A284" s="79" t="s">
        <v>203</v>
      </c>
      <c r="B284" s="79"/>
      <c r="C284" s="79"/>
      <c r="D284" s="99"/>
    </row>
    <row r="285" spans="1:4" ht="14.65" thickBot="1">
      <c r="A285" s="191" t="s">
        <v>90</v>
      </c>
      <c r="B285" s="192" t="s">
        <v>18</v>
      </c>
      <c r="C285" s="193" t="s">
        <v>106</v>
      </c>
      <c r="D285" s="99"/>
    </row>
    <row r="286" spans="1:4">
      <c r="A286" s="272" t="s">
        <v>202</v>
      </c>
      <c r="B286" s="298" t="s">
        <v>35</v>
      </c>
      <c r="C286" s="313">
        <f>$C$162</f>
        <v>5916.194814633398</v>
      </c>
      <c r="D286" s="99"/>
    </row>
    <row r="287" spans="1:4">
      <c r="A287" s="257" t="s">
        <v>115</v>
      </c>
      <c r="B287" s="278" t="s">
        <v>24</v>
      </c>
      <c r="C287" s="312">
        <v>0.05</v>
      </c>
      <c r="D287" s="99"/>
    </row>
    <row r="288" spans="1:4">
      <c r="A288" s="257" t="s">
        <v>334</v>
      </c>
      <c r="B288" s="278" t="s">
        <v>35</v>
      </c>
      <c r="C288" s="295">
        <f>$C$243</f>
        <v>443.64818420141097</v>
      </c>
      <c r="D288" s="99"/>
    </row>
    <row r="289" spans="1:12">
      <c r="A289" s="257" t="s">
        <v>429</v>
      </c>
      <c r="B289" s="278" t="s">
        <v>35</v>
      </c>
      <c r="C289" s="295">
        <f>C288*C287</f>
        <v>22.182409210070549</v>
      </c>
      <c r="D289" s="99"/>
    </row>
    <row r="290" spans="1:12">
      <c r="A290" s="257" t="s">
        <v>337</v>
      </c>
      <c r="B290" s="278" t="s">
        <v>35</v>
      </c>
      <c r="C290" s="279">
        <f>C286+C289</f>
        <v>5938.3772238434685</v>
      </c>
      <c r="D290" s="99"/>
    </row>
    <row r="291" spans="1:12">
      <c r="A291" s="257" t="s">
        <v>6</v>
      </c>
      <c r="B291" s="278" t="s">
        <v>35</v>
      </c>
      <c r="C291" s="289">
        <f>$C$282</f>
        <v>31835.759539361086</v>
      </c>
      <c r="D291" s="99"/>
    </row>
    <row r="292" spans="1:12">
      <c r="A292" s="299" t="s">
        <v>64</v>
      </c>
      <c r="B292" s="260" t="s">
        <v>24</v>
      </c>
      <c r="C292" s="300">
        <f>C290/C291</f>
        <v>0.1865316646992945</v>
      </c>
      <c r="D292" s="99"/>
    </row>
    <row r="293" spans="1:12">
      <c r="A293" s="257" t="s">
        <v>342</v>
      </c>
      <c r="B293" s="278" t="s">
        <v>35</v>
      </c>
      <c r="C293" s="279">
        <f>$C$169</f>
        <v>25475.916540526276</v>
      </c>
    </row>
    <row r="294" spans="1:12">
      <c r="A294" s="257" t="s">
        <v>117</v>
      </c>
      <c r="B294" s="278" t="s">
        <v>24</v>
      </c>
      <c r="C294" s="312">
        <f>1-C287</f>
        <v>0.95</v>
      </c>
    </row>
    <row r="295" spans="1:12">
      <c r="A295" s="257" t="s">
        <v>334</v>
      </c>
      <c r="B295" s="278" t="s">
        <v>35</v>
      </c>
      <c r="C295" s="295">
        <f>$C$243</f>
        <v>443.64818420141097</v>
      </c>
    </row>
    <row r="296" spans="1:12">
      <c r="A296" s="257" t="s">
        <v>356</v>
      </c>
      <c r="B296" s="278" t="s">
        <v>35</v>
      </c>
      <c r="C296" s="279">
        <f>C294*C295</f>
        <v>421.46577499134042</v>
      </c>
    </row>
    <row r="297" spans="1:12">
      <c r="A297" s="257" t="s">
        <v>335</v>
      </c>
      <c r="B297" s="278" t="s">
        <v>35</v>
      </c>
      <c r="C297" s="279">
        <f>C293+C296</f>
        <v>25897.382315517618</v>
      </c>
    </row>
    <row r="298" spans="1:12">
      <c r="A298" s="257" t="s">
        <v>6</v>
      </c>
      <c r="B298" s="278" t="s">
        <v>35</v>
      </c>
      <c r="C298" s="289">
        <f>$C$282</f>
        <v>31835.759539361086</v>
      </c>
    </row>
    <row r="299" spans="1:12" ht="14.65" thickBot="1">
      <c r="A299" s="366" t="s">
        <v>66</v>
      </c>
      <c r="B299" s="365" t="s">
        <v>24</v>
      </c>
      <c r="C299" s="303">
        <f>C297/C298</f>
        <v>0.8134683353007055</v>
      </c>
    </row>
    <row r="300" spans="1:12">
      <c r="A300" s="83"/>
      <c r="B300" s="77"/>
      <c r="C300" s="96"/>
    </row>
    <row r="301" spans="1:12" ht="14.65" thickBot="1">
      <c r="A301" s="79" t="s">
        <v>124</v>
      </c>
    </row>
    <row r="302" spans="1:12" ht="14.65" thickBot="1">
      <c r="A302" s="419"/>
      <c r="B302" s="1062" t="s">
        <v>262</v>
      </c>
      <c r="C302" s="1063"/>
      <c r="D302" s="1063"/>
      <c r="E302" s="1063"/>
      <c r="F302" s="1064"/>
      <c r="G302" s="1062" t="s">
        <v>263</v>
      </c>
      <c r="H302" s="1063"/>
      <c r="I302" s="1063"/>
      <c r="J302" s="1063"/>
      <c r="K302" s="1063"/>
      <c r="L302" s="1066"/>
    </row>
    <row r="303" spans="1:12">
      <c r="A303" s="452"/>
      <c r="B303" s="1024" t="s">
        <v>275</v>
      </c>
      <c r="C303" s="1041" t="s">
        <v>243</v>
      </c>
      <c r="D303" s="1041" t="s">
        <v>256</v>
      </c>
      <c r="E303" s="1041" t="s">
        <v>337</v>
      </c>
      <c r="F303" s="1083" t="s">
        <v>276</v>
      </c>
      <c r="G303" s="1022" t="s">
        <v>269</v>
      </c>
      <c r="H303" s="1054"/>
      <c r="I303" s="1022" t="s">
        <v>277</v>
      </c>
      <c r="J303" s="1032"/>
      <c r="K303" s="1032"/>
      <c r="L303" s="1023"/>
    </row>
    <row r="304" spans="1:12">
      <c r="A304" s="219" t="s">
        <v>93</v>
      </c>
      <c r="B304" s="1067"/>
      <c r="C304" s="1042"/>
      <c r="D304" s="1042"/>
      <c r="E304" s="1042"/>
      <c r="F304" s="1084"/>
      <c r="G304" s="1033"/>
      <c r="H304" s="1046"/>
      <c r="I304" s="1033" t="s">
        <v>243</v>
      </c>
      <c r="J304" s="1034"/>
      <c r="K304" s="1034" t="s">
        <v>256</v>
      </c>
      <c r="L304" s="1035"/>
    </row>
    <row r="305" spans="1:12" ht="14.65" thickBot="1">
      <c r="A305" s="220" t="s">
        <v>18</v>
      </c>
      <c r="B305" s="403" t="s">
        <v>35</v>
      </c>
      <c r="C305" s="154" t="s">
        <v>35</v>
      </c>
      <c r="D305" s="154" t="s">
        <v>35</v>
      </c>
      <c r="E305" s="154" t="s">
        <v>35</v>
      </c>
      <c r="F305" s="423" t="s">
        <v>35</v>
      </c>
      <c r="G305" s="403" t="s">
        <v>257</v>
      </c>
      <c r="H305" s="423" t="s">
        <v>237</v>
      </c>
      <c r="I305" s="403" t="s">
        <v>70</v>
      </c>
      <c r="J305" s="154" t="s">
        <v>237</v>
      </c>
      <c r="K305" s="154" t="s">
        <v>70</v>
      </c>
      <c r="L305" s="155" t="s">
        <v>237</v>
      </c>
    </row>
    <row r="306" spans="1:12">
      <c r="A306" s="150" t="s">
        <v>72</v>
      </c>
      <c r="B306" s="540">
        <f>B177</f>
        <v>147.47998583893704</v>
      </c>
      <c r="C306" s="428">
        <f>B306-D306</f>
        <v>143.79298619296361</v>
      </c>
      <c r="D306" s="580">
        <f>D263</f>
        <v>3.686999645973426</v>
      </c>
      <c r="E306" s="428">
        <f>$C$290</f>
        <v>5938.3772238434685</v>
      </c>
      <c r="F306" s="545">
        <f>$C$282</f>
        <v>31835.759539361086</v>
      </c>
      <c r="G306" s="557">
        <f>B306/E306*1000000</f>
        <v>24835.065250954915</v>
      </c>
      <c r="H306" s="554">
        <f>G306/1000000</f>
        <v>2.4835065250954913E-2</v>
      </c>
      <c r="I306" s="557">
        <f>C306/F306*1000000</f>
        <v>4516.7129125718166</v>
      </c>
      <c r="J306" s="430">
        <f>I306/1000000</f>
        <v>4.5167129125718167E-3</v>
      </c>
      <c r="K306" s="431">
        <f>D306/F306*1000000</f>
        <v>115.81315160440555</v>
      </c>
      <c r="L306" s="433">
        <f>K306/1000000</f>
        <v>1.1581315160440555E-4</v>
      </c>
    </row>
    <row r="307" spans="1:12">
      <c r="A307" s="149" t="s">
        <v>73</v>
      </c>
      <c r="B307" s="541">
        <f>B178</f>
        <v>0.1538336003900779</v>
      </c>
      <c r="C307" s="235">
        <f t="shared" ref="C307:C322" si="27">B307-D307</f>
        <v>1.5383360039007782E-2</v>
      </c>
      <c r="D307" s="579">
        <f>D264</f>
        <v>0.13845024035107012</v>
      </c>
      <c r="E307" s="235">
        <f t="shared" ref="E307:E322" si="28">$C$290</f>
        <v>5938.3772238434685</v>
      </c>
      <c r="F307" s="546">
        <f t="shared" ref="F307:F322" si="29">$C$282</f>
        <v>31835.759539361086</v>
      </c>
      <c r="G307" s="558">
        <f t="shared" ref="G307:G322" si="30">B307/E307*1000000</f>
        <v>25.904989627875622</v>
      </c>
      <c r="H307" s="555">
        <f t="shared" ref="H307:H322" si="31">G307/1000000</f>
        <v>2.5904989627875624E-5</v>
      </c>
      <c r="I307" s="558">
        <f t="shared" ref="I307:I322" si="32">C307/F307*1000000</f>
        <v>0.48321008393055953</v>
      </c>
      <c r="J307" s="425">
        <f t="shared" ref="J307:J322" si="33">I307/1000000</f>
        <v>4.8321008393055953E-7</v>
      </c>
      <c r="K307" s="426">
        <f t="shared" ref="K307:K322" si="34">D307/F307*1000000</f>
        <v>4.3488907553750389</v>
      </c>
      <c r="L307" s="434">
        <f t="shared" ref="L307:L322" si="35">K307/1000000</f>
        <v>4.3488907553750387E-6</v>
      </c>
    </row>
    <row r="308" spans="1:12">
      <c r="A308" s="149" t="s">
        <v>74</v>
      </c>
      <c r="B308" s="541">
        <f>B179</f>
        <v>400.06799831618599</v>
      </c>
      <c r="C308" s="235">
        <f t="shared" si="27"/>
        <v>400.06799831618599</v>
      </c>
      <c r="D308" s="579">
        <v>0</v>
      </c>
      <c r="E308" s="235">
        <f t="shared" si="28"/>
        <v>5938.3772238434685</v>
      </c>
      <c r="F308" s="546">
        <f t="shared" si="29"/>
        <v>31835.759539361086</v>
      </c>
      <c r="G308" s="558">
        <f t="shared" si="30"/>
        <v>67369.919969020062</v>
      </c>
      <c r="H308" s="555">
        <f t="shared" si="31"/>
        <v>6.7369919969020059E-2</v>
      </c>
      <c r="I308" s="558">
        <f t="shared" si="32"/>
        <v>12566.623322479554</v>
      </c>
      <c r="J308" s="425">
        <f t="shared" si="33"/>
        <v>1.2566623322479554E-2</v>
      </c>
      <c r="K308" s="426">
        <f t="shared" si="34"/>
        <v>0</v>
      </c>
      <c r="L308" s="434">
        <f t="shared" si="35"/>
        <v>0</v>
      </c>
    </row>
    <row r="309" spans="1:12">
      <c r="A309" s="149" t="s">
        <v>75</v>
      </c>
      <c r="B309" s="541">
        <f>B180</f>
        <v>2.3219164419515374E-2</v>
      </c>
      <c r="C309" s="235">
        <f t="shared" si="27"/>
        <v>2.263868530902749E-2</v>
      </c>
      <c r="D309" s="579">
        <f>D265</f>
        <v>5.8047911048788442E-4</v>
      </c>
      <c r="E309" s="235">
        <f t="shared" si="28"/>
        <v>5938.3772238434685</v>
      </c>
      <c r="F309" s="546">
        <f t="shared" si="29"/>
        <v>31835.759539361086</v>
      </c>
      <c r="G309" s="558">
        <f t="shared" si="30"/>
        <v>3.9100184350510725</v>
      </c>
      <c r="H309" s="555">
        <f t="shared" si="31"/>
        <v>3.9100184350510726E-6</v>
      </c>
      <c r="I309" s="558">
        <f t="shared" si="32"/>
        <v>0.71110869150263178</v>
      </c>
      <c r="J309" s="425">
        <f t="shared" si="33"/>
        <v>7.1110869150263182E-7</v>
      </c>
      <c r="K309" s="426">
        <f t="shared" si="34"/>
        <v>1.8233556192375176E-2</v>
      </c>
      <c r="L309" s="434">
        <f t="shared" si="35"/>
        <v>1.8233556192375175E-8</v>
      </c>
    </row>
    <row r="310" spans="1:12">
      <c r="A310" s="149" t="s">
        <v>76</v>
      </c>
      <c r="B310" s="541">
        <f>B181</f>
        <v>0.23513193774234989</v>
      </c>
      <c r="C310" s="235">
        <f t="shared" si="27"/>
        <v>0.23513193774234989</v>
      </c>
      <c r="D310" s="579">
        <v>0</v>
      </c>
      <c r="E310" s="235">
        <f t="shared" si="28"/>
        <v>5938.3772238434685</v>
      </c>
      <c r="F310" s="546">
        <f t="shared" si="29"/>
        <v>31835.759539361086</v>
      </c>
      <c r="G310" s="558">
        <f t="shared" si="30"/>
        <v>39.595318532184208</v>
      </c>
      <c r="H310" s="555">
        <f t="shared" si="31"/>
        <v>3.9595318532184207E-5</v>
      </c>
      <c r="I310" s="558">
        <f t="shared" si="32"/>
        <v>7.3857806801071462</v>
      </c>
      <c r="J310" s="425">
        <f t="shared" si="33"/>
        <v>7.3857806801071462E-6</v>
      </c>
      <c r="K310" s="426">
        <f t="shared" si="34"/>
        <v>0</v>
      </c>
      <c r="L310" s="434">
        <f t="shared" si="35"/>
        <v>0</v>
      </c>
    </row>
    <row r="311" spans="1:12">
      <c r="A311" s="150" t="s">
        <v>77</v>
      </c>
      <c r="B311" s="541">
        <f>B182</f>
        <v>1.7315261642911102</v>
      </c>
      <c r="C311" s="235">
        <f t="shared" si="27"/>
        <v>1.7315261642911084E-2</v>
      </c>
      <c r="D311" s="579">
        <f>D266</f>
        <v>1.7142109026481991</v>
      </c>
      <c r="E311" s="235">
        <f t="shared" si="28"/>
        <v>5938.3772238434685</v>
      </c>
      <c r="F311" s="546">
        <f t="shared" si="29"/>
        <v>31835.759539361086</v>
      </c>
      <c r="G311" s="558">
        <f t="shared" si="30"/>
        <v>291.58238000421642</v>
      </c>
      <c r="H311" s="555">
        <f t="shared" si="31"/>
        <v>2.9158238000421644E-4</v>
      </c>
      <c r="I311" s="558">
        <f t="shared" si="32"/>
        <v>0.5438934673916872</v>
      </c>
      <c r="J311" s="425">
        <f t="shared" si="33"/>
        <v>5.4389346739168721E-7</v>
      </c>
      <c r="K311" s="426">
        <f t="shared" si="34"/>
        <v>53.845453271777089</v>
      </c>
      <c r="L311" s="434">
        <f t="shared" si="35"/>
        <v>5.384545327177709E-5</v>
      </c>
    </row>
    <row r="312" spans="1:12">
      <c r="A312" s="150" t="s">
        <v>78</v>
      </c>
      <c r="B312" s="541">
        <f>B183</f>
        <v>195.21736702643099</v>
      </c>
      <c r="C312" s="235">
        <f t="shared" si="27"/>
        <v>190.33693285077021</v>
      </c>
      <c r="D312" s="579">
        <f>D267</f>
        <v>4.880434175660775</v>
      </c>
      <c r="E312" s="235">
        <f t="shared" si="28"/>
        <v>5938.3772238434685</v>
      </c>
      <c r="F312" s="546">
        <f t="shared" si="29"/>
        <v>31835.759539361086</v>
      </c>
      <c r="G312" s="558">
        <f t="shared" si="30"/>
        <v>32873.857565431208</v>
      </c>
      <c r="H312" s="555">
        <f t="shared" si="31"/>
        <v>3.2873857565431208E-2</v>
      </c>
      <c r="I312" s="558">
        <f t="shared" si="32"/>
        <v>5978.7149923481957</v>
      </c>
      <c r="J312" s="425">
        <f t="shared" si="33"/>
        <v>5.9787149923481954E-3</v>
      </c>
      <c r="K312" s="426">
        <f t="shared" si="34"/>
        <v>153.30038441918452</v>
      </c>
      <c r="L312" s="434">
        <f t="shared" si="35"/>
        <v>1.5330038441918451E-4</v>
      </c>
    </row>
    <row r="313" spans="1:12">
      <c r="A313" s="150" t="s">
        <v>79</v>
      </c>
      <c r="B313" s="541">
        <f>B184</f>
        <v>31.864837400486895</v>
      </c>
      <c r="C313" s="235">
        <f t="shared" si="27"/>
        <v>31.068216465474723</v>
      </c>
      <c r="D313" s="579">
        <f>D268</f>
        <v>0.79662093501217246</v>
      </c>
      <c r="E313" s="235">
        <f t="shared" si="28"/>
        <v>5938.3772238434685</v>
      </c>
      <c r="F313" s="546">
        <f t="shared" si="29"/>
        <v>31835.759539361086</v>
      </c>
      <c r="G313" s="558">
        <f t="shared" si="30"/>
        <v>5365.9166804939287</v>
      </c>
      <c r="H313" s="555">
        <f t="shared" si="31"/>
        <v>5.3659166804939287E-3</v>
      </c>
      <c r="I313" s="558">
        <f t="shared" si="32"/>
        <v>975.89053677398874</v>
      </c>
      <c r="J313" s="425">
        <f t="shared" si="33"/>
        <v>9.7589053677398874E-4</v>
      </c>
      <c r="K313" s="426">
        <f t="shared" si="34"/>
        <v>25.022834276256123</v>
      </c>
      <c r="L313" s="434">
        <f t="shared" si="35"/>
        <v>2.5022834276256123E-5</v>
      </c>
    </row>
    <row r="314" spans="1:12">
      <c r="A314" s="150" t="s">
        <v>80</v>
      </c>
      <c r="B314" s="541">
        <f>B185</f>
        <v>59.292889541623836</v>
      </c>
      <c r="C314" s="235">
        <f t="shared" si="27"/>
        <v>57.810567303083239</v>
      </c>
      <c r="D314" s="579">
        <f>D269</f>
        <v>1.4823222385405961</v>
      </c>
      <c r="E314" s="235">
        <f t="shared" si="28"/>
        <v>5938.3772238434685</v>
      </c>
      <c r="F314" s="546">
        <f t="shared" si="29"/>
        <v>31835.759539361086</v>
      </c>
      <c r="G314" s="558">
        <f t="shared" si="30"/>
        <v>9984.6957016395081</v>
      </c>
      <c r="H314" s="555">
        <f t="shared" si="31"/>
        <v>9.9846957016395087E-3</v>
      </c>
      <c r="I314" s="558">
        <f t="shared" si="32"/>
        <v>1815.9003629741401</v>
      </c>
      <c r="J314" s="425">
        <f t="shared" si="33"/>
        <v>1.8159003629741402E-3</v>
      </c>
      <c r="K314" s="426">
        <f t="shared" si="34"/>
        <v>46.561547768567699</v>
      </c>
      <c r="L314" s="434">
        <f t="shared" si="35"/>
        <v>4.6561547768567698E-5</v>
      </c>
    </row>
    <row r="315" spans="1:12">
      <c r="A315" s="150" t="s">
        <v>81</v>
      </c>
      <c r="B315" s="541">
        <f>B186+C243*B227*46/78</f>
        <v>46.173115761052493</v>
      </c>
      <c r="C315" s="235">
        <f t="shared" si="27"/>
        <v>46.173115761052493</v>
      </c>
      <c r="D315" s="579">
        <v>0</v>
      </c>
      <c r="E315" s="235">
        <f t="shared" si="28"/>
        <v>5938.3772238434685</v>
      </c>
      <c r="F315" s="546">
        <f t="shared" si="29"/>
        <v>31835.759539361086</v>
      </c>
      <c r="G315" s="558">
        <f t="shared" si="30"/>
        <v>7775.3760026662776</v>
      </c>
      <c r="H315" s="555">
        <f t="shared" si="31"/>
        <v>7.7753760026662774E-3</v>
      </c>
      <c r="I315" s="558">
        <f t="shared" si="32"/>
        <v>1450.3538294402867</v>
      </c>
      <c r="J315" s="425">
        <f t="shared" si="33"/>
        <v>1.4503538294402868E-3</v>
      </c>
      <c r="K315" s="426">
        <f t="shared" si="34"/>
        <v>0</v>
      </c>
      <c r="L315" s="434">
        <f t="shared" si="35"/>
        <v>0</v>
      </c>
    </row>
    <row r="316" spans="1:12">
      <c r="A316" s="150" t="s">
        <v>82</v>
      </c>
      <c r="B316" s="541">
        <f>B187</f>
        <v>0.40948435489975904</v>
      </c>
      <c r="C316" s="235">
        <f t="shared" si="27"/>
        <v>0.39924724602726508</v>
      </c>
      <c r="D316" s="579">
        <f>D270</f>
        <v>1.0237108872493976E-2</v>
      </c>
      <c r="E316" s="235">
        <f t="shared" si="28"/>
        <v>5938.3772238434685</v>
      </c>
      <c r="F316" s="546">
        <f t="shared" si="29"/>
        <v>31835.759539361086</v>
      </c>
      <c r="G316" s="558">
        <f t="shared" si="30"/>
        <v>68.955598383952164</v>
      </c>
      <c r="H316" s="555">
        <f t="shared" si="31"/>
        <v>6.8955598383952163E-5</v>
      </c>
      <c r="I316" s="558">
        <f t="shared" si="32"/>
        <v>12.540842492972216</v>
      </c>
      <c r="J316" s="425">
        <f t="shared" si="33"/>
        <v>1.2540842492972215E-5</v>
      </c>
      <c r="K316" s="426">
        <f t="shared" si="34"/>
        <v>0.32156006392236453</v>
      </c>
      <c r="L316" s="434">
        <f t="shared" si="35"/>
        <v>3.215600639223645E-7</v>
      </c>
    </row>
    <row r="317" spans="1:12">
      <c r="A317" s="150" t="s">
        <v>630</v>
      </c>
      <c r="B317" s="541">
        <f>B188</f>
        <v>541.45764616914448</v>
      </c>
      <c r="C317" s="235">
        <f t="shared" si="27"/>
        <v>527.92120501491581</v>
      </c>
      <c r="D317" s="743">
        <f>D271</f>
        <v>13.536441154228612</v>
      </c>
      <c r="E317" s="235">
        <f t="shared" si="28"/>
        <v>5938.3772238434685</v>
      </c>
      <c r="F317" s="546">
        <f t="shared" si="29"/>
        <v>31835.759539361086</v>
      </c>
      <c r="G317" s="558">
        <f t="shared" si="30"/>
        <v>91179.395609142419</v>
      </c>
      <c r="H317" s="555">
        <f t="shared" si="31"/>
        <v>9.1179395609142413E-2</v>
      </c>
      <c r="I317" s="558">
        <f t="shared" si="32"/>
        <v>16582.648338017654</v>
      </c>
      <c r="J317" s="425">
        <f t="shared" si="33"/>
        <v>1.6582648338017654E-2</v>
      </c>
      <c r="K317" s="426">
        <f t="shared" si="34"/>
        <v>425.19611123122195</v>
      </c>
      <c r="L317" s="434">
        <f t="shared" si="35"/>
        <v>4.2519611123122196E-4</v>
      </c>
    </row>
    <row r="318" spans="1:12">
      <c r="A318" s="150" t="s">
        <v>96</v>
      </c>
      <c r="B318" s="541">
        <f>B189</f>
        <v>2818.0193718645473</v>
      </c>
      <c r="C318" s="235">
        <f t="shared" si="27"/>
        <v>2747.5688875679339</v>
      </c>
      <c r="D318" s="579">
        <f>D272</f>
        <v>70.450484296613681</v>
      </c>
      <c r="E318" s="235">
        <f t="shared" si="28"/>
        <v>5938.3772238434685</v>
      </c>
      <c r="F318" s="546">
        <f t="shared" si="29"/>
        <v>31835.759539361086</v>
      </c>
      <c r="G318" s="558">
        <f t="shared" si="30"/>
        <v>474543.67845642747</v>
      </c>
      <c r="H318" s="555">
        <f t="shared" si="31"/>
        <v>0.47454367845642748</v>
      </c>
      <c r="I318" s="558">
        <f t="shared" si="32"/>
        <v>86304.486757129052</v>
      </c>
      <c r="J318" s="425">
        <f t="shared" si="33"/>
        <v>8.6304486757129054E-2</v>
      </c>
      <c r="K318" s="426">
        <f t="shared" si="34"/>
        <v>2212.9355578751038</v>
      </c>
      <c r="L318" s="434">
        <f t="shared" si="35"/>
        <v>2.2129355578751038E-3</v>
      </c>
    </row>
    <row r="319" spans="1:12">
      <c r="A319" s="151" t="s">
        <v>274</v>
      </c>
      <c r="B319" s="541">
        <f>B317+B318</f>
        <v>3359.4770180336918</v>
      </c>
      <c r="C319" s="235">
        <f t="shared" si="27"/>
        <v>3275.4900925828497</v>
      </c>
      <c r="D319" s="579">
        <f>D317+D318</f>
        <v>83.986925450842293</v>
      </c>
      <c r="E319" s="235">
        <f t="shared" si="28"/>
        <v>5938.3772238434685</v>
      </c>
      <c r="F319" s="546">
        <f t="shared" si="29"/>
        <v>31835.759539361086</v>
      </c>
      <c r="G319" s="558">
        <f t="shared" si="30"/>
        <v>565723.0740655699</v>
      </c>
      <c r="H319" s="555">
        <f t="shared" si="31"/>
        <v>0.56572307406556988</v>
      </c>
      <c r="I319" s="558">
        <f t="shared" si="32"/>
        <v>102887.13509514672</v>
      </c>
      <c r="J319" s="425">
        <f t="shared" si="33"/>
        <v>0.10288713509514671</v>
      </c>
      <c r="K319" s="426">
        <f t="shared" si="34"/>
        <v>2638.1316691063257</v>
      </c>
      <c r="L319" s="434">
        <f t="shared" si="35"/>
        <v>2.6381316691063256E-3</v>
      </c>
    </row>
    <row r="320" spans="1:12">
      <c r="A320" s="151" t="s">
        <v>84</v>
      </c>
      <c r="B320" s="541">
        <f>B191</f>
        <v>8.1564135345491867E-2</v>
      </c>
      <c r="C320" s="235">
        <f t="shared" si="27"/>
        <v>7.9525031961854564E-2</v>
      </c>
      <c r="D320" s="579">
        <f>D274</f>
        <v>2.0391033836372969E-3</v>
      </c>
      <c r="E320" s="235">
        <f t="shared" si="28"/>
        <v>5938.3772238434685</v>
      </c>
      <c r="F320" s="546">
        <f t="shared" si="29"/>
        <v>31835.759539361086</v>
      </c>
      <c r="G320" s="558">
        <f t="shared" si="30"/>
        <v>13.735088269232834</v>
      </c>
      <c r="H320" s="555">
        <f t="shared" si="31"/>
        <v>1.3735088269232835E-5</v>
      </c>
      <c r="I320" s="558">
        <f t="shared" si="32"/>
        <v>2.4979781576604583</v>
      </c>
      <c r="J320" s="425">
        <f t="shared" si="33"/>
        <v>2.4979781576604582E-6</v>
      </c>
      <c r="K320" s="426">
        <f t="shared" si="34"/>
        <v>6.4050721991293802E-2</v>
      </c>
      <c r="L320" s="434">
        <f t="shared" si="35"/>
        <v>6.4050721991293805E-8</v>
      </c>
    </row>
    <row r="321" spans="1:12">
      <c r="A321" s="151" t="s">
        <v>248</v>
      </c>
      <c r="B321" s="33">
        <f>C243*B227*32/78</f>
        <v>9.1004755733622762</v>
      </c>
      <c r="C321" s="235">
        <f t="shared" si="27"/>
        <v>0</v>
      </c>
      <c r="D321" s="579">
        <f>D275</f>
        <v>9.1004755733622762</v>
      </c>
      <c r="E321" s="235">
        <f t="shared" si="28"/>
        <v>5938.3772238434685</v>
      </c>
      <c r="F321" s="546">
        <f t="shared" si="29"/>
        <v>31835.759539361086</v>
      </c>
      <c r="G321" s="558">
        <f t="shared" si="30"/>
        <v>1532.4852616001745</v>
      </c>
      <c r="H321" s="555">
        <f t="shared" si="31"/>
        <v>1.5324852616001743E-3</v>
      </c>
      <c r="I321" s="558">
        <f t="shared" si="32"/>
        <v>0</v>
      </c>
      <c r="J321" s="425">
        <f t="shared" si="33"/>
        <v>0</v>
      </c>
      <c r="K321" s="426">
        <f t="shared" si="34"/>
        <v>285.85702697341435</v>
      </c>
      <c r="L321" s="434">
        <f t="shared" si="35"/>
        <v>2.8585702697341437E-4</v>
      </c>
    </row>
    <row r="322" spans="1:12" ht="14.65" thickBot="1">
      <c r="A322" s="152" t="s">
        <v>86</v>
      </c>
      <c r="B322" s="542">
        <f>B197</f>
        <v>6.4478213581692865</v>
      </c>
      <c r="C322" s="236">
        <f t="shared" si="27"/>
        <v>0.32239106790846428</v>
      </c>
      <c r="D322" s="581">
        <f>D276</f>
        <v>6.1254302902608222</v>
      </c>
      <c r="E322" s="236">
        <f t="shared" si="28"/>
        <v>5938.3772238434685</v>
      </c>
      <c r="F322" s="547">
        <f t="shared" si="29"/>
        <v>31835.759539361086</v>
      </c>
      <c r="G322" s="559">
        <f t="shared" si="30"/>
        <v>1085.7884427214094</v>
      </c>
      <c r="H322" s="556">
        <f t="shared" si="31"/>
        <v>1.0857884427214093E-3</v>
      </c>
      <c r="I322" s="559">
        <f t="shared" si="32"/>
        <v>10.126696286603954</v>
      </c>
      <c r="J322" s="436">
        <f t="shared" si="33"/>
        <v>1.0126696286603953E-5</v>
      </c>
      <c r="K322" s="437">
        <f t="shared" si="34"/>
        <v>192.40722944547514</v>
      </c>
      <c r="L322" s="439">
        <f t="shared" si="35"/>
        <v>1.9240722944547514E-4</v>
      </c>
    </row>
    <row r="324" spans="1:12">
      <c r="A324" s="1" t="s">
        <v>204</v>
      </c>
      <c r="B324" s="1"/>
      <c r="C324" s="1"/>
    </row>
    <row r="325" spans="1:12" ht="14.65" thickBot="1">
      <c r="A325" s="816" t="s">
        <v>469</v>
      </c>
    </row>
    <row r="326" spans="1:12" ht="14.65" thickBot="1">
      <c r="A326" s="453" t="s">
        <v>26</v>
      </c>
      <c r="B326" s="454" t="s">
        <v>27</v>
      </c>
      <c r="C326" s="455" t="s">
        <v>355</v>
      </c>
    </row>
    <row r="327" spans="1:12" ht="14.65" thickBot="1">
      <c r="A327" s="456">
        <v>0.98599999999999999</v>
      </c>
      <c r="B327" s="457">
        <v>1.4E-2</v>
      </c>
      <c r="C327" s="458">
        <v>0.3</v>
      </c>
    </row>
    <row r="329" spans="1:12" ht="14.65" thickBot="1">
      <c r="A329" s="329" t="s">
        <v>647</v>
      </c>
    </row>
    <row r="330" spans="1:12" ht="14.65" thickBot="1">
      <c r="A330" s="913" t="s">
        <v>647</v>
      </c>
      <c r="B330" s="516" t="s">
        <v>237</v>
      </c>
      <c r="C330" s="914">
        <v>1.0435000000000001</v>
      </c>
    </row>
    <row r="332" spans="1:12" ht="14.65" thickBot="1">
      <c r="A332" s="823" t="s">
        <v>577</v>
      </c>
      <c r="B332" s="824"/>
      <c r="C332" s="824"/>
    </row>
    <row r="333" spans="1:12" ht="14.65" thickBot="1">
      <c r="A333" s="891" t="s">
        <v>578</v>
      </c>
      <c r="B333" s="892" t="s">
        <v>579</v>
      </c>
      <c r="C333" s="915" t="s">
        <v>580</v>
      </c>
    </row>
    <row r="334" spans="1:12" ht="14.65" thickBot="1">
      <c r="A334" s="893">
        <f>C372</f>
        <v>0.98658361284139906</v>
      </c>
      <c r="B334" s="894">
        <f>C374</f>
        <v>1.3416387158600863E-2</v>
      </c>
      <c r="C334" s="916">
        <f>TSFePh*C330</f>
        <v>0.31304999999999999</v>
      </c>
    </row>
    <row r="336" spans="1:12" ht="14.65" thickBot="1">
      <c r="A336" s="79" t="s">
        <v>287</v>
      </c>
    </row>
    <row r="337" spans="1:3">
      <c r="A337" s="18" t="s">
        <v>53</v>
      </c>
      <c r="B337" s="104" t="s">
        <v>18</v>
      </c>
      <c r="C337" s="15" t="s">
        <v>106</v>
      </c>
    </row>
    <row r="338" spans="1:3" ht="14.65" thickBot="1">
      <c r="A338" s="93" t="s">
        <v>6</v>
      </c>
      <c r="B338" s="271" t="s">
        <v>35</v>
      </c>
      <c r="C338" s="384">
        <f>$C$282</f>
        <v>31835.759539361086</v>
      </c>
    </row>
    <row r="339" spans="1:3" hidden="1">
      <c r="A339" s="83"/>
      <c r="B339" s="77"/>
      <c r="C339" s="95"/>
    </row>
    <row r="340" spans="1:3" hidden="1">
      <c r="A340" s="79" t="s">
        <v>47</v>
      </c>
      <c r="B340" s="79"/>
      <c r="C340" s="79"/>
    </row>
    <row r="341" spans="1:3" ht="14.65" hidden="1" thickBot="1">
      <c r="A341" s="103" t="s">
        <v>53</v>
      </c>
      <c r="B341" s="102" t="s">
        <v>18</v>
      </c>
      <c r="C341" s="17" t="s">
        <v>106</v>
      </c>
    </row>
    <row r="342" spans="1:3" hidden="1">
      <c r="A342" s="272" t="s">
        <v>202</v>
      </c>
      <c r="B342" s="278" t="s">
        <v>35</v>
      </c>
      <c r="C342" s="279">
        <f>$C$162</f>
        <v>5916.194814633398</v>
      </c>
    </row>
    <row r="343" spans="1:3" hidden="1">
      <c r="A343" s="257" t="s">
        <v>115</v>
      </c>
      <c r="B343" s="278" t="s">
        <v>24</v>
      </c>
      <c r="C343" s="312">
        <v>0.05</v>
      </c>
    </row>
    <row r="344" spans="1:3" hidden="1">
      <c r="A344" s="257" t="s">
        <v>113</v>
      </c>
      <c r="B344" s="278" t="s">
        <v>35</v>
      </c>
      <c r="C344" s="295">
        <f>$C$243</f>
        <v>443.64818420141097</v>
      </c>
    </row>
    <row r="345" spans="1:3" hidden="1">
      <c r="A345" s="257" t="s">
        <v>116</v>
      </c>
      <c r="B345" s="278" t="s">
        <v>35</v>
      </c>
      <c r="C345" s="295">
        <f>C344*C343</f>
        <v>22.182409210070549</v>
      </c>
    </row>
    <row r="346" spans="1:3" hidden="1">
      <c r="A346" s="257" t="s">
        <v>430</v>
      </c>
      <c r="B346" s="278" t="s">
        <v>35</v>
      </c>
      <c r="C346" s="279">
        <f>C342+C345</f>
        <v>5938.3772238434685</v>
      </c>
    </row>
    <row r="347" spans="1:3" ht="14.65" hidden="1" thickBot="1">
      <c r="A347" s="360" t="s">
        <v>6</v>
      </c>
      <c r="B347" s="320" t="s">
        <v>35</v>
      </c>
      <c r="C347" s="321">
        <f>$C$282</f>
        <v>31835.759539361086</v>
      </c>
    </row>
    <row r="348" spans="1:3" hidden="1">
      <c r="A348" s="299" t="s">
        <v>64</v>
      </c>
      <c r="B348" s="260" t="s">
        <v>24</v>
      </c>
      <c r="C348" s="300">
        <f>C346/C347</f>
        <v>0.1865316646992945</v>
      </c>
    </row>
    <row r="349" spans="1:3" hidden="1">
      <c r="A349" s="257" t="s">
        <v>134</v>
      </c>
      <c r="B349" s="278" t="s">
        <v>35</v>
      </c>
      <c r="C349" s="279">
        <f>$C$169</f>
        <v>25475.916540526276</v>
      </c>
    </row>
    <row r="350" spans="1:3" hidden="1">
      <c r="A350" s="257" t="s">
        <v>117</v>
      </c>
      <c r="B350" s="278" t="s">
        <v>24</v>
      </c>
      <c r="C350" s="312">
        <f>1-C343</f>
        <v>0.95</v>
      </c>
    </row>
    <row r="351" spans="1:3" hidden="1">
      <c r="A351" s="257" t="s">
        <v>113</v>
      </c>
      <c r="B351" s="278" t="s">
        <v>35</v>
      </c>
      <c r="C351" s="295">
        <f>$C$243</f>
        <v>443.64818420141097</v>
      </c>
    </row>
    <row r="352" spans="1:3" hidden="1">
      <c r="A352" s="257" t="s">
        <v>118</v>
      </c>
      <c r="B352" s="278" t="s">
        <v>35</v>
      </c>
      <c r="C352" s="279">
        <f>C350*C351</f>
        <v>421.46577499134042</v>
      </c>
    </row>
    <row r="353" spans="1:3" hidden="1">
      <c r="A353" s="257" t="s">
        <v>65</v>
      </c>
      <c r="B353" s="278" t="s">
        <v>35</v>
      </c>
      <c r="C353" s="279">
        <f>C349+C352</f>
        <v>25897.382315517618</v>
      </c>
    </row>
    <row r="354" spans="1:3" ht="14.65" hidden="1" thickBot="1">
      <c r="A354" s="360" t="s">
        <v>6</v>
      </c>
      <c r="B354" s="320" t="s">
        <v>35</v>
      </c>
      <c r="C354" s="321">
        <f>$C$282</f>
        <v>31835.759539361086</v>
      </c>
    </row>
    <row r="355" spans="1:3" ht="14.65" hidden="1" thickBot="1">
      <c r="A355" s="301" t="s">
        <v>66</v>
      </c>
      <c r="B355" s="277" t="s">
        <v>24</v>
      </c>
      <c r="C355" s="303">
        <f>C353/C354</f>
        <v>0.8134683353007055</v>
      </c>
    </row>
    <row r="356" spans="1:3">
      <c r="A356" s="83"/>
      <c r="B356" s="77"/>
      <c r="C356" s="96"/>
    </row>
    <row r="357" spans="1:3" ht="14.65" thickBot="1">
      <c r="A357" s="79" t="s">
        <v>288</v>
      </c>
    </row>
    <row r="358" spans="1:3" ht="14.65" thickBot="1">
      <c r="A358" s="103" t="s">
        <v>90</v>
      </c>
      <c r="B358" s="102" t="s">
        <v>18</v>
      </c>
      <c r="C358" s="17" t="s">
        <v>91</v>
      </c>
    </row>
    <row r="359" spans="1:3">
      <c r="A359" s="137" t="s">
        <v>6</v>
      </c>
      <c r="B359" s="793" t="s">
        <v>35</v>
      </c>
      <c r="C359" s="795">
        <f>$C$338</f>
        <v>31835.759539361086</v>
      </c>
    </row>
    <row r="360" spans="1:3">
      <c r="A360" s="815" t="s">
        <v>461</v>
      </c>
      <c r="B360" s="105" t="s">
        <v>24</v>
      </c>
      <c r="C360" s="221">
        <f>A327</f>
        <v>0.98599999999999999</v>
      </c>
    </row>
    <row r="361" spans="1:3">
      <c r="A361" s="92" t="s">
        <v>191</v>
      </c>
      <c r="B361" s="900" t="s">
        <v>35</v>
      </c>
      <c r="C361" s="383">
        <f>C359*C360</f>
        <v>31390.05890581003</v>
      </c>
    </row>
    <row r="362" spans="1:3">
      <c r="A362" s="815" t="s">
        <v>462</v>
      </c>
      <c r="B362" s="105" t="s">
        <v>24</v>
      </c>
      <c r="C362" s="221">
        <f>B327</f>
        <v>1.4E-2</v>
      </c>
    </row>
    <row r="363" spans="1:3">
      <c r="A363" s="92" t="s">
        <v>192</v>
      </c>
      <c r="B363" s="900" t="s">
        <v>35</v>
      </c>
      <c r="C363" s="901">
        <f>C359*C362</f>
        <v>445.7006335510552</v>
      </c>
    </row>
    <row r="364" spans="1:3">
      <c r="A364" s="68" t="s">
        <v>463</v>
      </c>
      <c r="B364" s="105" t="s">
        <v>24</v>
      </c>
      <c r="C364" s="100">
        <f>C327</f>
        <v>0.3</v>
      </c>
    </row>
    <row r="365" spans="1:3">
      <c r="A365" s="92" t="s">
        <v>431</v>
      </c>
      <c r="B365" s="900" t="s">
        <v>35</v>
      </c>
      <c r="C365" s="901">
        <f>C363*C364</f>
        <v>133.71019006531657</v>
      </c>
    </row>
    <row r="366" spans="1:3">
      <c r="A366" s="68" t="s">
        <v>371</v>
      </c>
      <c r="B366" s="105" t="s">
        <v>24</v>
      </c>
      <c r="C366" s="100">
        <f>1-C364</f>
        <v>0.7</v>
      </c>
    </row>
    <row r="367" spans="1:3" ht="14.65" thickBot="1">
      <c r="A367" s="93" t="s">
        <v>372</v>
      </c>
      <c r="B367" s="214" t="s">
        <v>35</v>
      </c>
      <c r="C367" s="912">
        <f>C363*C366</f>
        <v>311.99044348573864</v>
      </c>
    </row>
    <row r="368" spans="1:3">
      <c r="A368" s="77"/>
      <c r="B368" s="77"/>
      <c r="C368" s="117"/>
    </row>
    <row r="369" spans="1:3" ht="14.65" thickBot="1">
      <c r="A369" s="79" t="s">
        <v>474</v>
      </c>
    </row>
    <row r="370" spans="1:3" ht="14.65" thickBot="1">
      <c r="A370" s="191" t="s">
        <v>90</v>
      </c>
      <c r="B370" s="192" t="s">
        <v>18</v>
      </c>
      <c r="C370" s="193" t="s">
        <v>91</v>
      </c>
    </row>
    <row r="371" spans="1:3">
      <c r="A371" s="911" t="s">
        <v>276</v>
      </c>
      <c r="B371" s="745" t="s">
        <v>35</v>
      </c>
      <c r="C371" s="730">
        <f>C338</f>
        <v>31835.759539361086</v>
      </c>
    </row>
    <row r="372" spans="1:3">
      <c r="A372" s="815" t="s">
        <v>578</v>
      </c>
      <c r="B372" s="105" t="s">
        <v>24</v>
      </c>
      <c r="C372" s="221">
        <f>C373/C371</f>
        <v>0.98658361284139906</v>
      </c>
    </row>
    <row r="373" spans="1:3">
      <c r="A373" s="253" t="s">
        <v>396</v>
      </c>
      <c r="B373" s="900" t="s">
        <v>35</v>
      </c>
      <c r="C373" s="254">
        <f>C371-C375</f>
        <v>31408.638663892896</v>
      </c>
    </row>
    <row r="374" spans="1:3">
      <c r="A374" s="815" t="s">
        <v>579</v>
      </c>
      <c r="B374" s="105" t="s">
        <v>24</v>
      </c>
      <c r="C374" s="221">
        <f>C375/C371</f>
        <v>1.3416387158600863E-2</v>
      </c>
    </row>
    <row r="375" spans="1:3">
      <c r="A375" s="253" t="s">
        <v>295</v>
      </c>
      <c r="B375" s="900" t="s">
        <v>35</v>
      </c>
      <c r="C375" s="322">
        <f>C377/C376</f>
        <v>427.12087546818901</v>
      </c>
    </row>
    <row r="376" spans="1:3">
      <c r="A376" s="68" t="s">
        <v>580</v>
      </c>
      <c r="B376" s="105" t="s">
        <v>24</v>
      </c>
      <c r="C376" s="100">
        <f>C334</f>
        <v>0.31304999999999999</v>
      </c>
    </row>
    <row r="377" spans="1:3">
      <c r="A377" s="68" t="s">
        <v>431</v>
      </c>
      <c r="B377" s="105" t="s">
        <v>35</v>
      </c>
      <c r="C377" s="86">
        <f>C365</f>
        <v>133.71019006531657</v>
      </c>
    </row>
    <row r="378" spans="1:3">
      <c r="A378" s="68" t="s">
        <v>371</v>
      </c>
      <c r="B378" s="105" t="s">
        <v>24</v>
      </c>
      <c r="C378" s="100">
        <f>1-C376</f>
        <v>0.68694999999999995</v>
      </c>
    </row>
    <row r="379" spans="1:3" ht="14.65" thickBot="1">
      <c r="A379" s="73" t="s">
        <v>372</v>
      </c>
      <c r="B379" s="23" t="s">
        <v>35</v>
      </c>
      <c r="C379" s="118">
        <f>C375*C378</f>
        <v>293.41068540287245</v>
      </c>
    </row>
    <row r="380" spans="1:3">
      <c r="A380" s="77"/>
      <c r="B380" s="77"/>
      <c r="C380" s="117"/>
    </row>
    <row r="381" spans="1:3" ht="14.65" thickBot="1">
      <c r="A381" s="79" t="s">
        <v>205</v>
      </c>
      <c r="B381" s="79"/>
      <c r="C381" s="79"/>
    </row>
    <row r="382" spans="1:3" ht="14.65" thickBot="1">
      <c r="A382" s="844" t="s">
        <v>90</v>
      </c>
      <c r="B382" s="885" t="s">
        <v>18</v>
      </c>
      <c r="C382" s="193" t="s">
        <v>106</v>
      </c>
    </row>
    <row r="383" spans="1:3">
      <c r="A383" s="272" t="s">
        <v>206</v>
      </c>
      <c r="B383" s="293" t="s">
        <v>35</v>
      </c>
      <c r="C383" s="313">
        <f>C290</f>
        <v>5938.3772238434685</v>
      </c>
    </row>
    <row r="384" spans="1:3">
      <c r="A384" s="281" t="s">
        <v>431</v>
      </c>
      <c r="B384" s="287" t="s">
        <v>35</v>
      </c>
      <c r="C384" s="289">
        <f>C377</f>
        <v>133.71019006531657</v>
      </c>
    </row>
    <row r="385" spans="1:8">
      <c r="A385" s="257" t="s">
        <v>374</v>
      </c>
      <c r="B385" s="287" t="s">
        <v>35</v>
      </c>
      <c r="C385" s="279">
        <f>C383-C384</f>
        <v>5804.6670337781516</v>
      </c>
    </row>
    <row r="386" spans="1:8">
      <c r="A386" s="257" t="s">
        <v>191</v>
      </c>
      <c r="B386" s="287" t="s">
        <v>35</v>
      </c>
      <c r="C386" s="279">
        <f>C373</f>
        <v>31408.638663892896</v>
      </c>
    </row>
    <row r="387" spans="1:8">
      <c r="A387" s="299" t="s">
        <v>64</v>
      </c>
      <c r="B387" s="258" t="s">
        <v>24</v>
      </c>
      <c r="C387" s="300">
        <f>C385/C386</f>
        <v>0.18481116281079535</v>
      </c>
    </row>
    <row r="388" spans="1:8">
      <c r="A388" s="257" t="s">
        <v>335</v>
      </c>
      <c r="B388" s="287" t="s">
        <v>35</v>
      </c>
      <c r="C388" s="279">
        <f>C297</f>
        <v>25897.382315517618</v>
      </c>
    </row>
    <row r="389" spans="1:8">
      <c r="A389" s="281" t="s">
        <v>372</v>
      </c>
      <c r="B389" s="287" t="s">
        <v>35</v>
      </c>
      <c r="C389" s="289">
        <f>C379</f>
        <v>293.41068540287245</v>
      </c>
    </row>
    <row r="390" spans="1:8">
      <c r="A390" s="257" t="s">
        <v>376</v>
      </c>
      <c r="B390" s="287" t="s">
        <v>35</v>
      </c>
      <c r="C390" s="279">
        <f>C388-C389</f>
        <v>25603.971630114745</v>
      </c>
    </row>
    <row r="391" spans="1:8">
      <c r="A391" s="257" t="s">
        <v>191</v>
      </c>
      <c r="B391" s="287" t="s">
        <v>35</v>
      </c>
      <c r="C391" s="279">
        <f>C373</f>
        <v>31408.638663892896</v>
      </c>
    </row>
    <row r="392" spans="1:8" ht="14.65" thickBot="1">
      <c r="A392" s="301" t="s">
        <v>66</v>
      </c>
      <c r="B392" s="259" t="s">
        <v>24</v>
      </c>
      <c r="C392" s="303">
        <f>C390/C391</f>
        <v>0.81518883718920465</v>
      </c>
    </row>
    <row r="393" spans="1:8">
      <c r="A393" s="77"/>
      <c r="B393" s="77"/>
      <c r="C393" s="117"/>
    </row>
    <row r="394" spans="1:8" ht="14.65" thickBot="1">
      <c r="A394" s="79" t="s">
        <v>207</v>
      </c>
    </row>
    <row r="395" spans="1:8" ht="14.65" thickBot="1">
      <c r="A395" s="419"/>
      <c r="B395" s="1028" t="s">
        <v>262</v>
      </c>
      <c r="C395" s="1029"/>
      <c r="D395" s="1031"/>
      <c r="E395" s="1065" t="s">
        <v>263</v>
      </c>
      <c r="F395" s="1061"/>
      <c r="G395" s="1061"/>
      <c r="H395" s="1009"/>
    </row>
    <row r="396" spans="1:8">
      <c r="A396" s="92" t="s">
        <v>93</v>
      </c>
      <c r="B396" s="377" t="s">
        <v>243</v>
      </c>
      <c r="C396" s="491" t="s">
        <v>374</v>
      </c>
      <c r="D396" s="492" t="s">
        <v>293</v>
      </c>
      <c r="E396" s="1039" t="s">
        <v>269</v>
      </c>
      <c r="F396" s="1040"/>
      <c r="G396" s="1022" t="s">
        <v>294</v>
      </c>
      <c r="H396" s="1023"/>
    </row>
    <row r="397" spans="1:8" ht="14.65" thickBot="1">
      <c r="A397" s="93" t="s">
        <v>18</v>
      </c>
      <c r="B397" s="403" t="s">
        <v>35</v>
      </c>
      <c r="C397" s="154" t="s">
        <v>35</v>
      </c>
      <c r="D397" s="155" t="s">
        <v>35</v>
      </c>
      <c r="E397" s="153" t="s">
        <v>257</v>
      </c>
      <c r="F397" s="423" t="s">
        <v>237</v>
      </c>
      <c r="G397" s="403" t="s">
        <v>71</v>
      </c>
      <c r="H397" s="155" t="s">
        <v>237</v>
      </c>
    </row>
    <row r="398" spans="1:8">
      <c r="A398" s="150" t="s">
        <v>72</v>
      </c>
      <c r="B398" s="540">
        <f t="shared" ref="B398:B414" si="36">C306</f>
        <v>143.79298619296361</v>
      </c>
      <c r="C398" s="428">
        <f>$C$385</f>
        <v>5804.6670337781516</v>
      </c>
      <c r="D398" s="382">
        <f>$C$373</f>
        <v>31408.638663892896</v>
      </c>
      <c r="E398" s="551">
        <f>B398/C398*1000000</f>
        <v>24771.961140270847</v>
      </c>
      <c r="F398" s="554">
        <f>E398/1000000</f>
        <v>2.4771961140270846E-2</v>
      </c>
      <c r="G398" s="557">
        <f>B398/D398*1000000</f>
        <v>4578.1349434372914</v>
      </c>
      <c r="H398" s="433">
        <f>G398/1000000</f>
        <v>4.5781349434372912E-3</v>
      </c>
    </row>
    <row r="399" spans="1:8">
      <c r="A399" s="149" t="s">
        <v>73</v>
      </c>
      <c r="B399" s="541">
        <f t="shared" si="36"/>
        <v>1.5383360039007782E-2</v>
      </c>
      <c r="C399" s="235">
        <f t="shared" ref="C399:C414" si="37">$C$385</f>
        <v>5804.6670337781516</v>
      </c>
      <c r="D399" s="82">
        <f t="shared" ref="D399:D414" si="38">$C$373</f>
        <v>31408.638663892896</v>
      </c>
      <c r="E399" s="552">
        <f t="shared" ref="E399:E414" si="39">B399/C399*1000000</f>
        <v>2.6501709657918195</v>
      </c>
      <c r="F399" s="555">
        <f t="shared" ref="F399:F414" si="40">E399/1000000</f>
        <v>2.6501709657918196E-6</v>
      </c>
      <c r="G399" s="558">
        <f t="shared" ref="G399:G414" si="41">B399/D399*1000000</f>
        <v>0.48978117783539477</v>
      </c>
      <c r="H399" s="434">
        <f t="shared" ref="H399:H414" si="42">G399/1000000</f>
        <v>4.8978117783539478E-7</v>
      </c>
    </row>
    <row r="400" spans="1:8">
      <c r="A400" s="149" t="s">
        <v>74</v>
      </c>
      <c r="B400" s="541">
        <f t="shared" si="36"/>
        <v>400.06799831618599</v>
      </c>
      <c r="C400" s="235">
        <f t="shared" si="37"/>
        <v>5804.6670337781516</v>
      </c>
      <c r="D400" s="82">
        <f t="shared" si="38"/>
        <v>31408.638663892896</v>
      </c>
      <c r="E400" s="552">
        <f t="shared" si="39"/>
        <v>68921.782418894247</v>
      </c>
      <c r="F400" s="555">
        <f t="shared" si="40"/>
        <v>6.8921782418894253E-2</v>
      </c>
      <c r="G400" s="558">
        <f t="shared" si="41"/>
        <v>12737.514751828476</v>
      </c>
      <c r="H400" s="434">
        <f t="shared" si="42"/>
        <v>1.2737514751828476E-2</v>
      </c>
    </row>
    <row r="401" spans="1:8">
      <c r="A401" s="149" t="s">
        <v>75</v>
      </c>
      <c r="B401" s="541">
        <f t="shared" si="36"/>
        <v>2.263868530902749E-2</v>
      </c>
      <c r="C401" s="235">
        <f t="shared" si="37"/>
        <v>5804.6670337781516</v>
      </c>
      <c r="D401" s="82">
        <f t="shared" si="38"/>
        <v>31408.638663892896</v>
      </c>
      <c r="E401" s="552">
        <f t="shared" si="39"/>
        <v>3.9000833600428555</v>
      </c>
      <c r="F401" s="555">
        <f t="shared" si="40"/>
        <v>3.9000833600428556E-6</v>
      </c>
      <c r="G401" s="558">
        <f t="shared" si="41"/>
        <v>0.72077894082855398</v>
      </c>
      <c r="H401" s="434">
        <f t="shared" si="42"/>
        <v>7.2077894082855396E-7</v>
      </c>
    </row>
    <row r="402" spans="1:8">
      <c r="A402" s="149" t="s">
        <v>76</v>
      </c>
      <c r="B402" s="541">
        <f t="shared" si="36"/>
        <v>0.23513193774234989</v>
      </c>
      <c r="C402" s="235">
        <f t="shared" si="37"/>
        <v>5804.6670337781516</v>
      </c>
      <c r="D402" s="82">
        <f t="shared" si="38"/>
        <v>31408.638663892896</v>
      </c>
      <c r="E402" s="552">
        <f t="shared" si="39"/>
        <v>40.507394545472629</v>
      </c>
      <c r="F402" s="555">
        <f t="shared" si="40"/>
        <v>4.0507394545472631E-5</v>
      </c>
      <c r="G402" s="558">
        <f t="shared" si="41"/>
        <v>7.486218688384465</v>
      </c>
      <c r="H402" s="434">
        <f t="shared" si="42"/>
        <v>7.4862186883844653E-6</v>
      </c>
    </row>
    <row r="403" spans="1:8">
      <c r="A403" s="150" t="s">
        <v>77</v>
      </c>
      <c r="B403" s="541">
        <f t="shared" si="36"/>
        <v>1.7315261642911084E-2</v>
      </c>
      <c r="C403" s="235">
        <f t="shared" si="37"/>
        <v>5804.6670337781516</v>
      </c>
      <c r="D403" s="82">
        <f t="shared" si="38"/>
        <v>31408.638663892896</v>
      </c>
      <c r="E403" s="552">
        <f t="shared" si="39"/>
        <v>2.9829896430150442</v>
      </c>
      <c r="F403" s="555">
        <f t="shared" si="40"/>
        <v>2.982989643015044E-6</v>
      </c>
      <c r="G403" s="558">
        <f t="shared" si="41"/>
        <v>0.55128978457816957</v>
      </c>
      <c r="H403" s="434">
        <f t="shared" si="42"/>
        <v>5.5128978457816957E-7</v>
      </c>
    </row>
    <row r="404" spans="1:8">
      <c r="A404" s="150" t="s">
        <v>78</v>
      </c>
      <c r="B404" s="541">
        <f t="shared" si="36"/>
        <v>190.33693285077021</v>
      </c>
      <c r="C404" s="235">
        <f t="shared" si="37"/>
        <v>5804.6670337781516</v>
      </c>
      <c r="D404" s="82">
        <f t="shared" si="38"/>
        <v>31408.638663892896</v>
      </c>
      <c r="E404" s="552">
        <f t="shared" si="39"/>
        <v>32790.327462914509</v>
      </c>
      <c r="F404" s="555">
        <f t="shared" si="40"/>
        <v>3.2790327462914506E-2</v>
      </c>
      <c r="G404" s="558">
        <f t="shared" si="41"/>
        <v>6060.0185473679867</v>
      </c>
      <c r="H404" s="434">
        <f t="shared" si="42"/>
        <v>6.0600185473679864E-3</v>
      </c>
    </row>
    <row r="405" spans="1:8">
      <c r="A405" s="150" t="s">
        <v>79</v>
      </c>
      <c r="B405" s="541">
        <f t="shared" si="36"/>
        <v>31.068216465474723</v>
      </c>
      <c r="C405" s="235">
        <f t="shared" si="37"/>
        <v>5804.6670337781516</v>
      </c>
      <c r="D405" s="82">
        <f t="shared" si="38"/>
        <v>31408.638663892896</v>
      </c>
      <c r="E405" s="552">
        <f t="shared" si="39"/>
        <v>5352.2822729856025</v>
      </c>
      <c r="F405" s="555">
        <f t="shared" si="40"/>
        <v>5.3522822729856027E-3</v>
      </c>
      <c r="G405" s="558">
        <f t="shared" si="41"/>
        <v>989.16151056207605</v>
      </c>
      <c r="H405" s="434">
        <f t="shared" si="42"/>
        <v>9.8916151056207603E-4</v>
      </c>
    </row>
    <row r="406" spans="1:8">
      <c r="A406" s="150" t="s">
        <v>80</v>
      </c>
      <c r="B406" s="541">
        <f t="shared" si="36"/>
        <v>57.810567303083239</v>
      </c>
      <c r="C406" s="235">
        <f t="shared" si="37"/>
        <v>5804.6670337781516</v>
      </c>
      <c r="D406" s="82">
        <f t="shared" si="38"/>
        <v>31408.638663892896</v>
      </c>
      <c r="E406" s="552">
        <f t="shared" si="39"/>
        <v>9959.3253095613636</v>
      </c>
      <c r="F406" s="555">
        <f t="shared" si="40"/>
        <v>9.9593253095613642E-3</v>
      </c>
      <c r="G406" s="558">
        <f t="shared" si="41"/>
        <v>1840.5944912710199</v>
      </c>
      <c r="H406" s="434">
        <f t="shared" si="42"/>
        <v>1.8405944912710198E-3</v>
      </c>
    </row>
    <row r="407" spans="1:8">
      <c r="A407" s="150" t="s">
        <v>81</v>
      </c>
      <c r="B407" s="541">
        <f t="shared" si="36"/>
        <v>46.173115761052493</v>
      </c>
      <c r="C407" s="235">
        <f t="shared" si="37"/>
        <v>5804.6670337781516</v>
      </c>
      <c r="D407" s="82">
        <f t="shared" si="38"/>
        <v>31408.638663892896</v>
      </c>
      <c r="E407" s="552">
        <f t="shared" si="39"/>
        <v>7954.481366866491</v>
      </c>
      <c r="F407" s="555">
        <f t="shared" si="40"/>
        <v>7.9544813668664914E-3</v>
      </c>
      <c r="G407" s="558">
        <f t="shared" si="41"/>
        <v>1470.076950967401</v>
      </c>
      <c r="H407" s="434">
        <f t="shared" si="42"/>
        <v>1.470076950967401E-3</v>
      </c>
    </row>
    <row r="408" spans="1:8">
      <c r="A408" s="150" t="s">
        <v>82</v>
      </c>
      <c r="B408" s="541">
        <f t="shared" si="36"/>
        <v>0.39924724602726508</v>
      </c>
      <c r="C408" s="235">
        <f t="shared" si="37"/>
        <v>5804.6670337781516</v>
      </c>
      <c r="D408" s="82">
        <f t="shared" si="38"/>
        <v>31408.638663892896</v>
      </c>
      <c r="E408" s="552">
        <f t="shared" si="39"/>
        <v>68.78038717879781</v>
      </c>
      <c r="F408" s="555">
        <f t="shared" si="40"/>
        <v>6.8780387178797814E-5</v>
      </c>
      <c r="G408" s="558">
        <f t="shared" si="41"/>
        <v>12.711383333090341</v>
      </c>
      <c r="H408" s="434">
        <f t="shared" si="42"/>
        <v>1.2711383333090342E-5</v>
      </c>
    </row>
    <row r="409" spans="1:8">
      <c r="A409" s="150" t="s">
        <v>630</v>
      </c>
      <c r="B409" s="541">
        <f t="shared" si="36"/>
        <v>527.92120501491581</v>
      </c>
      <c r="C409" s="235">
        <f t="shared" si="37"/>
        <v>5804.6670337781516</v>
      </c>
      <c r="D409" s="82">
        <f t="shared" si="38"/>
        <v>31408.638663892896</v>
      </c>
      <c r="E409" s="552">
        <f t="shared" si="39"/>
        <v>90947.715337136498</v>
      </c>
      <c r="F409" s="555">
        <f t="shared" si="40"/>
        <v>9.0947715337136498E-2</v>
      </c>
      <c r="G409" s="558">
        <f t="shared" si="41"/>
        <v>16808.1530264414</v>
      </c>
      <c r="H409" s="434">
        <f t="shared" si="42"/>
        <v>1.68081530264414E-2</v>
      </c>
    </row>
    <row r="410" spans="1:8">
      <c r="A410" s="150" t="s">
        <v>96</v>
      </c>
      <c r="B410" s="541">
        <f t="shared" si="36"/>
        <v>2747.5688875679339</v>
      </c>
      <c r="C410" s="235">
        <f t="shared" si="37"/>
        <v>5804.6670337781516</v>
      </c>
      <c r="D410" s="82">
        <f t="shared" si="38"/>
        <v>31408.638663892896</v>
      </c>
      <c r="E410" s="552">
        <f t="shared" si="39"/>
        <v>473337.89717471384</v>
      </c>
      <c r="F410" s="555">
        <f t="shared" si="40"/>
        <v>0.47333789717471386</v>
      </c>
      <c r="G410" s="558">
        <f t="shared" si="41"/>
        <v>87478.127179275543</v>
      </c>
      <c r="H410" s="434">
        <f t="shared" si="42"/>
        <v>8.7478127179275542E-2</v>
      </c>
    </row>
    <row r="411" spans="1:8">
      <c r="A411" s="151" t="s">
        <v>274</v>
      </c>
      <c r="B411" s="541">
        <f t="shared" si="36"/>
        <v>3275.4900925828497</v>
      </c>
      <c r="C411" s="235">
        <f t="shared" si="37"/>
        <v>5804.6670337781516</v>
      </c>
      <c r="D411" s="82">
        <f t="shared" si="38"/>
        <v>31408.638663892896</v>
      </c>
      <c r="E411" s="552">
        <f t="shared" si="39"/>
        <v>564285.61251185043</v>
      </c>
      <c r="F411" s="555">
        <f t="shared" si="40"/>
        <v>0.56428561251185039</v>
      </c>
      <c r="G411" s="558">
        <f t="shared" si="41"/>
        <v>104286.28020571695</v>
      </c>
      <c r="H411" s="434">
        <f t="shared" si="42"/>
        <v>0.10428628020571695</v>
      </c>
    </row>
    <row r="412" spans="1:8">
      <c r="A412" s="151" t="s">
        <v>84</v>
      </c>
      <c r="B412" s="541">
        <f t="shared" si="36"/>
        <v>7.9525031961854564E-2</v>
      </c>
      <c r="C412" s="235">
        <f t="shared" si="37"/>
        <v>5804.6670337781516</v>
      </c>
      <c r="D412" s="82">
        <f t="shared" si="38"/>
        <v>31408.638663892896</v>
      </c>
      <c r="E412" s="552">
        <f t="shared" si="39"/>
        <v>13.700188399969806</v>
      </c>
      <c r="F412" s="555">
        <f t="shared" si="40"/>
        <v>1.3700188399969805E-5</v>
      </c>
      <c r="G412" s="558">
        <f t="shared" si="41"/>
        <v>2.5319477489253894</v>
      </c>
      <c r="H412" s="434">
        <f t="shared" si="42"/>
        <v>2.5319477489253893E-6</v>
      </c>
    </row>
    <row r="413" spans="1:8">
      <c r="A413" s="151" t="s">
        <v>248</v>
      </c>
      <c r="B413" s="541">
        <f t="shared" si="36"/>
        <v>0</v>
      </c>
      <c r="C413" s="235">
        <f t="shared" si="37"/>
        <v>5804.6670337781516</v>
      </c>
      <c r="D413" s="82">
        <f t="shared" si="38"/>
        <v>31408.638663892896</v>
      </c>
      <c r="E413" s="552">
        <f t="shared" si="39"/>
        <v>0</v>
      </c>
      <c r="F413" s="555">
        <f t="shared" si="40"/>
        <v>0</v>
      </c>
      <c r="G413" s="558">
        <f t="shared" si="41"/>
        <v>0</v>
      </c>
      <c r="H413" s="434">
        <f t="shared" si="42"/>
        <v>0</v>
      </c>
    </row>
    <row r="414" spans="1:8" ht="14.65" thickBot="1">
      <c r="A414" s="152" t="s">
        <v>86</v>
      </c>
      <c r="B414" s="542">
        <f t="shared" si="36"/>
        <v>0.32239106790846428</v>
      </c>
      <c r="C414" s="236">
        <f t="shared" si="37"/>
        <v>5804.6670337781516</v>
      </c>
      <c r="D414" s="237">
        <f t="shared" si="38"/>
        <v>31408.638663892896</v>
      </c>
      <c r="E414" s="553">
        <f t="shared" si="39"/>
        <v>55.539976028327985</v>
      </c>
      <c r="F414" s="556">
        <f t="shared" si="40"/>
        <v>5.5539976028327981E-5</v>
      </c>
      <c r="G414" s="559">
        <f t="shared" si="41"/>
        <v>10.264407552278996</v>
      </c>
      <c r="H414" s="439">
        <f t="shared" si="42"/>
        <v>1.0264407552278996E-5</v>
      </c>
    </row>
    <row r="415" spans="1:8">
      <c r="A415" s="145"/>
      <c r="B415" s="234"/>
      <c r="C415" s="96"/>
      <c r="D415" s="96"/>
      <c r="E415" s="95"/>
      <c r="F415" s="95"/>
    </row>
    <row r="416" spans="1:8" ht="14.65" thickBot="1">
      <c r="A416" s="79" t="s">
        <v>215</v>
      </c>
    </row>
    <row r="417" spans="1:8" ht="14.65" thickBot="1">
      <c r="A417" s="419"/>
      <c r="B417" s="1028" t="s">
        <v>262</v>
      </c>
      <c r="C417" s="1029"/>
      <c r="D417" s="1031"/>
      <c r="E417" s="1065" t="s">
        <v>263</v>
      </c>
      <c r="F417" s="1061"/>
      <c r="G417" s="1061"/>
      <c r="H417" s="1009"/>
    </row>
    <row r="418" spans="1:8">
      <c r="A418" s="92" t="s">
        <v>93</v>
      </c>
      <c r="B418" s="377" t="s">
        <v>256</v>
      </c>
      <c r="C418" s="491" t="s">
        <v>431</v>
      </c>
      <c r="D418" s="492" t="s">
        <v>295</v>
      </c>
      <c r="E418" s="1039" t="s">
        <v>269</v>
      </c>
      <c r="F418" s="1040"/>
      <c r="G418" s="1022" t="s">
        <v>296</v>
      </c>
      <c r="H418" s="1023"/>
    </row>
    <row r="419" spans="1:8" ht="14.65" thickBot="1">
      <c r="A419" s="93" t="s">
        <v>18</v>
      </c>
      <c r="B419" s="403" t="s">
        <v>35</v>
      </c>
      <c r="C419" s="154" t="s">
        <v>35</v>
      </c>
      <c r="D419" s="155" t="s">
        <v>35</v>
      </c>
      <c r="E419" s="153" t="s">
        <v>257</v>
      </c>
      <c r="F419" s="423" t="s">
        <v>237</v>
      </c>
      <c r="G419" s="403" t="s">
        <v>71</v>
      </c>
      <c r="H419" s="155" t="s">
        <v>237</v>
      </c>
    </row>
    <row r="420" spans="1:8">
      <c r="A420" s="150" t="s">
        <v>72</v>
      </c>
      <c r="B420" s="156">
        <f t="shared" ref="B420:B436" si="43">D306</f>
        <v>3.686999645973426</v>
      </c>
      <c r="C420" s="428">
        <f>$C$365</f>
        <v>133.71019006531657</v>
      </c>
      <c r="D420" s="382">
        <f>$C$375</f>
        <v>427.12087546818901</v>
      </c>
      <c r="E420" s="551">
        <f>B420/C420*1000000</f>
        <v>27574.559905810846</v>
      </c>
      <c r="F420" s="554">
        <f>E420/1000000</f>
        <v>2.7574559905810845E-2</v>
      </c>
      <c r="G420" s="557">
        <f>B420/D420*1000000</f>
        <v>8632.2159785140866</v>
      </c>
      <c r="H420" s="433">
        <f>G420/1000000</f>
        <v>8.6322159785140861E-3</v>
      </c>
    </row>
    <row r="421" spans="1:8">
      <c r="A421" s="149" t="s">
        <v>73</v>
      </c>
      <c r="B421" s="157">
        <f t="shared" si="43"/>
        <v>0.13845024035107012</v>
      </c>
      <c r="C421" s="235">
        <f t="shared" ref="C421:C436" si="44">$C$365</f>
        <v>133.71019006531657</v>
      </c>
      <c r="D421" s="82">
        <f t="shared" ref="D421:D436" si="45">$C$375</f>
        <v>427.12087546818901</v>
      </c>
      <c r="E421" s="552">
        <f t="shared" ref="E421:E436" si="46">B421/C421*1000000</f>
        <v>1035.4501798511994</v>
      </c>
      <c r="F421" s="555">
        <f t="shared" ref="F421:F436" si="47">E421/1000000</f>
        <v>1.0354501798511995E-3</v>
      </c>
      <c r="G421" s="558">
        <f t="shared" ref="G421:G436" si="48">B421/D421*1000000</f>
        <v>324.147678802418</v>
      </c>
      <c r="H421" s="434">
        <f t="shared" ref="H421:H436" si="49">G421/1000000</f>
        <v>3.2414767880241797E-4</v>
      </c>
    </row>
    <row r="422" spans="1:8">
      <c r="A422" s="149" t="s">
        <v>74</v>
      </c>
      <c r="B422" s="157">
        <f t="shared" si="43"/>
        <v>0</v>
      </c>
      <c r="C422" s="235">
        <f t="shared" si="44"/>
        <v>133.71019006531657</v>
      </c>
      <c r="D422" s="82">
        <f t="shared" si="45"/>
        <v>427.12087546818901</v>
      </c>
      <c r="E422" s="552">
        <f t="shared" si="46"/>
        <v>0</v>
      </c>
      <c r="F422" s="555">
        <f t="shared" si="47"/>
        <v>0</v>
      </c>
      <c r="G422" s="558">
        <f t="shared" si="48"/>
        <v>0</v>
      </c>
      <c r="H422" s="434">
        <f t="shared" si="49"/>
        <v>0</v>
      </c>
    </row>
    <row r="423" spans="1:8">
      <c r="A423" s="149" t="s">
        <v>75</v>
      </c>
      <c r="B423" s="157">
        <f t="shared" si="43"/>
        <v>5.8047911048788442E-4</v>
      </c>
      <c r="C423" s="235">
        <f t="shared" si="44"/>
        <v>133.71019006531657</v>
      </c>
      <c r="D423" s="82">
        <f t="shared" si="45"/>
        <v>427.12087546818901</v>
      </c>
      <c r="E423" s="552">
        <f t="shared" si="46"/>
        <v>4.3413229029464704</v>
      </c>
      <c r="F423" s="555">
        <f t="shared" si="47"/>
        <v>4.3413229029464701E-6</v>
      </c>
      <c r="G423" s="558">
        <f t="shared" si="48"/>
        <v>1.3590511347673926</v>
      </c>
      <c r="H423" s="434">
        <f t="shared" si="49"/>
        <v>1.3590511347673926E-6</v>
      </c>
    </row>
    <row r="424" spans="1:8">
      <c r="A424" s="149" t="s">
        <v>76</v>
      </c>
      <c r="B424" s="157">
        <f t="shared" si="43"/>
        <v>0</v>
      </c>
      <c r="C424" s="235">
        <f t="shared" si="44"/>
        <v>133.71019006531657</v>
      </c>
      <c r="D424" s="82">
        <f t="shared" si="45"/>
        <v>427.12087546818901</v>
      </c>
      <c r="E424" s="552">
        <f t="shared" si="46"/>
        <v>0</v>
      </c>
      <c r="F424" s="555">
        <f t="shared" si="47"/>
        <v>0</v>
      </c>
      <c r="G424" s="558">
        <f t="shared" si="48"/>
        <v>0</v>
      </c>
      <c r="H424" s="434">
        <f t="shared" si="49"/>
        <v>0</v>
      </c>
    </row>
    <row r="425" spans="1:8">
      <c r="A425" s="150" t="s">
        <v>77</v>
      </c>
      <c r="B425" s="157">
        <f t="shared" si="43"/>
        <v>1.7142109026481991</v>
      </c>
      <c r="C425" s="235">
        <f t="shared" si="44"/>
        <v>133.71019006531657</v>
      </c>
      <c r="D425" s="82">
        <f t="shared" si="45"/>
        <v>427.12087546818901</v>
      </c>
      <c r="E425" s="552">
        <f t="shared" si="46"/>
        <v>12820.346017089783</v>
      </c>
      <c r="F425" s="555">
        <f t="shared" si="47"/>
        <v>1.2820346017089783E-2</v>
      </c>
      <c r="G425" s="558">
        <f t="shared" si="48"/>
        <v>4013.409320649956</v>
      </c>
      <c r="H425" s="434">
        <f t="shared" si="49"/>
        <v>4.0134093206499561E-3</v>
      </c>
    </row>
    <row r="426" spans="1:8">
      <c r="A426" s="150" t="s">
        <v>78</v>
      </c>
      <c r="B426" s="157">
        <f t="shared" si="43"/>
        <v>4.880434175660775</v>
      </c>
      <c r="C426" s="235">
        <f t="shared" si="44"/>
        <v>133.71019006531657</v>
      </c>
      <c r="D426" s="82">
        <f t="shared" si="45"/>
        <v>427.12087546818901</v>
      </c>
      <c r="E426" s="552">
        <f t="shared" si="46"/>
        <v>36500.091528377263</v>
      </c>
      <c r="F426" s="555">
        <f t="shared" si="47"/>
        <v>3.6500091528377264E-2</v>
      </c>
      <c r="G426" s="558">
        <f t="shared" si="48"/>
        <v>11426.353652958502</v>
      </c>
      <c r="H426" s="434">
        <f t="shared" si="49"/>
        <v>1.1426353652958502E-2</v>
      </c>
    </row>
    <row r="427" spans="1:8">
      <c r="A427" s="150" t="s">
        <v>79</v>
      </c>
      <c r="B427" s="157">
        <f t="shared" si="43"/>
        <v>0.79662093501217246</v>
      </c>
      <c r="C427" s="235">
        <f t="shared" si="44"/>
        <v>133.71019006531657</v>
      </c>
      <c r="D427" s="82">
        <f t="shared" si="45"/>
        <v>427.12087546818901</v>
      </c>
      <c r="E427" s="552">
        <f t="shared" si="46"/>
        <v>5957.8176848228868</v>
      </c>
      <c r="F427" s="555">
        <f t="shared" si="47"/>
        <v>5.9578176848228866E-3</v>
      </c>
      <c r="G427" s="558">
        <f t="shared" si="48"/>
        <v>1865.0948262338045</v>
      </c>
      <c r="H427" s="434">
        <f t="shared" si="49"/>
        <v>1.8650948262338045E-3</v>
      </c>
    </row>
    <row r="428" spans="1:8">
      <c r="A428" s="150" t="s">
        <v>80</v>
      </c>
      <c r="B428" s="157">
        <f t="shared" si="43"/>
        <v>1.4823222385405961</v>
      </c>
      <c r="C428" s="235">
        <f t="shared" si="44"/>
        <v>133.71019006531657</v>
      </c>
      <c r="D428" s="82">
        <f t="shared" si="45"/>
        <v>427.12087546818901</v>
      </c>
      <c r="E428" s="552">
        <f t="shared" si="46"/>
        <v>11086.082802039928</v>
      </c>
      <c r="F428" s="555">
        <f t="shared" si="47"/>
        <v>1.1086082802039928E-2</v>
      </c>
      <c r="G428" s="558">
        <f t="shared" si="48"/>
        <v>3470.4982211785996</v>
      </c>
      <c r="H428" s="434">
        <f t="shared" si="49"/>
        <v>3.4704982211785996E-3</v>
      </c>
    </row>
    <row r="429" spans="1:8">
      <c r="A429" s="150" t="s">
        <v>81</v>
      </c>
      <c r="B429" s="157">
        <f t="shared" si="43"/>
        <v>0</v>
      </c>
      <c r="C429" s="235">
        <f t="shared" si="44"/>
        <v>133.71019006531657</v>
      </c>
      <c r="D429" s="82">
        <f t="shared" si="45"/>
        <v>427.12087546818901</v>
      </c>
      <c r="E429" s="552">
        <f t="shared" si="46"/>
        <v>0</v>
      </c>
      <c r="F429" s="555">
        <f t="shared" si="47"/>
        <v>0</v>
      </c>
      <c r="G429" s="558">
        <f t="shared" si="48"/>
        <v>0</v>
      </c>
      <c r="H429" s="434">
        <f t="shared" si="49"/>
        <v>0</v>
      </c>
    </row>
    <row r="430" spans="1:8">
      <c r="A430" s="150" t="s">
        <v>82</v>
      </c>
      <c r="B430" s="157">
        <f t="shared" si="43"/>
        <v>1.0237108872493976E-2</v>
      </c>
      <c r="C430" s="235">
        <f t="shared" si="44"/>
        <v>133.71019006531657</v>
      </c>
      <c r="D430" s="82">
        <f t="shared" si="45"/>
        <v>427.12087546818901</v>
      </c>
      <c r="E430" s="552">
        <f t="shared" si="46"/>
        <v>76.561919981515359</v>
      </c>
      <c r="F430" s="555">
        <f t="shared" si="47"/>
        <v>7.6561919981515353E-5</v>
      </c>
      <c r="G430" s="558">
        <f t="shared" si="48"/>
        <v>23.967709050213383</v>
      </c>
      <c r="H430" s="434">
        <f t="shared" si="49"/>
        <v>2.3967709050213383E-5</v>
      </c>
    </row>
    <row r="431" spans="1:8">
      <c r="A431" s="150" t="s">
        <v>630</v>
      </c>
      <c r="B431" s="157">
        <f t="shared" si="43"/>
        <v>13.536441154228612</v>
      </c>
      <c r="C431" s="235">
        <f t="shared" si="44"/>
        <v>133.71019006531657</v>
      </c>
      <c r="D431" s="82">
        <f t="shared" si="45"/>
        <v>427.12087546818901</v>
      </c>
      <c r="E431" s="552">
        <f t="shared" si="46"/>
        <v>101237.16934076713</v>
      </c>
      <c r="F431" s="555">
        <f t="shared" si="47"/>
        <v>0.10123716934076712</v>
      </c>
      <c r="G431" s="558">
        <f t="shared" si="48"/>
        <v>31692.29586212715</v>
      </c>
      <c r="H431" s="434">
        <f t="shared" si="49"/>
        <v>3.169229586212715E-2</v>
      </c>
    </row>
    <row r="432" spans="1:8">
      <c r="A432" s="150" t="s">
        <v>96</v>
      </c>
      <c r="B432" s="157">
        <f t="shared" si="43"/>
        <v>70.450484296613681</v>
      </c>
      <c r="C432" s="235">
        <f t="shared" si="44"/>
        <v>133.71019006531657</v>
      </c>
      <c r="D432" s="82">
        <f t="shared" si="45"/>
        <v>427.12087546818901</v>
      </c>
      <c r="E432" s="552">
        <f t="shared" si="46"/>
        <v>526889.41854169138</v>
      </c>
      <c r="F432" s="555">
        <f t="shared" si="47"/>
        <v>0.52688941854169136</v>
      </c>
      <c r="G432" s="558">
        <f t="shared" si="48"/>
        <v>164942.73247447648</v>
      </c>
      <c r="H432" s="434">
        <f t="shared" si="49"/>
        <v>0.16494273247447647</v>
      </c>
    </row>
    <row r="433" spans="1:8">
      <c r="A433" s="151" t="s">
        <v>274</v>
      </c>
      <c r="B433" s="157">
        <f t="shared" si="43"/>
        <v>83.986925450842293</v>
      </c>
      <c r="C433" s="235">
        <f t="shared" si="44"/>
        <v>133.71019006531657</v>
      </c>
      <c r="D433" s="82">
        <f t="shared" si="45"/>
        <v>427.12087546818901</v>
      </c>
      <c r="E433" s="552">
        <f t="shared" si="46"/>
        <v>628126.58788245847</v>
      </c>
      <c r="F433" s="555">
        <f t="shared" si="47"/>
        <v>0.62812658788245845</v>
      </c>
      <c r="G433" s="558">
        <f t="shared" si="48"/>
        <v>196635.02833660363</v>
      </c>
      <c r="H433" s="434">
        <f t="shared" si="49"/>
        <v>0.19663502833660362</v>
      </c>
    </row>
    <row r="434" spans="1:8">
      <c r="A434" s="151" t="s">
        <v>84</v>
      </c>
      <c r="B434" s="157">
        <f t="shared" si="43"/>
        <v>2.0391033836372969E-3</v>
      </c>
      <c r="C434" s="235">
        <f t="shared" si="44"/>
        <v>133.71019006531657</v>
      </c>
      <c r="D434" s="82">
        <f t="shared" si="45"/>
        <v>427.12087546818901</v>
      </c>
      <c r="E434" s="552">
        <f t="shared" si="46"/>
        <v>15.250171902689001</v>
      </c>
      <c r="F434" s="555">
        <f t="shared" si="47"/>
        <v>1.5250171902689001E-5</v>
      </c>
      <c r="G434" s="558">
        <f t="shared" si="48"/>
        <v>4.7740663141367916</v>
      </c>
      <c r="H434" s="434">
        <f t="shared" si="49"/>
        <v>4.7740663141367917E-6</v>
      </c>
    </row>
    <row r="435" spans="1:8">
      <c r="A435" s="151" t="s">
        <v>248</v>
      </c>
      <c r="B435" s="157">
        <f t="shared" si="43"/>
        <v>9.1004755733622762</v>
      </c>
      <c r="C435" s="235">
        <f t="shared" si="44"/>
        <v>133.71019006531657</v>
      </c>
      <c r="D435" s="82">
        <f t="shared" si="45"/>
        <v>427.12087546818901</v>
      </c>
      <c r="E435" s="552">
        <f t="shared" si="46"/>
        <v>68061.196898431983</v>
      </c>
      <c r="F435" s="555">
        <f t="shared" si="47"/>
        <v>6.8061196898431986E-2</v>
      </c>
      <c r="G435" s="558">
        <f t="shared" si="48"/>
        <v>21306.557689054134</v>
      </c>
      <c r="H435" s="434">
        <f t="shared" si="49"/>
        <v>2.1306557689054133E-2</v>
      </c>
    </row>
    <row r="436" spans="1:8" ht="14.65" thickBot="1">
      <c r="A436" s="152" t="s">
        <v>86</v>
      </c>
      <c r="B436" s="158">
        <f t="shared" si="43"/>
        <v>6.1254302902608222</v>
      </c>
      <c r="C436" s="236">
        <f t="shared" si="44"/>
        <v>133.71019006531657</v>
      </c>
      <c r="D436" s="237">
        <f t="shared" si="45"/>
        <v>427.12087546818901</v>
      </c>
      <c r="E436" s="553">
        <f t="shared" si="46"/>
        <v>45811.245106065508</v>
      </c>
      <c r="F436" s="556">
        <f t="shared" si="47"/>
        <v>4.5811245106065511E-2</v>
      </c>
      <c r="G436" s="559">
        <f t="shared" si="48"/>
        <v>14341.210280453806</v>
      </c>
      <c r="H436" s="439">
        <f t="shared" si="49"/>
        <v>1.4341210280453806E-2</v>
      </c>
    </row>
    <row r="437" spans="1:8">
      <c r="A437" s="145"/>
      <c r="B437" s="234"/>
      <c r="C437" s="96"/>
      <c r="D437" s="96"/>
      <c r="E437" s="95"/>
      <c r="F437" s="95"/>
    </row>
    <row r="438" spans="1:8">
      <c r="A438" s="1" t="s">
        <v>209</v>
      </c>
      <c r="B438" s="1"/>
      <c r="C438" s="1"/>
      <c r="D438" s="1"/>
    </row>
    <row r="439" spans="1:8" ht="14.65" thickBot="1">
      <c r="A439" s="79" t="s">
        <v>358</v>
      </c>
      <c r="B439" s="79"/>
      <c r="C439" s="79"/>
    </row>
    <row r="440" spans="1:8">
      <c r="A440" s="2"/>
      <c r="B440" s="323" t="s">
        <v>614</v>
      </c>
      <c r="C440" s="324" t="s">
        <v>615</v>
      </c>
      <c r="D440" s="369" t="s">
        <v>616</v>
      </c>
    </row>
    <row r="441" spans="1:8" ht="14.65" thickBot="1">
      <c r="A441" s="5"/>
      <c r="B441" s="215" t="s">
        <v>35</v>
      </c>
      <c r="C441" s="483" t="s">
        <v>35</v>
      </c>
      <c r="D441" s="319" t="s">
        <v>35</v>
      </c>
    </row>
    <row r="442" spans="1:8" ht="14.65" thickBot="1">
      <c r="A442" s="9" t="s">
        <v>347</v>
      </c>
      <c r="B442" s="250">
        <f>B10</f>
        <v>17500</v>
      </c>
      <c r="C442" s="729">
        <f>C10</f>
        <v>7000</v>
      </c>
      <c r="D442" s="627">
        <f>B442+C442</f>
        <v>24500</v>
      </c>
    </row>
    <row r="444" spans="1:8" ht="14.65" thickBot="1">
      <c r="A444" s="120" t="s">
        <v>641</v>
      </c>
      <c r="B444" s="79"/>
      <c r="C444" s="79"/>
    </row>
    <row r="445" spans="1:8" ht="14.65" thickBot="1">
      <c r="A445" s="519"/>
      <c r="B445" s="1056" t="s">
        <v>263</v>
      </c>
      <c r="C445" s="1056"/>
      <c r="D445" s="1021" t="s">
        <v>262</v>
      </c>
      <c r="E445" s="1021"/>
      <c r="F445" s="1020"/>
    </row>
    <row r="446" spans="1:8" ht="14.65" thickBot="1">
      <c r="A446" s="602"/>
      <c r="B446" s="1065" t="s">
        <v>259</v>
      </c>
      <c r="C446" s="1009"/>
      <c r="D446" s="1100" t="s">
        <v>260</v>
      </c>
      <c r="E446" s="1030"/>
      <c r="F446" s="9" t="s">
        <v>261</v>
      </c>
    </row>
    <row r="447" spans="1:8">
      <c r="A447" s="115"/>
      <c r="B447" s="188" t="s">
        <v>614</v>
      </c>
      <c r="C447" s="190" t="s">
        <v>615</v>
      </c>
      <c r="D447" s="266" t="s">
        <v>161</v>
      </c>
      <c r="E447" s="520" t="s">
        <v>162</v>
      </c>
      <c r="F447" s="521" t="s">
        <v>616</v>
      </c>
    </row>
    <row r="448" spans="1:8" ht="14.65" thickBot="1">
      <c r="A448" s="133" t="s">
        <v>18</v>
      </c>
      <c r="B448" s="23" t="s">
        <v>70</v>
      </c>
      <c r="C448" s="24" t="s">
        <v>71</v>
      </c>
      <c r="D448" s="367" t="s">
        <v>35</v>
      </c>
      <c r="E448" s="522" t="s">
        <v>35</v>
      </c>
      <c r="F448" s="523" t="s">
        <v>35</v>
      </c>
    </row>
    <row r="449" spans="1:6">
      <c r="A449" s="231" t="s">
        <v>72</v>
      </c>
      <c r="B449" s="261">
        <v>47700</v>
      </c>
      <c r="C449" s="355">
        <v>101832</v>
      </c>
      <c r="D449" s="227">
        <f>$B$10*B449/1000000</f>
        <v>834.75</v>
      </c>
      <c r="E449" s="524">
        <f>$C$10*C449/1000000</f>
        <v>712.82399999999996</v>
      </c>
      <c r="F449" s="525">
        <f>D449+E449</f>
        <v>1547.5740000000001</v>
      </c>
    </row>
    <row r="450" spans="1:6">
      <c r="A450" s="232" t="s">
        <v>73</v>
      </c>
      <c r="B450" s="356">
        <v>31</v>
      </c>
      <c r="C450" s="357">
        <v>10</v>
      </c>
      <c r="D450" s="229">
        <f t="shared" ref="D450:D463" si="50">$B$10*B450/1000000</f>
        <v>0.54249999999999998</v>
      </c>
      <c r="E450" s="470">
        <f t="shared" ref="E450:E463" si="51">$C$10*C450/1000000</f>
        <v>7.0000000000000007E-2</v>
      </c>
      <c r="F450" s="526">
        <f t="shared" ref="F450:F463" si="52">D450+E450</f>
        <v>0.61250000000000004</v>
      </c>
    </row>
    <row r="451" spans="1:6">
      <c r="A451" s="232" t="s">
        <v>74</v>
      </c>
      <c r="B451" s="356">
        <v>85425</v>
      </c>
      <c r="C451" s="357">
        <v>111453.2</v>
      </c>
      <c r="D451" s="229">
        <f t="shared" si="50"/>
        <v>1494.9375</v>
      </c>
      <c r="E451" s="470">
        <f t="shared" si="51"/>
        <v>780.17240000000004</v>
      </c>
      <c r="F451" s="526">
        <f t="shared" si="52"/>
        <v>2275.1098999999999</v>
      </c>
    </row>
    <row r="452" spans="1:6">
      <c r="A452" s="232" t="s">
        <v>75</v>
      </c>
      <c r="B452" s="356">
        <v>2.2000000000000002</v>
      </c>
      <c r="C452" s="357">
        <v>2</v>
      </c>
      <c r="D452" s="229">
        <f t="shared" si="50"/>
        <v>3.85E-2</v>
      </c>
      <c r="E452" s="470">
        <f t="shared" si="51"/>
        <v>1.4E-2</v>
      </c>
      <c r="F452" s="526">
        <f t="shared" si="52"/>
        <v>5.2499999999999998E-2</v>
      </c>
    </row>
    <row r="453" spans="1:6">
      <c r="A453" s="232" t="s">
        <v>76</v>
      </c>
      <c r="B453" s="356">
        <v>91</v>
      </c>
      <c r="C453" s="357">
        <v>53.9</v>
      </c>
      <c r="D453" s="229">
        <f t="shared" si="50"/>
        <v>1.5925</v>
      </c>
      <c r="E453" s="470">
        <f t="shared" si="51"/>
        <v>0.37730000000000002</v>
      </c>
      <c r="F453" s="526">
        <f t="shared" si="52"/>
        <v>1.9698</v>
      </c>
    </row>
    <row r="454" spans="1:6">
      <c r="A454" s="232" t="s">
        <v>77</v>
      </c>
      <c r="B454" s="356">
        <v>663</v>
      </c>
      <c r="C454" s="357">
        <v>1099</v>
      </c>
      <c r="D454" s="229">
        <f t="shared" si="50"/>
        <v>11.602499999999999</v>
      </c>
      <c r="E454" s="470">
        <f t="shared" si="51"/>
        <v>7.6929999999999996</v>
      </c>
      <c r="F454" s="526">
        <f t="shared" si="52"/>
        <v>19.295499999999997</v>
      </c>
    </row>
    <row r="455" spans="1:6">
      <c r="A455" s="232" t="s">
        <v>78</v>
      </c>
      <c r="B455" s="356">
        <v>109000</v>
      </c>
      <c r="C455" s="357">
        <v>24315</v>
      </c>
      <c r="D455" s="229">
        <f t="shared" si="50"/>
        <v>1907.5</v>
      </c>
      <c r="E455" s="470">
        <f t="shared" si="51"/>
        <v>170.20500000000001</v>
      </c>
      <c r="F455" s="526">
        <f t="shared" si="52"/>
        <v>2077.7049999999999</v>
      </c>
    </row>
    <row r="456" spans="1:6">
      <c r="A456" s="232" t="s">
        <v>79</v>
      </c>
      <c r="B456" s="356">
        <v>9375</v>
      </c>
      <c r="C456" s="357">
        <v>9848.1</v>
      </c>
      <c r="D456" s="229">
        <f t="shared" si="50"/>
        <v>164.0625</v>
      </c>
      <c r="E456" s="470">
        <f t="shared" si="51"/>
        <v>68.936700000000002</v>
      </c>
      <c r="F456" s="526">
        <f t="shared" si="52"/>
        <v>232.9992</v>
      </c>
    </row>
    <row r="457" spans="1:6">
      <c r="A457" s="232" t="s">
        <v>80</v>
      </c>
      <c r="B457" s="356">
        <v>12191.833333333334</v>
      </c>
      <c r="C457" s="357">
        <v>12706.1</v>
      </c>
      <c r="D457" s="229">
        <f t="shared" si="50"/>
        <v>213.35708333333335</v>
      </c>
      <c r="E457" s="470">
        <f t="shared" si="51"/>
        <v>88.942700000000002</v>
      </c>
      <c r="F457" s="526">
        <f t="shared" si="52"/>
        <v>302.29978333333338</v>
      </c>
    </row>
    <row r="458" spans="1:6">
      <c r="A458" s="232" t="s">
        <v>81</v>
      </c>
      <c r="B458" s="356">
        <v>2530</v>
      </c>
      <c r="C458" s="357">
        <v>3346.1</v>
      </c>
      <c r="D458" s="229">
        <f t="shared" si="50"/>
        <v>44.274999999999999</v>
      </c>
      <c r="E458" s="470">
        <f t="shared" si="51"/>
        <v>23.422699999999999</v>
      </c>
      <c r="F458" s="526">
        <f t="shared" si="52"/>
        <v>67.697699999999998</v>
      </c>
    </row>
    <row r="459" spans="1:6">
      <c r="A459" s="232" t="s">
        <v>82</v>
      </c>
      <c r="B459" s="356">
        <v>64.5</v>
      </c>
      <c r="C459" s="357">
        <v>47.6</v>
      </c>
      <c r="D459" s="229">
        <f t="shared" si="50"/>
        <v>1.1287499999999999</v>
      </c>
      <c r="E459" s="470">
        <f t="shared" si="51"/>
        <v>0.3332</v>
      </c>
      <c r="F459" s="526">
        <f t="shared" si="52"/>
        <v>1.4619499999999999</v>
      </c>
    </row>
    <row r="460" spans="1:6">
      <c r="A460" s="232" t="s">
        <v>83</v>
      </c>
      <c r="B460" s="356">
        <v>70700</v>
      </c>
      <c r="C460" s="357">
        <v>84567</v>
      </c>
      <c r="D460" s="229">
        <f t="shared" si="50"/>
        <v>1237.25</v>
      </c>
      <c r="E460" s="470">
        <f t="shared" si="51"/>
        <v>591.96900000000005</v>
      </c>
      <c r="F460" s="526">
        <f t="shared" si="52"/>
        <v>1829.2190000000001</v>
      </c>
    </row>
    <row r="461" spans="1:6">
      <c r="A461" s="232" t="s">
        <v>84</v>
      </c>
      <c r="B461" s="356">
        <v>117</v>
      </c>
      <c r="C461" s="357">
        <v>80.2</v>
      </c>
      <c r="D461" s="229">
        <f t="shared" si="50"/>
        <v>2.0474999999999999</v>
      </c>
      <c r="E461" s="470">
        <f t="shared" si="51"/>
        <v>0.56140000000000001</v>
      </c>
      <c r="F461" s="526">
        <f t="shared" si="52"/>
        <v>2.6088999999999998</v>
      </c>
    </row>
    <row r="462" spans="1:6">
      <c r="A462" s="232" t="s">
        <v>85</v>
      </c>
      <c r="B462" s="356">
        <v>5857.8888888888887</v>
      </c>
      <c r="C462" s="357">
        <v>3113.7</v>
      </c>
      <c r="D462" s="229">
        <f t="shared" si="50"/>
        <v>102.51305555555555</v>
      </c>
      <c r="E462" s="470">
        <f t="shared" si="51"/>
        <v>21.7959</v>
      </c>
      <c r="F462" s="526">
        <f t="shared" si="52"/>
        <v>124.30895555555556</v>
      </c>
    </row>
    <row r="463" spans="1:6" ht="14.65" thickBot="1">
      <c r="A463" s="233" t="s">
        <v>86</v>
      </c>
      <c r="B463" s="358">
        <v>2260</v>
      </c>
      <c r="C463" s="359">
        <v>1989</v>
      </c>
      <c r="D463" s="230">
        <f t="shared" si="50"/>
        <v>39.549999999999997</v>
      </c>
      <c r="E463" s="471">
        <f t="shared" si="51"/>
        <v>13.923</v>
      </c>
      <c r="F463" s="527">
        <f t="shared" si="52"/>
        <v>53.472999999999999</v>
      </c>
    </row>
    <row r="465" spans="1:8" ht="14.65" thickBot="1">
      <c r="A465" s="79" t="s">
        <v>648</v>
      </c>
    </row>
    <row r="466" spans="1:8" ht="14.65" thickBot="1">
      <c r="A466" s="419"/>
      <c r="B466" s="1019" t="s">
        <v>262</v>
      </c>
      <c r="C466" s="1021"/>
      <c r="D466" s="1021"/>
      <c r="E466" s="1021"/>
      <c r="F466" s="1021"/>
      <c r="G466" s="1019" t="s">
        <v>263</v>
      </c>
      <c r="H466" s="1020"/>
    </row>
    <row r="467" spans="1:8">
      <c r="A467" s="315" t="s">
        <v>93</v>
      </c>
      <c r="B467" s="323" t="s">
        <v>208</v>
      </c>
      <c r="C467" s="274" t="s">
        <v>198</v>
      </c>
      <c r="D467" s="274" t="s">
        <v>618</v>
      </c>
      <c r="E467" s="274" t="s">
        <v>142</v>
      </c>
      <c r="F467" s="324" t="s">
        <v>640</v>
      </c>
      <c r="G467" s="1089" t="s">
        <v>459</v>
      </c>
      <c r="H467" s="1090"/>
    </row>
    <row r="468" spans="1:8" ht="14.65" thickBot="1">
      <c r="A468" s="345" t="s">
        <v>297</v>
      </c>
      <c r="B468" s="586" t="s">
        <v>35</v>
      </c>
      <c r="C468" s="349" t="s">
        <v>35</v>
      </c>
      <c r="D468" s="349" t="s">
        <v>35</v>
      </c>
      <c r="E468" s="349" t="s">
        <v>35</v>
      </c>
      <c r="F468" s="522" t="s">
        <v>35</v>
      </c>
      <c r="G468" s="530" t="s">
        <v>70</v>
      </c>
      <c r="H468" s="155" t="s">
        <v>237</v>
      </c>
    </row>
    <row r="469" spans="1:8">
      <c r="A469" s="373" t="s">
        <v>72</v>
      </c>
      <c r="B469" s="590">
        <f t="shared" ref="B469:B481" si="53">B398</f>
        <v>143.79298619296361</v>
      </c>
      <c r="C469" s="591">
        <f>B203</f>
        <v>314.55769308450101</v>
      </c>
      <c r="D469" s="591">
        <f>F449</f>
        <v>1547.5740000000001</v>
      </c>
      <c r="E469" s="591">
        <f>B469+C469+D469</f>
        <v>2005.9246792774647</v>
      </c>
      <c r="F469" s="294">
        <f>$C$385+$C$135+$D$442</f>
        <v>46658.653311862647</v>
      </c>
      <c r="G469" s="551">
        <f>E469/F469*1000000</f>
        <v>42991.482541727622</v>
      </c>
      <c r="H469" s="433">
        <f>G469/1000000</f>
        <v>4.2991482541727626E-2</v>
      </c>
    </row>
    <row r="470" spans="1:8">
      <c r="A470" s="374" t="s">
        <v>73</v>
      </c>
      <c r="B470" s="592">
        <f t="shared" si="53"/>
        <v>1.5383360039007782E-2</v>
      </c>
      <c r="C470" s="364">
        <f>B204</f>
        <v>0.18497665593550353</v>
      </c>
      <c r="D470" s="364">
        <f>F450</f>
        <v>0.61250000000000004</v>
      </c>
      <c r="E470" s="364">
        <f t="shared" ref="E470:E484" si="54">B470+C470+D470</f>
        <v>0.81286001597451141</v>
      </c>
      <c r="F470" s="295">
        <f>$C$385+$C$135+$D$442</f>
        <v>46658.653311862647</v>
      </c>
      <c r="G470" s="552">
        <f t="shared" ref="G470:G485" si="55">E470/F470*1000000</f>
        <v>17.421420428519895</v>
      </c>
      <c r="H470" s="434">
        <f t="shared" ref="H470:H485" si="56">G470/1000000</f>
        <v>1.7421420428519894E-5</v>
      </c>
    </row>
    <row r="471" spans="1:8">
      <c r="A471" s="374" t="s">
        <v>74</v>
      </c>
      <c r="B471" s="592">
        <f t="shared" si="53"/>
        <v>400.06799831618599</v>
      </c>
      <c r="C471" s="364">
        <f>B205</f>
        <v>1483.5274826547038</v>
      </c>
      <c r="D471" s="364">
        <f t="shared" ref="D471:D478" si="57">F451</f>
        <v>2275.1098999999999</v>
      </c>
      <c r="E471" s="364">
        <f t="shared" si="54"/>
        <v>4158.7053809708896</v>
      </c>
      <c r="F471" s="295">
        <f>$C$385+$C$135+$D$442</f>
        <v>46658.653311862647</v>
      </c>
      <c r="G471" s="552">
        <f t="shared" si="55"/>
        <v>89130.420313986368</v>
      </c>
      <c r="H471" s="434">
        <f t="shared" si="56"/>
        <v>8.9130420313986367E-2</v>
      </c>
    </row>
    <row r="472" spans="1:8">
      <c r="A472" s="374" t="s">
        <v>75</v>
      </c>
      <c r="B472" s="592">
        <f t="shared" si="53"/>
        <v>2.263868530902749E-2</v>
      </c>
      <c r="C472" s="364">
        <f>B206</f>
        <v>1.8243629186762075E-2</v>
      </c>
      <c r="D472" s="364">
        <f t="shared" si="57"/>
        <v>5.2499999999999998E-2</v>
      </c>
      <c r="E472" s="364">
        <f t="shared" si="54"/>
        <v>9.338231449578957E-2</v>
      </c>
      <c r="F472" s="295">
        <f>$C$385+$C$135+$D$442</f>
        <v>46658.653311862647</v>
      </c>
      <c r="G472" s="552">
        <f t="shared" si="55"/>
        <v>2.0013932650741069</v>
      </c>
      <c r="H472" s="434">
        <f t="shared" si="56"/>
        <v>2.001393265074107E-6</v>
      </c>
    </row>
    <row r="473" spans="1:8">
      <c r="A473" s="374" t="s">
        <v>76</v>
      </c>
      <c r="B473" s="592">
        <f t="shared" si="53"/>
        <v>0.23513193774234989</v>
      </c>
      <c r="C473" s="364">
        <f>B207</f>
        <v>1.3759937566730023</v>
      </c>
      <c r="D473" s="364">
        <f t="shared" si="57"/>
        <v>1.9698</v>
      </c>
      <c r="E473" s="364">
        <f t="shared" si="54"/>
        <v>3.5809256944153525</v>
      </c>
      <c r="F473" s="295">
        <f>$C$385+$C$135+$D$442</f>
        <v>46658.653311862647</v>
      </c>
      <c r="G473" s="552">
        <f t="shared" si="55"/>
        <v>76.747300666410922</v>
      </c>
      <c r="H473" s="434">
        <f t="shared" si="56"/>
        <v>7.6747300666410919E-5</v>
      </c>
    </row>
    <row r="474" spans="1:8">
      <c r="A474" s="375" t="s">
        <v>77</v>
      </c>
      <c r="B474" s="592">
        <f t="shared" si="53"/>
        <v>1.7315261642911084E-2</v>
      </c>
      <c r="C474" s="364">
        <f>B208</f>
        <v>6.039786008771177</v>
      </c>
      <c r="D474" s="364">
        <f t="shared" si="57"/>
        <v>19.295499999999997</v>
      </c>
      <c r="E474" s="364">
        <f t="shared" si="54"/>
        <v>25.352601270414084</v>
      </c>
      <c r="F474" s="295">
        <f>$C$385+$C$135+$D$442</f>
        <v>46658.653311862647</v>
      </c>
      <c r="G474" s="552">
        <f t="shared" si="55"/>
        <v>543.36333071937065</v>
      </c>
      <c r="H474" s="434">
        <f t="shared" si="56"/>
        <v>5.4336333071937067E-4</v>
      </c>
    </row>
    <row r="475" spans="1:8">
      <c r="A475" s="375" t="s">
        <v>78</v>
      </c>
      <c r="B475" s="592">
        <f t="shared" si="53"/>
        <v>190.33693285077021</v>
      </c>
      <c r="C475" s="364">
        <f>B209</f>
        <v>842.2646545898433</v>
      </c>
      <c r="D475" s="364">
        <f t="shared" si="57"/>
        <v>2077.7049999999999</v>
      </c>
      <c r="E475" s="364">
        <f t="shared" si="54"/>
        <v>3110.3065874406134</v>
      </c>
      <c r="F475" s="295">
        <f>$C$385+$C$135+$D$442</f>
        <v>46658.653311862647</v>
      </c>
      <c r="G475" s="552">
        <f t="shared" si="55"/>
        <v>66660.873528680255</v>
      </c>
      <c r="H475" s="434">
        <f t="shared" si="56"/>
        <v>6.6660873528680262E-2</v>
      </c>
    </row>
    <row r="476" spans="1:8">
      <c r="A476" s="375" t="s">
        <v>79</v>
      </c>
      <c r="B476" s="592">
        <f t="shared" si="53"/>
        <v>31.068216465474723</v>
      </c>
      <c r="C476" s="364">
        <f>B210</f>
        <v>65.631960136559798</v>
      </c>
      <c r="D476" s="364">
        <f t="shared" si="57"/>
        <v>232.9992</v>
      </c>
      <c r="E476" s="364">
        <f t="shared" si="54"/>
        <v>329.69937660203453</v>
      </c>
      <c r="F476" s="295">
        <f>$C$385+$C$135+$D$442</f>
        <v>46658.653311862647</v>
      </c>
      <c r="G476" s="552">
        <f t="shared" si="55"/>
        <v>7066.2000122110403</v>
      </c>
      <c r="H476" s="434">
        <f t="shared" si="56"/>
        <v>7.0662000122110403E-3</v>
      </c>
    </row>
    <row r="477" spans="1:8">
      <c r="A477" s="375" t="s">
        <v>80</v>
      </c>
      <c r="B477" s="592">
        <f t="shared" si="53"/>
        <v>57.810567303083239</v>
      </c>
      <c r="C477" s="364">
        <f>B211</f>
        <v>93.527121178655904</v>
      </c>
      <c r="D477" s="364">
        <f t="shared" si="57"/>
        <v>302.29978333333338</v>
      </c>
      <c r="E477" s="364">
        <f t="shared" si="54"/>
        <v>453.63747181507256</v>
      </c>
      <c r="F477" s="295">
        <f>$C$385+$C$135+$D$442</f>
        <v>46658.653311862647</v>
      </c>
      <c r="G477" s="552">
        <f t="shared" si="55"/>
        <v>9722.4724593527499</v>
      </c>
      <c r="H477" s="434">
        <f t="shared" si="56"/>
        <v>9.7224724593527496E-3</v>
      </c>
    </row>
    <row r="478" spans="1:8">
      <c r="A478" s="375" t="s">
        <v>81</v>
      </c>
      <c r="B478" s="592">
        <f t="shared" si="53"/>
        <v>46.173115761052493</v>
      </c>
      <c r="C478" s="364">
        <f>B212</f>
        <v>62.86556879304073</v>
      </c>
      <c r="D478" s="364">
        <f t="shared" si="57"/>
        <v>67.697699999999998</v>
      </c>
      <c r="E478" s="364">
        <f t="shared" si="54"/>
        <v>176.73638455409321</v>
      </c>
      <c r="F478" s="295">
        <f>$C$385+$C$135+$D$442</f>
        <v>46658.653311862647</v>
      </c>
      <c r="G478" s="552">
        <f t="shared" si="55"/>
        <v>3787.8586716337818</v>
      </c>
      <c r="H478" s="434">
        <f t="shared" si="56"/>
        <v>3.7878586716337819E-3</v>
      </c>
    </row>
    <row r="479" spans="1:8">
      <c r="A479" s="375" t="s">
        <v>82</v>
      </c>
      <c r="B479" s="592">
        <f t="shared" si="53"/>
        <v>0.39924724602726508</v>
      </c>
      <c r="C479" s="364">
        <f>B213</f>
        <v>1.0713297024672928</v>
      </c>
      <c r="D479" s="364">
        <f>F459</f>
        <v>1.4619499999999999</v>
      </c>
      <c r="E479" s="364">
        <f t="shared" si="54"/>
        <v>2.9325269484945578</v>
      </c>
      <c r="F479" s="295">
        <f>$C$385+$C$135+$D$442</f>
        <v>46658.653311862647</v>
      </c>
      <c r="G479" s="552">
        <f t="shared" si="55"/>
        <v>62.8506555663702</v>
      </c>
      <c r="H479" s="434">
        <f t="shared" si="56"/>
        <v>6.2850655566370201E-5</v>
      </c>
    </row>
    <row r="480" spans="1:8">
      <c r="A480" s="372" t="s">
        <v>630</v>
      </c>
      <c r="B480" s="592">
        <f t="shared" si="53"/>
        <v>527.92120501491581</v>
      </c>
      <c r="C480" s="364">
        <f>B214</f>
        <v>425.43100770432784</v>
      </c>
      <c r="D480" s="364">
        <f>F460</f>
        <v>1829.2190000000001</v>
      </c>
      <c r="E480" s="364">
        <f t="shared" si="54"/>
        <v>2782.5712127192437</v>
      </c>
      <c r="F480" s="295">
        <f>$C$385+$C$135+$D$442</f>
        <v>46658.653311862647</v>
      </c>
      <c r="G480" s="552">
        <f t="shared" si="55"/>
        <v>59636.766499040677</v>
      </c>
      <c r="H480" s="434">
        <f t="shared" si="56"/>
        <v>5.9636766499040678E-2</v>
      </c>
    </row>
    <row r="481" spans="1:8">
      <c r="A481" s="375" t="s">
        <v>96</v>
      </c>
      <c r="B481" s="592">
        <f t="shared" si="53"/>
        <v>2747.5688875679339</v>
      </c>
      <c r="C481" s="364">
        <f>B215</f>
        <v>0</v>
      </c>
      <c r="D481" s="364">
        <v>0</v>
      </c>
      <c r="E481" s="364">
        <f t="shared" si="54"/>
        <v>2747.5688875679339</v>
      </c>
      <c r="F481" s="295">
        <f>$C$385+$C$135+$D$442</f>
        <v>46658.653311862647</v>
      </c>
      <c r="G481" s="552">
        <f t="shared" si="55"/>
        <v>58886.587857635037</v>
      </c>
      <c r="H481" s="434">
        <f t="shared" si="56"/>
        <v>5.8886587857635037E-2</v>
      </c>
    </row>
    <row r="482" spans="1:8">
      <c r="A482" s="350" t="s">
        <v>97</v>
      </c>
      <c r="B482" s="593">
        <f>B480+B481</f>
        <v>3275.4900925828497</v>
      </c>
      <c r="C482" s="44">
        <f>C480+C481</f>
        <v>425.43100770432784</v>
      </c>
      <c r="D482" s="364">
        <f>D480+D481</f>
        <v>1829.2190000000001</v>
      </c>
      <c r="E482" s="364">
        <f t="shared" si="54"/>
        <v>5530.1401002871771</v>
      </c>
      <c r="F482" s="295">
        <f>$C$385+$C$135+$D$442</f>
        <v>46658.653311862647</v>
      </c>
      <c r="G482" s="594">
        <f t="shared" si="55"/>
        <v>118523.35435667571</v>
      </c>
      <c r="H482" s="585">
        <f t="shared" si="56"/>
        <v>0.11852335435667571</v>
      </c>
    </row>
    <row r="483" spans="1:8">
      <c r="A483" s="398" t="s">
        <v>84</v>
      </c>
      <c r="B483" s="593">
        <f>B412</f>
        <v>7.9525031961854564E-2</v>
      </c>
      <c r="C483" s="44">
        <f>B217</f>
        <v>1.3874034095626235</v>
      </c>
      <c r="D483" s="364">
        <f>F461</f>
        <v>2.6088999999999998</v>
      </c>
      <c r="E483" s="364">
        <f t="shared" si="54"/>
        <v>4.0758284415244779</v>
      </c>
      <c r="F483" s="295">
        <f>$C$385+$C$135+$D$442</f>
        <v>46658.653311862647</v>
      </c>
      <c r="G483" s="552">
        <f t="shared" si="55"/>
        <v>87.354180890776504</v>
      </c>
      <c r="H483" s="434">
        <f t="shared" si="56"/>
        <v>8.735418089077651E-5</v>
      </c>
    </row>
    <row r="484" spans="1:8">
      <c r="A484" s="398" t="s">
        <v>85</v>
      </c>
      <c r="B484" s="593">
        <f>B413</f>
        <v>0</v>
      </c>
      <c r="C484" s="44">
        <f>B220</f>
        <v>780.92693660429597</v>
      </c>
      <c r="D484" s="364">
        <f>F462</f>
        <v>124.30895555555556</v>
      </c>
      <c r="E484" s="364">
        <f t="shared" si="54"/>
        <v>905.23589215985157</v>
      </c>
      <c r="F484" s="295">
        <f>$C$385+$C$135+$D$442</f>
        <v>46658.653311862647</v>
      </c>
      <c r="G484" s="552">
        <f t="shared" si="55"/>
        <v>19401.243454441956</v>
      </c>
      <c r="H484" s="434">
        <f t="shared" si="56"/>
        <v>1.9401243454441955E-2</v>
      </c>
    </row>
    <row r="485" spans="1:8" ht="14.65" thickBot="1">
      <c r="A485" s="376" t="s">
        <v>86</v>
      </c>
      <c r="B485" s="595">
        <f>B414</f>
        <v>0.32239106790846428</v>
      </c>
      <c r="C485" s="49">
        <f>B223</f>
        <v>21.427022457708095</v>
      </c>
      <c r="D485" s="379">
        <f>F463</f>
        <v>53.472999999999999</v>
      </c>
      <c r="E485" s="379">
        <f>B485+C485+D485</f>
        <v>75.22241352561656</v>
      </c>
      <c r="F485" s="380">
        <f>$C$385+$C$135+$D$442</f>
        <v>46658.653311862647</v>
      </c>
      <c r="G485" s="553">
        <f t="shared" si="55"/>
        <v>1612.1856973204106</v>
      </c>
      <c r="H485" s="439">
        <f t="shared" si="56"/>
        <v>1.6121856973204105E-3</v>
      </c>
    </row>
    <row r="487" spans="1:8">
      <c r="A487" s="329" t="s">
        <v>144</v>
      </c>
      <c r="B487" s="329"/>
      <c r="C487" s="329"/>
      <c r="D487" s="329"/>
      <c r="E487" s="329"/>
      <c r="F487" s="329"/>
    </row>
    <row r="488" spans="1:8">
      <c r="A488" s="329" t="s">
        <v>315</v>
      </c>
      <c r="B488" s="329"/>
      <c r="C488" s="329"/>
      <c r="D488" s="329"/>
      <c r="E488" s="329"/>
      <c r="F488" s="329"/>
    </row>
    <row r="489" spans="1:8">
      <c r="D489" s="121"/>
    </row>
    <row r="490" spans="1:8" ht="14.65" thickBot="1">
      <c r="A490" s="79" t="s">
        <v>432</v>
      </c>
      <c r="D490" s="121"/>
    </row>
    <row r="491" spans="1:8">
      <c r="A491" s="388" t="s">
        <v>93</v>
      </c>
      <c r="B491" s="323" t="s">
        <v>146</v>
      </c>
      <c r="C491" s="324" t="s">
        <v>147</v>
      </c>
      <c r="D491" s="1024" t="s">
        <v>459</v>
      </c>
      <c r="E491" s="1025"/>
    </row>
    <row r="492" spans="1:8" ht="14.65" thickBot="1">
      <c r="A492" s="220"/>
      <c r="B492" s="6" t="s">
        <v>35</v>
      </c>
      <c r="C492" s="422" t="s">
        <v>35</v>
      </c>
      <c r="D492" s="403" t="s">
        <v>257</v>
      </c>
      <c r="E492" s="155" t="s">
        <v>237</v>
      </c>
    </row>
    <row r="493" spans="1:8">
      <c r="A493" s="137" t="s">
        <v>211</v>
      </c>
      <c r="B493" s="159">
        <f>B482+C482</f>
        <v>3700.9211002871775</v>
      </c>
      <c r="C493" s="501">
        <f>$C$385+$C$135</f>
        <v>22158.653311862647</v>
      </c>
      <c r="D493" s="227">
        <f>B493/C493*1000000</f>
        <v>167019.2248689539</v>
      </c>
      <c r="E493" s="433">
        <f>D493/1000000</f>
        <v>0.1670192248689539</v>
      </c>
    </row>
    <row r="494" spans="1:8">
      <c r="A494" s="113" t="s">
        <v>620</v>
      </c>
      <c r="B494" s="161">
        <f>$D$480</f>
        <v>1829.2190000000001</v>
      </c>
      <c r="C494" s="502">
        <f>$D$442</f>
        <v>24500</v>
      </c>
      <c r="D494" s="229">
        <f>B494/C494*1000000</f>
        <v>74662</v>
      </c>
      <c r="E494" s="434">
        <f t="shared" ref="E494:E496" si="58">D494/1000000</f>
        <v>7.4662000000000006E-2</v>
      </c>
    </row>
    <row r="495" spans="1:8">
      <c r="A495" s="138" t="s">
        <v>96</v>
      </c>
      <c r="B495" s="444">
        <f>C495*31/98</f>
        <v>4661.3553370242616</v>
      </c>
      <c r="C495" s="587">
        <v>14735.897517044441</v>
      </c>
      <c r="D495" s="229">
        <f>B495/C495*1000000</f>
        <v>316326.53061224485</v>
      </c>
      <c r="E495" s="434">
        <f t="shared" si="58"/>
        <v>0.31632653061224486</v>
      </c>
    </row>
    <row r="496" spans="1:8" ht="14.65" thickBot="1">
      <c r="A496" s="330" t="s">
        <v>306</v>
      </c>
      <c r="B496" s="162">
        <f>SUM($B$493:$B$495)</f>
        <v>10191.495437311438</v>
      </c>
      <c r="C496" s="503">
        <f>SUM($C$493:$C$495)</f>
        <v>61394.550828907086</v>
      </c>
      <c r="D496" s="588">
        <f>B496/C496*1000000</f>
        <v>165999.99999532304</v>
      </c>
      <c r="E496" s="589">
        <f t="shared" si="58"/>
        <v>0.16599999999532306</v>
      </c>
    </row>
    <row r="498" spans="1:3" ht="14.65" thickBot="1">
      <c r="A498" s="79" t="s">
        <v>434</v>
      </c>
    </row>
    <row r="499" spans="1:3" ht="14.65" thickBot="1">
      <c r="A499" s="691"/>
      <c r="B499" s="192" t="s">
        <v>18</v>
      </c>
      <c r="C499" s="744" t="s">
        <v>106</v>
      </c>
    </row>
    <row r="500" spans="1:3">
      <c r="A500" s="172" t="s">
        <v>435</v>
      </c>
      <c r="B500" s="745" t="s">
        <v>35</v>
      </c>
      <c r="C500" s="730">
        <f>$C$495</f>
        <v>14735.897517044441</v>
      </c>
    </row>
    <row r="501" spans="1:3">
      <c r="A501" s="108" t="s">
        <v>436</v>
      </c>
      <c r="B501" s="105" t="s">
        <v>35</v>
      </c>
      <c r="C501" s="84">
        <f>C500/75%*25%</f>
        <v>4911.9658390148134</v>
      </c>
    </row>
    <row r="502" spans="1:3" ht="14.65" thickBot="1">
      <c r="A502" s="333" t="s">
        <v>437</v>
      </c>
      <c r="B502" s="381" t="s">
        <v>35</v>
      </c>
      <c r="C502" s="335">
        <f>C500+C501</f>
        <v>19647.863356059253</v>
      </c>
    </row>
    <row r="504" spans="1:3">
      <c r="A504" s="329" t="s">
        <v>316</v>
      </c>
    </row>
    <row r="505" spans="1:3">
      <c r="A505" s="329" t="s">
        <v>317</v>
      </c>
    </row>
    <row r="506" spans="1:3">
      <c r="A506" s="329"/>
    </row>
    <row r="507" spans="1:3" ht="14.65" thickBot="1">
      <c r="A507" s="329" t="s">
        <v>307</v>
      </c>
    </row>
    <row r="508" spans="1:3">
      <c r="A508" s="664" t="s">
        <v>64</v>
      </c>
      <c r="B508" s="665" t="s">
        <v>24</v>
      </c>
      <c r="C508" s="666">
        <v>0.45</v>
      </c>
    </row>
    <row r="509" spans="1:3" ht="14.65" thickBot="1">
      <c r="A509" s="667" t="s">
        <v>66</v>
      </c>
      <c r="B509" s="284" t="s">
        <v>24</v>
      </c>
      <c r="C509" s="663">
        <v>0.55000000000000004</v>
      </c>
    </row>
    <row r="510" spans="1:3">
      <c r="A510" s="329"/>
    </row>
    <row r="511" spans="1:3" ht="14.65" thickBot="1">
      <c r="A511" s="329" t="s">
        <v>363</v>
      </c>
    </row>
    <row r="512" spans="1:3" ht="14.65" thickBot="1">
      <c r="A512" s="191"/>
      <c r="B512" s="192" t="s">
        <v>18</v>
      </c>
      <c r="C512" s="193" t="s">
        <v>106</v>
      </c>
    </row>
    <row r="513" spans="1:3">
      <c r="A513" s="678" t="s">
        <v>374</v>
      </c>
      <c r="B513" s="293" t="s">
        <v>35</v>
      </c>
      <c r="C513" s="294">
        <f>$C$385</f>
        <v>5804.6670337781516</v>
      </c>
    </row>
    <row r="514" spans="1:3">
      <c r="A514" s="679" t="s">
        <v>375</v>
      </c>
      <c r="B514" s="287" t="s">
        <v>35</v>
      </c>
      <c r="C514" s="295">
        <f>$C$135</f>
        <v>16353.986278084496</v>
      </c>
    </row>
    <row r="515" spans="1:3">
      <c r="A515" s="679" t="s">
        <v>607</v>
      </c>
      <c r="B515" s="282" t="s">
        <v>35</v>
      </c>
      <c r="C515" s="370">
        <f>$B$442</f>
        <v>17500</v>
      </c>
    </row>
    <row r="516" spans="1:3">
      <c r="A516" s="679" t="s">
        <v>605</v>
      </c>
      <c r="B516" s="282" t="s">
        <v>35</v>
      </c>
      <c r="C516" s="347">
        <f>$C$442</f>
        <v>7000</v>
      </c>
    </row>
    <row r="517" spans="1:3">
      <c r="A517" s="375" t="s">
        <v>435</v>
      </c>
      <c r="B517" s="287" t="s">
        <v>35</v>
      </c>
      <c r="C517" s="279">
        <f>$C$500</f>
        <v>14735.897517044441</v>
      </c>
    </row>
    <row r="518" spans="1:3" ht="14.65" thickBot="1">
      <c r="A518" s="683" t="s">
        <v>309</v>
      </c>
      <c r="B518" s="215" t="s">
        <v>35</v>
      </c>
      <c r="C518" s="344">
        <f>C513+C514+C515+C516+C517</f>
        <v>61394.550828907086</v>
      </c>
    </row>
    <row r="519" spans="1:3">
      <c r="A519" s="675" t="s">
        <v>345</v>
      </c>
      <c r="B519" s="676" t="s">
        <v>35</v>
      </c>
      <c r="C519" s="342">
        <f>C518/C508*C509</f>
        <v>75037.784346442</v>
      </c>
    </row>
    <row r="520" spans="1:3">
      <c r="A520" s="679" t="s">
        <v>376</v>
      </c>
      <c r="B520" s="287" t="s">
        <v>35</v>
      </c>
      <c r="C520" s="279">
        <f>$C$390</f>
        <v>25603.971630114745</v>
      </c>
    </row>
    <row r="521" spans="1:3">
      <c r="A521" s="679" t="s">
        <v>370</v>
      </c>
      <c r="B521" s="287" t="s">
        <v>35</v>
      </c>
      <c r="C521" s="279">
        <f>$C$152</f>
        <v>8287.9062975250636</v>
      </c>
    </row>
    <row r="522" spans="1:3">
      <c r="A522" s="108" t="s">
        <v>436</v>
      </c>
      <c r="B522" s="287" t="s">
        <v>35</v>
      </c>
      <c r="C522" s="347">
        <f>$C$501</f>
        <v>4911.9658390148134</v>
      </c>
    </row>
    <row r="523" spans="1:3" ht="14.65" thickBot="1">
      <c r="A523" s="680" t="s">
        <v>363</v>
      </c>
      <c r="B523" s="698" t="s">
        <v>35</v>
      </c>
      <c r="C523" s="671">
        <f>C519-C520-C521-C522</f>
        <v>36233.940579787384</v>
      </c>
    </row>
    <row r="525" spans="1:3" ht="14.65" thickBot="1">
      <c r="A525" s="79" t="s">
        <v>289</v>
      </c>
    </row>
    <row r="526" spans="1:3" ht="14.65" thickBot="1">
      <c r="A526" s="191" t="s">
        <v>53</v>
      </c>
      <c r="B526" s="192" t="s">
        <v>18</v>
      </c>
      <c r="C526" s="193" t="s">
        <v>106</v>
      </c>
    </row>
    <row r="527" spans="1:3">
      <c r="A527" s="388" t="s">
        <v>191</v>
      </c>
      <c r="B527" s="3" t="s">
        <v>35</v>
      </c>
      <c r="C527" s="687">
        <f>$C$373</f>
        <v>31408.638663892896</v>
      </c>
    </row>
    <row r="528" spans="1:3">
      <c r="A528" s="219" t="s">
        <v>190</v>
      </c>
      <c r="B528" s="90" t="s">
        <v>35</v>
      </c>
      <c r="C528" s="383">
        <f>$C$148</f>
        <v>24641.89257560956</v>
      </c>
    </row>
    <row r="529" spans="1:3">
      <c r="A529" s="219" t="s">
        <v>607</v>
      </c>
      <c r="B529" s="90" t="s">
        <v>35</v>
      </c>
      <c r="C529" s="383">
        <f>$B$442</f>
        <v>17500</v>
      </c>
    </row>
    <row r="530" spans="1:3">
      <c r="A530" s="219" t="s">
        <v>605</v>
      </c>
      <c r="B530" s="90" t="s">
        <v>35</v>
      </c>
      <c r="C530" s="747">
        <f>$C$442</f>
        <v>7000</v>
      </c>
    </row>
    <row r="531" spans="1:3">
      <c r="A531" s="582" t="s">
        <v>437</v>
      </c>
      <c r="B531" s="724" t="s">
        <v>35</v>
      </c>
      <c r="C531" s="750">
        <f>C502</f>
        <v>19647.863356059253</v>
      </c>
    </row>
    <row r="532" spans="1:3" ht="14.65" thickBot="1">
      <c r="A532" s="748" t="s">
        <v>363</v>
      </c>
      <c r="B532" s="694" t="s">
        <v>35</v>
      </c>
      <c r="C532" s="749">
        <f>C523</f>
        <v>36233.940579787384</v>
      </c>
    </row>
    <row r="534" spans="1:3" ht="14.65" thickBot="1">
      <c r="A534" s="79" t="s">
        <v>290</v>
      </c>
    </row>
    <row r="535" spans="1:3" ht="14.65" thickBot="1">
      <c r="A535" s="191" t="s">
        <v>90</v>
      </c>
      <c r="B535" s="192" t="s">
        <v>18</v>
      </c>
      <c r="C535" s="193" t="s">
        <v>91</v>
      </c>
    </row>
    <row r="536" spans="1:3">
      <c r="A536" s="272" t="s">
        <v>191</v>
      </c>
      <c r="B536" s="308" t="s">
        <v>35</v>
      </c>
      <c r="C536" s="614">
        <f>C373</f>
        <v>31408.638663892896</v>
      </c>
    </row>
    <row r="537" spans="1:3">
      <c r="A537" s="257" t="s">
        <v>190</v>
      </c>
      <c r="B537" s="282" t="s">
        <v>35</v>
      </c>
      <c r="C537" s="370">
        <f>$C$148</f>
        <v>24641.89257560956</v>
      </c>
    </row>
    <row r="538" spans="1:3">
      <c r="A538" s="257" t="s">
        <v>607</v>
      </c>
      <c r="B538" s="282" t="s">
        <v>35</v>
      </c>
      <c r="C538" s="370">
        <f>$B$442</f>
        <v>17500</v>
      </c>
    </row>
    <row r="539" spans="1:3">
      <c r="A539" s="257" t="s">
        <v>605</v>
      </c>
      <c r="B539" s="282" t="s">
        <v>35</v>
      </c>
      <c r="C539" s="347">
        <f>$C$442</f>
        <v>7000</v>
      </c>
    </row>
    <row r="540" spans="1:3">
      <c r="A540" s="108" t="s">
        <v>437</v>
      </c>
      <c r="B540" s="178" t="s">
        <v>35</v>
      </c>
      <c r="C540" s="84">
        <f>C502</f>
        <v>19647.863356059253</v>
      </c>
    </row>
    <row r="541" spans="1:3">
      <c r="A541" s="68" t="s">
        <v>363</v>
      </c>
      <c r="B541" s="178" t="s">
        <v>35</v>
      </c>
      <c r="C541" s="82">
        <f>C523</f>
        <v>36233.940579787384</v>
      </c>
    </row>
    <row r="542" spans="1:3" ht="14.65" thickBot="1">
      <c r="A542" s="255" t="s">
        <v>305</v>
      </c>
      <c r="B542" s="677" t="s">
        <v>35</v>
      </c>
      <c r="C542" s="256">
        <f>SUM(C536:C541)</f>
        <v>136432.33517534909</v>
      </c>
    </row>
    <row r="544" spans="1:3" ht="14.65" thickBot="1">
      <c r="A544" s="79" t="s">
        <v>307</v>
      </c>
      <c r="B544" s="79"/>
      <c r="C544" s="79"/>
    </row>
    <row r="545" spans="1:3" ht="14.65" thickBot="1">
      <c r="A545" s="103" t="s">
        <v>90</v>
      </c>
      <c r="B545" s="102" t="s">
        <v>18</v>
      </c>
      <c r="C545" s="17" t="s">
        <v>106</v>
      </c>
    </row>
    <row r="546" spans="1:3">
      <c r="A546" s="276" t="s">
        <v>374</v>
      </c>
      <c r="B546" s="296" t="s">
        <v>35</v>
      </c>
      <c r="C546" s="297">
        <f>$C$385</f>
        <v>5804.6670337781516</v>
      </c>
    </row>
    <row r="547" spans="1:3">
      <c r="A547" s="257" t="s">
        <v>375</v>
      </c>
      <c r="B547" s="278" t="s">
        <v>35</v>
      </c>
      <c r="C547" s="295">
        <f>$C$150</f>
        <v>16353.986278084496</v>
      </c>
    </row>
    <row r="548" spans="1:3">
      <c r="A548" s="257" t="s">
        <v>607</v>
      </c>
      <c r="B548" s="346" t="s">
        <v>35</v>
      </c>
      <c r="C548" s="370">
        <f>$B$442</f>
        <v>17500</v>
      </c>
    </row>
    <row r="549" spans="1:3">
      <c r="A549" s="257" t="s">
        <v>605</v>
      </c>
      <c r="B549" s="346" t="s">
        <v>35</v>
      </c>
      <c r="C549" s="347">
        <f>$C$442</f>
        <v>7000</v>
      </c>
    </row>
    <row r="550" spans="1:3">
      <c r="A550" s="348" t="s">
        <v>435</v>
      </c>
      <c r="B550" s="278" t="s">
        <v>35</v>
      </c>
      <c r="C550" s="279">
        <f>$C$500</f>
        <v>14735.897517044441</v>
      </c>
    </row>
    <row r="551" spans="1:3">
      <c r="A551" s="257" t="s">
        <v>309</v>
      </c>
      <c r="B551" s="278" t="s">
        <v>35</v>
      </c>
      <c r="C551" s="279">
        <f>C546+C547+C548+C549+C550</f>
        <v>61394.550828907086</v>
      </c>
    </row>
    <row r="552" spans="1:3">
      <c r="A552" s="257" t="s">
        <v>305</v>
      </c>
      <c r="B552" s="278" t="s">
        <v>35</v>
      </c>
      <c r="C552" s="279">
        <f>C542</f>
        <v>136432.33517534909</v>
      </c>
    </row>
    <row r="553" spans="1:3">
      <c r="A553" s="299" t="s">
        <v>64</v>
      </c>
      <c r="B553" s="260" t="s">
        <v>24</v>
      </c>
      <c r="C553" s="371">
        <f>C551/C552</f>
        <v>0.44999999999999996</v>
      </c>
    </row>
    <row r="554" spans="1:3">
      <c r="A554" s="108" t="s">
        <v>437</v>
      </c>
      <c r="B554" s="178" t="s">
        <v>35</v>
      </c>
      <c r="C554" s="84">
        <f>C501</f>
        <v>4911.9658390148134</v>
      </c>
    </row>
    <row r="555" spans="1:3">
      <c r="A555" s="257" t="s">
        <v>376</v>
      </c>
      <c r="B555" s="278" t="s">
        <v>35</v>
      </c>
      <c r="C555" s="279">
        <f>$C$390</f>
        <v>25603.971630114745</v>
      </c>
    </row>
    <row r="556" spans="1:3">
      <c r="A556" s="257" t="s">
        <v>370</v>
      </c>
      <c r="B556" s="278" t="s">
        <v>35</v>
      </c>
      <c r="C556" s="279">
        <f>$C$152</f>
        <v>8287.9062975250636</v>
      </c>
    </row>
    <row r="557" spans="1:3">
      <c r="A557" s="68" t="s">
        <v>363</v>
      </c>
      <c r="B557" s="178" t="s">
        <v>35</v>
      </c>
      <c r="C557" s="82">
        <f>C523</f>
        <v>36233.940579787384</v>
      </c>
    </row>
    <row r="558" spans="1:3">
      <c r="A558" s="257" t="s">
        <v>345</v>
      </c>
      <c r="B558" s="278" t="s">
        <v>35</v>
      </c>
      <c r="C558" s="279">
        <f>C554+C555+C556+C557</f>
        <v>75037.784346442</v>
      </c>
    </row>
    <row r="559" spans="1:3">
      <c r="A559" s="257" t="s">
        <v>305</v>
      </c>
      <c r="B559" s="278" t="s">
        <v>35</v>
      </c>
      <c r="C559" s="279">
        <f>C542</f>
        <v>136432.33517534909</v>
      </c>
    </row>
    <row r="560" spans="1:3" ht="14.65" thickBot="1">
      <c r="A560" s="301" t="s">
        <v>66</v>
      </c>
      <c r="B560" s="277" t="s">
        <v>24</v>
      </c>
      <c r="C560" s="303">
        <f>C558/C559</f>
        <v>0.55000000000000004</v>
      </c>
    </row>
    <row r="562" spans="1:9" ht="14.65" thickBot="1">
      <c r="A562" s="79" t="s">
        <v>308</v>
      </c>
    </row>
    <row r="563" spans="1:9" ht="14.65" thickBot="1">
      <c r="A563" s="419"/>
      <c r="B563" s="1019" t="s">
        <v>262</v>
      </c>
      <c r="C563" s="1021"/>
      <c r="D563" s="1021"/>
      <c r="E563" s="1021"/>
      <c r="F563" s="1021"/>
      <c r="G563" s="1021"/>
      <c r="H563" s="1019" t="s">
        <v>263</v>
      </c>
      <c r="I563" s="1020"/>
    </row>
    <row r="564" spans="1:9">
      <c r="A564" s="92" t="s">
        <v>93</v>
      </c>
      <c r="B564" s="323" t="s">
        <v>208</v>
      </c>
      <c r="C564" s="274" t="s">
        <v>198</v>
      </c>
      <c r="D564" s="274" t="s">
        <v>618</v>
      </c>
      <c r="E564" s="274" t="s">
        <v>153</v>
      </c>
      <c r="F564" s="274" t="s">
        <v>142</v>
      </c>
      <c r="G564" s="324" t="s">
        <v>309</v>
      </c>
      <c r="H564" s="1094" t="s">
        <v>459</v>
      </c>
      <c r="I564" s="1095"/>
    </row>
    <row r="565" spans="1:9" ht="14.65" thickBot="1">
      <c r="A565" s="93" t="s">
        <v>297</v>
      </c>
      <c r="B565" s="6" t="s">
        <v>35</v>
      </c>
      <c r="C565" s="7" t="s">
        <v>35</v>
      </c>
      <c r="D565" s="7" t="s">
        <v>35</v>
      </c>
      <c r="E565" s="7" t="s">
        <v>35</v>
      </c>
      <c r="F565" s="7" t="s">
        <v>35</v>
      </c>
      <c r="G565" s="422" t="s">
        <v>35</v>
      </c>
      <c r="H565" s="530" t="s">
        <v>70</v>
      </c>
      <c r="I565" s="155" t="s">
        <v>237</v>
      </c>
    </row>
    <row r="566" spans="1:9">
      <c r="A566" s="111" t="s">
        <v>72</v>
      </c>
      <c r="B566" s="540">
        <f t="shared" ref="B566:D576" si="59">B469</f>
        <v>143.79298619296361</v>
      </c>
      <c r="C566" s="567">
        <f t="shared" si="59"/>
        <v>314.55769308450101</v>
      </c>
      <c r="D566" s="567">
        <f t="shared" si="59"/>
        <v>1547.5740000000001</v>
      </c>
      <c r="E566" s="428">
        <v>0</v>
      </c>
      <c r="F566" s="428">
        <f>B566+C566+D566+E566</f>
        <v>2005.9246792774647</v>
      </c>
      <c r="G566" s="545">
        <f t="shared" ref="G566:G580" si="60">$C$551</f>
        <v>61394.550828907086</v>
      </c>
      <c r="H566" s="557">
        <f>F566/G566*1000000</f>
        <v>32672.682708723278</v>
      </c>
      <c r="I566" s="433">
        <f>H566/1000000</f>
        <v>3.2672682708723276E-2</v>
      </c>
    </row>
    <row r="567" spans="1:9">
      <c r="A567" s="112" t="s">
        <v>73</v>
      </c>
      <c r="B567" s="543">
        <f t="shared" si="59"/>
        <v>1.5383360039007782E-2</v>
      </c>
      <c r="C567" s="484">
        <f t="shared" si="59"/>
        <v>0.18497665593550353</v>
      </c>
      <c r="D567" s="484">
        <f t="shared" si="59"/>
        <v>0.61250000000000004</v>
      </c>
      <c r="E567" s="235">
        <v>0</v>
      </c>
      <c r="F567" s="238">
        <f t="shared" ref="F567:F580" si="61">B567+C567+D567+E567</f>
        <v>0.81286001597451141</v>
      </c>
      <c r="G567" s="596">
        <f t="shared" si="60"/>
        <v>61394.550828907086</v>
      </c>
      <c r="H567" s="558">
        <f t="shared" ref="H567:H580" si="62">F567/G567*1000000</f>
        <v>13.2399375025932</v>
      </c>
      <c r="I567" s="434">
        <f t="shared" ref="I567:I580" si="63">H567/1000000</f>
        <v>1.3239937502593201E-5</v>
      </c>
    </row>
    <row r="568" spans="1:9">
      <c r="A568" s="112" t="s">
        <v>74</v>
      </c>
      <c r="B568" s="543">
        <f t="shared" si="59"/>
        <v>400.06799831618599</v>
      </c>
      <c r="C568" s="484">
        <f>C471</f>
        <v>1483.5274826547038</v>
      </c>
      <c r="D568" s="484">
        <f t="shared" si="59"/>
        <v>2275.1098999999999</v>
      </c>
      <c r="E568" s="235">
        <v>0</v>
      </c>
      <c r="F568" s="238">
        <f t="shared" si="61"/>
        <v>4158.7053809708896</v>
      </c>
      <c r="G568" s="596">
        <f t="shared" si="60"/>
        <v>61394.550828907086</v>
      </c>
      <c r="H568" s="558">
        <f t="shared" si="62"/>
        <v>67737.369600769191</v>
      </c>
      <c r="I568" s="434">
        <f t="shared" si="63"/>
        <v>6.773736960076919E-2</v>
      </c>
    </row>
    <row r="569" spans="1:9">
      <c r="A569" s="112" t="s">
        <v>75</v>
      </c>
      <c r="B569" s="543">
        <f t="shared" si="59"/>
        <v>2.263868530902749E-2</v>
      </c>
      <c r="C569" s="485">
        <f>C472</f>
        <v>1.8243629186762075E-2</v>
      </c>
      <c r="D569" s="484">
        <f t="shared" si="59"/>
        <v>5.2499999999999998E-2</v>
      </c>
      <c r="E569" s="235">
        <v>0</v>
      </c>
      <c r="F569" s="238">
        <f t="shared" si="61"/>
        <v>9.338231449578957E-2</v>
      </c>
      <c r="G569" s="596">
        <f t="shared" si="60"/>
        <v>61394.550828907086</v>
      </c>
      <c r="H569" s="558">
        <f t="shared" si="62"/>
        <v>1.5210195894424774</v>
      </c>
      <c r="I569" s="434">
        <f t="shared" si="63"/>
        <v>1.5210195894424775E-6</v>
      </c>
    </row>
    <row r="570" spans="1:9">
      <c r="A570" s="112" t="s">
        <v>76</v>
      </c>
      <c r="B570" s="543">
        <f t="shared" si="59"/>
        <v>0.23513193774234989</v>
      </c>
      <c r="C570" s="484">
        <f t="shared" si="59"/>
        <v>1.3759937566730023</v>
      </c>
      <c r="D570" s="484">
        <f t="shared" si="59"/>
        <v>1.9698</v>
      </c>
      <c r="E570" s="235">
        <v>0</v>
      </c>
      <c r="F570" s="238">
        <f t="shared" si="61"/>
        <v>3.5809256944153525</v>
      </c>
      <c r="G570" s="596">
        <f t="shared" si="60"/>
        <v>61394.550828907086</v>
      </c>
      <c r="H570" s="558">
        <f t="shared" si="62"/>
        <v>58.326441778108176</v>
      </c>
      <c r="I570" s="434">
        <f t="shared" si="63"/>
        <v>5.8326441778108179E-5</v>
      </c>
    </row>
    <row r="571" spans="1:9">
      <c r="A571" s="113" t="s">
        <v>77</v>
      </c>
      <c r="B571" s="543">
        <f t="shared" si="59"/>
        <v>1.7315261642911084E-2</v>
      </c>
      <c r="C571" s="484">
        <f t="shared" si="59"/>
        <v>6.039786008771177</v>
      </c>
      <c r="D571" s="484">
        <f t="shared" si="59"/>
        <v>19.295499999999997</v>
      </c>
      <c r="E571" s="235">
        <v>0</v>
      </c>
      <c r="F571" s="238">
        <f t="shared" si="61"/>
        <v>25.352601270414084</v>
      </c>
      <c r="G571" s="596">
        <f t="shared" si="60"/>
        <v>61394.550828907086</v>
      </c>
      <c r="H571" s="558">
        <f t="shared" si="62"/>
        <v>412.94546385828488</v>
      </c>
      <c r="I571" s="434">
        <f t="shared" si="63"/>
        <v>4.1294546385828486E-4</v>
      </c>
    </row>
    <row r="572" spans="1:9">
      <c r="A572" s="113" t="s">
        <v>78</v>
      </c>
      <c r="B572" s="543">
        <f t="shared" si="59"/>
        <v>190.33693285077021</v>
      </c>
      <c r="C572" s="484">
        <f t="shared" si="59"/>
        <v>842.2646545898433</v>
      </c>
      <c r="D572" s="484">
        <f t="shared" si="59"/>
        <v>2077.7049999999999</v>
      </c>
      <c r="E572" s="235">
        <v>0</v>
      </c>
      <c r="F572" s="238">
        <f t="shared" si="61"/>
        <v>3110.3065874406134</v>
      </c>
      <c r="G572" s="596">
        <f t="shared" si="60"/>
        <v>61394.550828907086</v>
      </c>
      <c r="H572" s="558">
        <f t="shared" si="62"/>
        <v>50660.955173503004</v>
      </c>
      <c r="I572" s="434">
        <f t="shared" si="63"/>
        <v>5.0660955173503004E-2</v>
      </c>
    </row>
    <row r="573" spans="1:9">
      <c r="A573" s="113" t="s">
        <v>79</v>
      </c>
      <c r="B573" s="543">
        <f t="shared" si="59"/>
        <v>31.068216465474723</v>
      </c>
      <c r="C573" s="484">
        <f t="shared" si="59"/>
        <v>65.631960136559798</v>
      </c>
      <c r="D573" s="484">
        <f t="shared" si="59"/>
        <v>232.9992</v>
      </c>
      <c r="E573" s="235">
        <v>0</v>
      </c>
      <c r="F573" s="238">
        <f t="shared" si="61"/>
        <v>329.69937660203453</v>
      </c>
      <c r="G573" s="596">
        <f t="shared" si="60"/>
        <v>61394.550828907086</v>
      </c>
      <c r="H573" s="558">
        <f t="shared" si="62"/>
        <v>5370.1732833070664</v>
      </c>
      <c r="I573" s="434">
        <f t="shared" si="63"/>
        <v>5.3701732833070668E-3</v>
      </c>
    </row>
    <row r="574" spans="1:9">
      <c r="A574" s="113" t="s">
        <v>80</v>
      </c>
      <c r="B574" s="543">
        <f t="shared" si="59"/>
        <v>57.810567303083239</v>
      </c>
      <c r="C574" s="484">
        <f t="shared" si="59"/>
        <v>93.527121178655904</v>
      </c>
      <c r="D574" s="484">
        <f t="shared" si="59"/>
        <v>302.29978333333338</v>
      </c>
      <c r="E574" s="235">
        <v>0</v>
      </c>
      <c r="F574" s="238">
        <f t="shared" si="61"/>
        <v>453.63747181507256</v>
      </c>
      <c r="G574" s="596">
        <f t="shared" si="60"/>
        <v>61394.550828907086</v>
      </c>
      <c r="H574" s="558">
        <f t="shared" si="62"/>
        <v>7388.8881943164461</v>
      </c>
      <c r="I574" s="434">
        <f t="shared" si="63"/>
        <v>7.3888881943164463E-3</v>
      </c>
    </row>
    <row r="575" spans="1:9">
      <c r="A575" s="113" t="s">
        <v>81</v>
      </c>
      <c r="B575" s="543">
        <f t="shared" si="59"/>
        <v>46.173115761052493</v>
      </c>
      <c r="C575" s="484">
        <f t="shared" si="59"/>
        <v>62.86556879304073</v>
      </c>
      <c r="D575" s="484">
        <f t="shared" si="59"/>
        <v>67.697699999999998</v>
      </c>
      <c r="E575" s="235">
        <v>0</v>
      </c>
      <c r="F575" s="238">
        <f t="shared" si="61"/>
        <v>176.73638455409321</v>
      </c>
      <c r="G575" s="596">
        <f t="shared" si="60"/>
        <v>61394.550828907086</v>
      </c>
      <c r="H575" s="558">
        <f t="shared" si="62"/>
        <v>2878.6982259487181</v>
      </c>
      <c r="I575" s="434">
        <f t="shared" si="63"/>
        <v>2.8786982259487179E-3</v>
      </c>
    </row>
    <row r="576" spans="1:9">
      <c r="A576" s="113" t="s">
        <v>82</v>
      </c>
      <c r="B576" s="543">
        <f t="shared" si="59"/>
        <v>0.39924724602726508</v>
      </c>
      <c r="C576" s="484">
        <f t="shared" si="59"/>
        <v>1.0713297024672928</v>
      </c>
      <c r="D576" s="484">
        <f t="shared" si="59"/>
        <v>1.4619499999999999</v>
      </c>
      <c r="E576" s="235">
        <v>0</v>
      </c>
      <c r="F576" s="238">
        <f t="shared" si="61"/>
        <v>2.9325269484945578</v>
      </c>
      <c r="G576" s="596">
        <f t="shared" si="60"/>
        <v>61394.550828907086</v>
      </c>
      <c r="H576" s="558">
        <f t="shared" si="62"/>
        <v>47.765264325605315</v>
      </c>
      <c r="I576" s="434">
        <f t="shared" si="63"/>
        <v>4.7765264325605316E-5</v>
      </c>
    </row>
    <row r="577" spans="1:9">
      <c r="A577" s="327" t="s">
        <v>154</v>
      </c>
      <c r="B577" s="712">
        <f>B482</f>
        <v>3275.4900925828497</v>
      </c>
      <c r="C577" s="485">
        <f>C482</f>
        <v>425.43100770432784</v>
      </c>
      <c r="D577" s="484">
        <f>D482</f>
        <v>1829.2190000000001</v>
      </c>
      <c r="E577" s="364">
        <f>B495</f>
        <v>4661.3553370242616</v>
      </c>
      <c r="F577" s="238">
        <f t="shared" si="61"/>
        <v>10191.495437311438</v>
      </c>
      <c r="G577" s="596">
        <f t="shared" si="60"/>
        <v>61394.550828907086</v>
      </c>
      <c r="H577" s="597">
        <f t="shared" si="62"/>
        <v>165999.99999532304</v>
      </c>
      <c r="I577" s="585">
        <f t="shared" si="63"/>
        <v>0.16599999999532306</v>
      </c>
    </row>
    <row r="578" spans="1:9">
      <c r="A578" s="401" t="s">
        <v>84</v>
      </c>
      <c r="B578" s="543">
        <f t="shared" ref="B578:D580" si="64">B483</f>
        <v>7.9525031961854564E-2</v>
      </c>
      <c r="C578" s="484">
        <f t="shared" si="64"/>
        <v>1.3874034095626235</v>
      </c>
      <c r="D578" s="484">
        <f>D483</f>
        <v>2.6088999999999998</v>
      </c>
      <c r="E578" s="577">
        <v>0</v>
      </c>
      <c r="F578" s="238">
        <f t="shared" si="61"/>
        <v>4.0758284415244779</v>
      </c>
      <c r="G578" s="596">
        <f t="shared" si="60"/>
        <v>61394.550828907086</v>
      </c>
      <c r="H578" s="558">
        <f t="shared" si="62"/>
        <v>66.387462510848934</v>
      </c>
      <c r="I578" s="434">
        <f t="shared" si="63"/>
        <v>6.6387462510848928E-5</v>
      </c>
    </row>
    <row r="579" spans="1:9">
      <c r="A579" s="401" t="s">
        <v>85</v>
      </c>
      <c r="B579" s="543">
        <f t="shared" si="64"/>
        <v>0</v>
      </c>
      <c r="C579" s="484">
        <f t="shared" si="64"/>
        <v>780.92693660429597</v>
      </c>
      <c r="D579" s="484">
        <f t="shared" si="64"/>
        <v>124.30895555555556</v>
      </c>
      <c r="E579" s="577">
        <v>0</v>
      </c>
      <c r="F579" s="238">
        <f t="shared" si="61"/>
        <v>905.23589215985157</v>
      </c>
      <c r="G579" s="596">
        <f t="shared" si="60"/>
        <v>61394.550828907086</v>
      </c>
      <c r="H579" s="558">
        <f t="shared" si="62"/>
        <v>14744.564133754184</v>
      </c>
      <c r="I579" s="434">
        <f t="shared" si="63"/>
        <v>1.4744564133754183E-2</v>
      </c>
    </row>
    <row r="580" spans="1:9" ht="14.65" thickBot="1">
      <c r="A580" s="343" t="s">
        <v>86</v>
      </c>
      <c r="B580" s="598">
        <f t="shared" si="64"/>
        <v>0.32239106790846428</v>
      </c>
      <c r="C580" s="599">
        <f t="shared" si="64"/>
        <v>21.427022457708095</v>
      </c>
      <c r="D580" s="599">
        <f t="shared" si="64"/>
        <v>53.472999999999999</v>
      </c>
      <c r="E580" s="379">
        <v>0</v>
      </c>
      <c r="F580" s="600">
        <f t="shared" si="61"/>
        <v>75.22241352561656</v>
      </c>
      <c r="G580" s="601">
        <f t="shared" si="60"/>
        <v>61394.550828907086</v>
      </c>
      <c r="H580" s="559">
        <f t="shared" si="62"/>
        <v>1225.2294790012331</v>
      </c>
      <c r="I580" s="439">
        <f t="shared" si="63"/>
        <v>1.2252294790012332E-3</v>
      </c>
    </row>
    <row r="581" spans="1:9">
      <c r="E581" s="146"/>
      <c r="F581" s="96"/>
      <c r="G581" s="95"/>
      <c r="H581" s="95"/>
    </row>
    <row r="582" spans="1:9">
      <c r="A582" s="1" t="s">
        <v>155</v>
      </c>
      <c r="B582" s="1"/>
      <c r="C582" s="1"/>
      <c r="E582" s="146"/>
      <c r="F582" s="96"/>
      <c r="G582" s="95"/>
      <c r="H582" s="95"/>
    </row>
    <row r="583" spans="1:9" ht="14.65" thickBot="1">
      <c r="A583" s="79" t="s">
        <v>291</v>
      </c>
    </row>
    <row r="584" spans="1:9" ht="14.65" thickBot="1">
      <c r="A584" s="103" t="s">
        <v>53</v>
      </c>
      <c r="B584" s="102" t="s">
        <v>18</v>
      </c>
      <c r="C584" s="17" t="s">
        <v>106</v>
      </c>
    </row>
    <row r="585" spans="1:9" ht="14.65" thickBot="1">
      <c r="A585" s="163" t="s">
        <v>305</v>
      </c>
      <c r="B585" s="290" t="s">
        <v>35</v>
      </c>
      <c r="C585" s="384">
        <f>$C$542</f>
        <v>136432.33517534909</v>
      </c>
    </row>
    <row r="587" spans="1:9">
      <c r="A587" s="329" t="s">
        <v>319</v>
      </c>
      <c r="B587" s="329"/>
    </row>
    <row r="589" spans="1:9" ht="14.65" thickBot="1">
      <c r="A589" s="79" t="s">
        <v>292</v>
      </c>
    </row>
    <row r="590" spans="1:9" ht="14.65" thickBot="1">
      <c r="A590" s="191" t="s">
        <v>90</v>
      </c>
      <c r="B590" s="192" t="s">
        <v>18</v>
      </c>
      <c r="C590" s="193" t="s">
        <v>91</v>
      </c>
    </row>
    <row r="591" spans="1:9">
      <c r="A591" s="703" t="s">
        <v>314</v>
      </c>
      <c r="B591" s="692" t="s">
        <v>35</v>
      </c>
      <c r="C591" s="730">
        <f>$C$551</f>
        <v>61394.550828907086</v>
      </c>
    </row>
    <row r="592" spans="1:9">
      <c r="A592" s="232" t="s">
        <v>320</v>
      </c>
      <c r="B592" s="178" t="s">
        <v>237</v>
      </c>
      <c r="C592" s="722">
        <v>0.95</v>
      </c>
    </row>
    <row r="593" spans="1:3">
      <c r="A593" s="720" t="s">
        <v>17</v>
      </c>
      <c r="B593" s="724" t="s">
        <v>35</v>
      </c>
      <c r="C593" s="718">
        <f>C591/C592</f>
        <v>64625.842977796936</v>
      </c>
    </row>
    <row r="594" spans="1:3">
      <c r="A594" s="232" t="s">
        <v>321</v>
      </c>
      <c r="B594" s="178" t="s">
        <v>237</v>
      </c>
      <c r="C594" s="722">
        <f>100%-C592</f>
        <v>5.0000000000000044E-2</v>
      </c>
    </row>
    <row r="595" spans="1:3">
      <c r="A595" s="232" t="s">
        <v>348</v>
      </c>
      <c r="B595" s="178" t="s">
        <v>35</v>
      </c>
      <c r="C595" s="84">
        <f>C593*C594</f>
        <v>3231.2921488898496</v>
      </c>
    </row>
    <row r="596" spans="1:3" ht="14.65" thickBot="1">
      <c r="A596" s="680" t="s">
        <v>16</v>
      </c>
      <c r="B596" s="694" t="s">
        <v>35</v>
      </c>
      <c r="C596" s="671">
        <f>$C$558-C595</f>
        <v>71806.492197552157</v>
      </c>
    </row>
    <row r="598" spans="1:3" ht="14.65" thickBot="1">
      <c r="A598" s="1" t="s">
        <v>401</v>
      </c>
      <c r="B598" s="1"/>
      <c r="C598" s="1"/>
    </row>
    <row r="599" spans="1:3" ht="14.65" thickBot="1">
      <c r="A599" s="9" t="s">
        <v>402</v>
      </c>
      <c r="B599" s="790" t="s">
        <v>297</v>
      </c>
      <c r="C599" s="789" t="s">
        <v>403</v>
      </c>
    </row>
    <row r="600" spans="1:3">
      <c r="A600" s="134" t="s">
        <v>329</v>
      </c>
      <c r="B600" s="793" t="s">
        <v>35</v>
      </c>
      <c r="C600" s="795">
        <f>C26</f>
        <v>1727.9999999999998</v>
      </c>
    </row>
    <row r="601" spans="1:3">
      <c r="A601" s="68" t="s">
        <v>331</v>
      </c>
      <c r="B601" s="105" t="s">
        <v>35</v>
      </c>
      <c r="C601" s="84">
        <f>C30</f>
        <v>22200</v>
      </c>
    </row>
    <row r="602" spans="1:3">
      <c r="A602" s="68" t="s">
        <v>409</v>
      </c>
      <c r="B602" s="105" t="s">
        <v>35</v>
      </c>
      <c r="C602" s="84">
        <f>C32</f>
        <v>9024</v>
      </c>
    </row>
    <row r="603" spans="1:3">
      <c r="A603" s="68" t="s">
        <v>410</v>
      </c>
      <c r="B603" s="105" t="s">
        <v>35</v>
      </c>
      <c r="C603" s="82">
        <f>C35</f>
        <v>22560</v>
      </c>
    </row>
    <row r="604" spans="1:3">
      <c r="A604" s="68" t="s">
        <v>404</v>
      </c>
      <c r="B604" s="105" t="s">
        <v>35</v>
      </c>
      <c r="C604" s="80">
        <f>ISH</f>
        <v>12000</v>
      </c>
    </row>
    <row r="605" spans="1:3">
      <c r="A605" s="68" t="s">
        <v>406</v>
      </c>
      <c r="B605" s="105" t="s">
        <v>35</v>
      </c>
      <c r="C605" s="80">
        <f>TVM</f>
        <v>17500</v>
      </c>
    </row>
    <row r="606" spans="1:3">
      <c r="A606" s="68" t="s">
        <v>405</v>
      </c>
      <c r="B606" s="105" t="s">
        <v>35</v>
      </c>
      <c r="C606" s="80">
        <f>SEF</f>
        <v>7000</v>
      </c>
    </row>
    <row r="607" spans="1:3">
      <c r="A607" s="68" t="s">
        <v>334</v>
      </c>
      <c r="B607" s="105" t="s">
        <v>35</v>
      </c>
      <c r="C607" s="86">
        <f>C243</f>
        <v>443.64818420141097</v>
      </c>
    </row>
    <row r="608" spans="1:3">
      <c r="A608" s="68" t="s">
        <v>408</v>
      </c>
      <c r="B608" s="105" t="s">
        <v>35</v>
      </c>
      <c r="C608" s="84">
        <f>C500</f>
        <v>14735.897517044441</v>
      </c>
    </row>
    <row r="609" spans="1:5">
      <c r="A609" s="68" t="s">
        <v>411</v>
      </c>
      <c r="B609" s="105" t="s">
        <v>35</v>
      </c>
      <c r="C609" s="84">
        <f>C502</f>
        <v>19647.863356059253</v>
      </c>
    </row>
    <row r="610" spans="1:5">
      <c r="A610" s="794" t="s">
        <v>412</v>
      </c>
      <c r="B610" s="105" t="s">
        <v>35</v>
      </c>
      <c r="C610" s="84">
        <f>C602+C608</f>
        <v>23759.897517044439</v>
      </c>
    </row>
    <row r="611" spans="1:5" ht="14.65" thickBot="1">
      <c r="A611" s="73" t="s">
        <v>407</v>
      </c>
      <c r="B611" s="23" t="s">
        <v>35</v>
      </c>
      <c r="C611" s="237">
        <f>C523</f>
        <v>36233.940579787384</v>
      </c>
    </row>
    <row r="613" spans="1:5" ht="14.65" thickBot="1">
      <c r="A613" s="1" t="s">
        <v>235</v>
      </c>
      <c r="B613" s="1"/>
      <c r="C613" s="1"/>
      <c r="D613" s="79"/>
      <c r="E613" s="79"/>
    </row>
    <row r="614" spans="1:5" ht="14.65" thickBot="1">
      <c r="A614" s="512"/>
      <c r="B614" s="249" t="s">
        <v>18</v>
      </c>
      <c r="C614" s="249" t="s">
        <v>234</v>
      </c>
    </row>
    <row r="615" spans="1:5">
      <c r="A615" s="134" t="s">
        <v>232</v>
      </c>
      <c r="B615" s="509" t="s">
        <v>24</v>
      </c>
      <c r="C615" s="248">
        <v>0.38</v>
      </c>
    </row>
    <row r="616" spans="1:5">
      <c r="A616" s="68" t="s">
        <v>314</v>
      </c>
      <c r="B616" s="510" t="s">
        <v>35</v>
      </c>
      <c r="C616" s="244">
        <f>C591</f>
        <v>61394.550828907086</v>
      </c>
    </row>
    <row r="617" spans="1:5">
      <c r="A617" s="68" t="s">
        <v>349</v>
      </c>
      <c r="B617" s="510" t="s">
        <v>35</v>
      </c>
      <c r="C617" s="245">
        <f>C616*C615</f>
        <v>23329.929314984693</v>
      </c>
    </row>
    <row r="618" spans="1:5">
      <c r="A618" s="68" t="s">
        <v>350</v>
      </c>
      <c r="B618" s="510" t="s">
        <v>35</v>
      </c>
      <c r="C618" s="246">
        <f>F569</f>
        <v>9.338231449578957E-2</v>
      </c>
    </row>
    <row r="619" spans="1:5" ht="14.65" thickBot="1">
      <c r="A619" s="73" t="s">
        <v>351</v>
      </c>
      <c r="B619" s="511" t="s">
        <v>240</v>
      </c>
      <c r="C619" s="931">
        <f>C618/C617*1000000</f>
        <v>4.0026831301117829</v>
      </c>
    </row>
    <row r="620" spans="1:5" ht="14.65" thickBot="1">
      <c r="A620" s="329"/>
    </row>
    <row r="621" spans="1:5" ht="14.65" thickBot="1">
      <c r="A621" s="212"/>
      <c r="B621" s="1087" t="s">
        <v>216</v>
      </c>
      <c r="C621" s="1091" t="s">
        <v>165</v>
      </c>
      <c r="D621" s="1012"/>
    </row>
    <row r="622" spans="1:5">
      <c r="A622" s="487" t="s">
        <v>67</v>
      </c>
      <c r="B622" s="1088"/>
      <c r="C622" s="104" t="s">
        <v>166</v>
      </c>
      <c r="D622" s="15" t="s">
        <v>167</v>
      </c>
    </row>
    <row r="623" spans="1:5" ht="14.65" thickBot="1">
      <c r="A623" s="133" t="s">
        <v>18</v>
      </c>
      <c r="B623" s="609" t="s">
        <v>241</v>
      </c>
      <c r="C623" s="23" t="s">
        <v>70</v>
      </c>
      <c r="D623" s="24" t="s">
        <v>70</v>
      </c>
    </row>
    <row r="624" spans="1:5">
      <c r="A624" s="134" t="s">
        <v>222</v>
      </c>
      <c r="B624" s="681">
        <f>H567</f>
        <v>13.2399375025932</v>
      </c>
      <c r="C624" s="484">
        <f>Rohdaten!$F$12</f>
        <v>40</v>
      </c>
      <c r="D624" s="110">
        <f>Rohdaten!$H$12</f>
        <v>40</v>
      </c>
    </row>
    <row r="625" spans="1:4">
      <c r="A625" s="68" t="s">
        <v>223</v>
      </c>
      <c r="B625" s="930">
        <f>C619</f>
        <v>4.0026831301117829</v>
      </c>
      <c r="C625" s="105" t="str">
        <f>Rohdaten!$F$14</f>
        <v>50mg/kgP2O5</v>
      </c>
      <c r="D625" s="80" t="str">
        <f>Rohdaten!$H$14</f>
        <v>60mg/kgP2O5</v>
      </c>
    </row>
    <row r="626" spans="1:4">
      <c r="A626" s="68" t="s">
        <v>224</v>
      </c>
      <c r="B626" s="606">
        <f>H571</f>
        <v>412.94546385828488</v>
      </c>
      <c r="C626" s="485">
        <f>Rohdaten!$F$16</f>
        <v>900</v>
      </c>
      <c r="D626" s="82">
        <f>Rohdaten!$H$16</f>
        <v>600</v>
      </c>
    </row>
    <row r="627" spans="1:4">
      <c r="A627" s="68" t="s">
        <v>225</v>
      </c>
      <c r="B627" s="606">
        <f>H576</f>
        <v>47.765264325605315</v>
      </c>
      <c r="C627" s="485">
        <f>Rohdaten!$F$21</f>
        <v>80</v>
      </c>
      <c r="D627" s="82">
        <f>Rohdaten!$H$21</f>
        <v>100</v>
      </c>
    </row>
    <row r="628" spans="1:4">
      <c r="A628" s="68" t="s">
        <v>226</v>
      </c>
      <c r="B628" s="607">
        <f>H578</f>
        <v>66.387462510848934</v>
      </c>
      <c r="C628" s="485">
        <f>Rohdaten!$F$23</f>
        <v>150</v>
      </c>
      <c r="D628" s="82">
        <f>Rohdaten!$H$23</f>
        <v>120</v>
      </c>
    </row>
    <row r="629" spans="1:4" ht="14.65" thickBot="1">
      <c r="A629" s="73" t="s">
        <v>227</v>
      </c>
      <c r="B629" s="608">
        <f>H580</f>
        <v>1225.2294790012331</v>
      </c>
      <c r="C629" s="486">
        <f>Rohdaten!$F$25</f>
        <v>5000</v>
      </c>
      <c r="D629" s="237">
        <f>Rohdaten!$H$25</f>
        <v>1500</v>
      </c>
    </row>
  </sheetData>
  <mergeCells count="54">
    <mergeCell ref="B79:F79"/>
    <mergeCell ref="G79:L79"/>
    <mergeCell ref="B80:B81"/>
    <mergeCell ref="C80:C81"/>
    <mergeCell ref="D80:D81"/>
    <mergeCell ref="E80:E81"/>
    <mergeCell ref="F80:F81"/>
    <mergeCell ref="G80:H81"/>
    <mergeCell ref="I80:L80"/>
    <mergeCell ref="B247:C247"/>
    <mergeCell ref="I81:J81"/>
    <mergeCell ref="K81:L81"/>
    <mergeCell ref="B174:D174"/>
    <mergeCell ref="E174:H174"/>
    <mergeCell ref="E175:F175"/>
    <mergeCell ref="G175:H175"/>
    <mergeCell ref="B200:D200"/>
    <mergeCell ref="E200:H200"/>
    <mergeCell ref="E201:F201"/>
    <mergeCell ref="G201:H201"/>
    <mergeCell ref="B246:C246"/>
    <mergeCell ref="B302:F302"/>
    <mergeCell ref="G302:L302"/>
    <mergeCell ref="B303:B304"/>
    <mergeCell ref="C303:C304"/>
    <mergeCell ref="D303:D304"/>
    <mergeCell ref="E303:E304"/>
    <mergeCell ref="F303:F304"/>
    <mergeCell ref="G303:H304"/>
    <mergeCell ref="I303:L303"/>
    <mergeCell ref="I304:J304"/>
    <mergeCell ref="D446:E446"/>
    <mergeCell ref="K304:L304"/>
    <mergeCell ref="B395:D395"/>
    <mergeCell ref="E395:H395"/>
    <mergeCell ref="E396:F396"/>
    <mergeCell ref="G396:H396"/>
    <mergeCell ref="B417:D417"/>
    <mergeCell ref="E417:H417"/>
    <mergeCell ref="H564:I564"/>
    <mergeCell ref="B621:B622"/>
    <mergeCell ref="C621:D621"/>
    <mergeCell ref="F38:H38"/>
    <mergeCell ref="B466:F466"/>
    <mergeCell ref="G466:H466"/>
    <mergeCell ref="G467:H467"/>
    <mergeCell ref="D491:E491"/>
    <mergeCell ref="B563:G563"/>
    <mergeCell ref="H563:I563"/>
    <mergeCell ref="E418:F418"/>
    <mergeCell ref="G418:H418"/>
    <mergeCell ref="B445:C445"/>
    <mergeCell ref="D445:F445"/>
    <mergeCell ref="B446:C446"/>
  </mergeCell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40C6D-20EC-4892-8E96-170A4333753A}">
  <sheetPr codeName="Tabelle10"/>
  <dimension ref="A1:L552"/>
  <sheetViews>
    <sheetView topLeftCell="A514" zoomScale="70" zoomScaleNormal="40" workbookViewId="0">
      <selection activeCell="B550" sqref="B550"/>
    </sheetView>
  </sheetViews>
  <sheetFormatPr baseColWidth="10" defaultColWidth="8.86328125" defaultRowHeight="14.25"/>
  <cols>
    <col min="1" max="1" width="44.53125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7.6640625" customWidth="1"/>
    <col min="7" max="7" width="31.1328125" customWidth="1"/>
    <col min="8" max="8" width="29" customWidth="1"/>
    <col min="9" max="9" width="26.7304687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5" spans="1:4">
      <c r="A5" s="1" t="s">
        <v>194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"/>
      <c r="B7" s="166" t="s">
        <v>614</v>
      </c>
      <c r="C7" s="189" t="s">
        <v>632</v>
      </c>
      <c r="D7" s="190" t="s">
        <v>622</v>
      </c>
    </row>
    <row r="8" spans="1:4" ht="14.65" thickBot="1">
      <c r="A8" s="5"/>
      <c r="B8" s="6" t="s">
        <v>35</v>
      </c>
      <c r="C8" s="7" t="s">
        <v>35</v>
      </c>
      <c r="D8" s="24" t="s">
        <v>35</v>
      </c>
    </row>
    <row r="9" spans="1:4" ht="14.65" thickBot="1">
      <c r="A9" s="513" t="s">
        <v>347</v>
      </c>
      <c r="B9" s="263">
        <v>17500</v>
      </c>
      <c r="C9" s="603">
        <v>7000</v>
      </c>
      <c r="D9" s="604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164"/>
      <c r="B12" s="192" t="s">
        <v>18</v>
      </c>
      <c r="C12" s="193" t="s">
        <v>48</v>
      </c>
    </row>
    <row r="13" spans="1:4">
      <c r="A13" s="528" t="s">
        <v>49</v>
      </c>
      <c r="B13" s="173" t="s">
        <v>21</v>
      </c>
      <c r="C13" s="518">
        <v>0.14399999999999999</v>
      </c>
    </row>
    <row r="14" spans="1:4">
      <c r="A14" s="415" t="s">
        <v>50</v>
      </c>
      <c r="B14" s="37" t="s">
        <v>22</v>
      </c>
      <c r="C14" s="529">
        <v>0.752</v>
      </c>
    </row>
    <row r="15" spans="1:4">
      <c r="A15" s="415" t="s">
        <v>51</v>
      </c>
      <c r="B15" s="37" t="s">
        <v>19</v>
      </c>
      <c r="C15" s="529">
        <v>2.8340000000000001</v>
      </c>
    </row>
    <row r="16" spans="1:4" ht="14.65" thickBot="1">
      <c r="A16" s="417" t="s">
        <v>23</v>
      </c>
      <c r="B16" s="215" t="s">
        <v>237</v>
      </c>
      <c r="C16" s="416">
        <v>1.8</v>
      </c>
    </row>
    <row r="18" spans="1:3">
      <c r="A18" s="329" t="s">
        <v>470</v>
      </c>
    </row>
    <row r="20" spans="1:3" ht="14.65" thickBot="1">
      <c r="A20" s="79" t="s">
        <v>195</v>
      </c>
    </row>
    <row r="21" spans="1:3" ht="14.65" thickBot="1">
      <c r="A21" s="191" t="s">
        <v>53</v>
      </c>
      <c r="B21" s="192" t="s">
        <v>18</v>
      </c>
      <c r="C21" s="193" t="s">
        <v>54</v>
      </c>
    </row>
    <row r="22" spans="1:3">
      <c r="A22" s="763" t="s">
        <v>627</v>
      </c>
      <c r="B22" s="735" t="s">
        <v>35</v>
      </c>
      <c r="C22" s="736">
        <f>SEF+ISH</f>
        <v>19000</v>
      </c>
    </row>
    <row r="23" spans="1:3">
      <c r="A23" s="68" t="s">
        <v>366</v>
      </c>
      <c r="B23" s="178" t="s">
        <v>35</v>
      </c>
      <c r="C23" s="84">
        <f>C22*WK</f>
        <v>53846</v>
      </c>
    </row>
    <row r="24" spans="1:3">
      <c r="A24" s="68" t="s">
        <v>329</v>
      </c>
      <c r="B24" s="178" t="s">
        <v>35</v>
      </c>
      <c r="C24" s="84">
        <f>C22*SSK</f>
        <v>2736</v>
      </c>
    </row>
    <row r="25" spans="1:3" ht="14.25" customHeight="1">
      <c r="A25" s="68" t="s">
        <v>327</v>
      </c>
      <c r="B25" s="37" t="s">
        <v>237</v>
      </c>
      <c r="C25" s="732">
        <f>C24/(C24+C26)</f>
        <v>7.7837837837837834E-2</v>
      </c>
    </row>
    <row r="26" spans="1:3">
      <c r="A26" s="68" t="s">
        <v>367</v>
      </c>
      <c r="B26" s="178" t="s">
        <v>35</v>
      </c>
      <c r="C26" s="764">
        <f>C23-C30</f>
        <v>32414</v>
      </c>
    </row>
    <row r="27" spans="1:3">
      <c r="A27" s="762" t="s">
        <v>331</v>
      </c>
      <c r="B27" s="724" t="s">
        <v>35</v>
      </c>
      <c r="C27" s="754">
        <f>C24+C26</f>
        <v>35150</v>
      </c>
    </row>
    <row r="28" spans="1:3">
      <c r="A28" s="68" t="s">
        <v>428</v>
      </c>
      <c r="B28" s="178" t="s">
        <v>35</v>
      </c>
      <c r="C28" s="84">
        <f>C22*PSK</f>
        <v>14288</v>
      </c>
    </row>
    <row r="29" spans="1:3">
      <c r="A29" s="68" t="s">
        <v>326</v>
      </c>
      <c r="B29" s="178" t="s">
        <v>237</v>
      </c>
      <c r="C29" s="752">
        <v>0.4</v>
      </c>
    </row>
    <row r="30" spans="1:3" ht="14.25" customHeight="1">
      <c r="A30" s="68" t="s">
        <v>426</v>
      </c>
      <c r="B30" s="178" t="s">
        <v>35</v>
      </c>
      <c r="C30" s="764">
        <f>C28/C29*(1-C29)</f>
        <v>21432</v>
      </c>
    </row>
    <row r="31" spans="1:3" ht="14.65" thickBot="1">
      <c r="A31" s="670" t="s">
        <v>427</v>
      </c>
      <c r="B31" s="694" t="s">
        <v>35</v>
      </c>
      <c r="C31" s="765">
        <f>C28+C30</f>
        <v>35720</v>
      </c>
    </row>
    <row r="32" spans="1:3">
      <c r="A32" s="83"/>
      <c r="B32" s="77"/>
      <c r="C32" s="95"/>
    </row>
    <row r="33" spans="1:9" ht="14.65" thickBot="1">
      <c r="A33" s="183" t="s">
        <v>644</v>
      </c>
    </row>
    <row r="34" spans="1:9" ht="14.65" thickBot="1">
      <c r="A34" s="410"/>
      <c r="B34" s="164"/>
      <c r="C34" s="1013" t="s">
        <v>263</v>
      </c>
      <c r="D34" s="1015"/>
      <c r="E34" s="1016" t="s">
        <v>262</v>
      </c>
      <c r="F34" s="1017"/>
      <c r="G34" s="1017"/>
      <c r="H34" s="1075"/>
      <c r="I34" s="1076"/>
    </row>
    <row r="35" spans="1:9">
      <c r="A35" s="115"/>
      <c r="B35" s="636" t="s">
        <v>88</v>
      </c>
      <c r="C35" s="166" t="s">
        <v>622</v>
      </c>
      <c r="D35" s="167" t="s">
        <v>632</v>
      </c>
      <c r="E35" s="617" t="s">
        <v>624</v>
      </c>
      <c r="F35" s="267" t="s">
        <v>632</v>
      </c>
      <c r="G35" s="268" t="s">
        <v>623</v>
      </c>
      <c r="H35" s="266" t="s">
        <v>625</v>
      </c>
      <c r="I35" s="275" t="s">
        <v>634</v>
      </c>
    </row>
    <row r="36" spans="1:9" ht="14.65" thickBot="1">
      <c r="A36" s="93" t="s">
        <v>93</v>
      </c>
      <c r="B36" s="637" t="s">
        <v>24</v>
      </c>
      <c r="C36" s="6" t="s">
        <v>71</v>
      </c>
      <c r="D36" s="422" t="s">
        <v>71</v>
      </c>
      <c r="E36" s="403" t="s">
        <v>35</v>
      </c>
      <c r="F36" s="349" t="s">
        <v>35</v>
      </c>
      <c r="G36" s="368" t="s">
        <v>35</v>
      </c>
      <c r="H36" s="153" t="s">
        <v>35</v>
      </c>
      <c r="I36" s="155" t="s">
        <v>35</v>
      </c>
    </row>
    <row r="37" spans="1:9">
      <c r="A37" s="184" t="s">
        <v>72</v>
      </c>
      <c r="B37" s="539">
        <v>0.35466079587700855</v>
      </c>
      <c r="C37" s="638">
        <v>39002</v>
      </c>
      <c r="D37" s="616">
        <v>101832</v>
      </c>
      <c r="E37" s="227">
        <f t="shared" ref="E37:E51" si="0">$D$9*C37/1000000</f>
        <v>468.024</v>
      </c>
      <c r="F37" s="226">
        <f t="shared" ref="F37:F51" si="1">$C$9*D37/1000000</f>
        <v>712.82399999999996</v>
      </c>
      <c r="G37" s="639">
        <f>E37+F37</f>
        <v>1180.848</v>
      </c>
      <c r="H37" s="459">
        <f>B37*G37</f>
        <v>418.80049148977378</v>
      </c>
      <c r="I37" s="467">
        <f>G37*(1-B37)</f>
        <v>762.04750851022629</v>
      </c>
    </row>
    <row r="38" spans="1:9">
      <c r="A38" s="185" t="s">
        <v>73</v>
      </c>
      <c r="B38" s="448">
        <v>0.50448951725767621</v>
      </c>
      <c r="C38" s="535">
        <v>28.6</v>
      </c>
      <c r="D38" s="357">
        <v>10</v>
      </c>
      <c r="E38" s="229">
        <f t="shared" si="0"/>
        <v>0.34320000000000001</v>
      </c>
      <c r="F38" s="224">
        <f t="shared" si="1"/>
        <v>7.0000000000000007E-2</v>
      </c>
      <c r="G38" s="640">
        <f t="shared" ref="G38:G51" si="2">E38+F38</f>
        <v>0.41320000000000001</v>
      </c>
      <c r="H38" s="461">
        <f t="shared" ref="H38:H51" si="3">B38*G38</f>
        <v>0.20845506853087181</v>
      </c>
      <c r="I38" s="468">
        <f t="shared" ref="I38:I51" si="4">G38*(1-B38)</f>
        <v>0.2047449314691282</v>
      </c>
    </row>
    <row r="39" spans="1:9">
      <c r="A39" s="186" t="s">
        <v>74</v>
      </c>
      <c r="B39" s="448">
        <v>0.23599546857054995</v>
      </c>
      <c r="C39" s="535">
        <v>159000</v>
      </c>
      <c r="D39" s="357">
        <v>111453.2</v>
      </c>
      <c r="E39" s="229">
        <f t="shared" si="0"/>
        <v>1908</v>
      </c>
      <c r="F39" s="224">
        <f t="shared" si="1"/>
        <v>780.17240000000004</v>
      </c>
      <c r="G39" s="640">
        <f t="shared" si="2"/>
        <v>2688.1723999999999</v>
      </c>
      <c r="H39" s="461">
        <f t="shared" si="3"/>
        <v>634.39650513641982</v>
      </c>
      <c r="I39" s="468">
        <f t="shared" si="4"/>
        <v>2053.7758948635801</v>
      </c>
    </row>
    <row r="40" spans="1:9">
      <c r="A40" s="186" t="s">
        <v>75</v>
      </c>
      <c r="B40" s="448" t="s">
        <v>89</v>
      </c>
      <c r="C40" s="535">
        <v>3.5</v>
      </c>
      <c r="D40" s="357">
        <v>2</v>
      </c>
      <c r="E40" s="229">
        <f t="shared" si="0"/>
        <v>4.2000000000000003E-2</v>
      </c>
      <c r="F40" s="224">
        <f t="shared" si="1"/>
        <v>1.4E-2</v>
      </c>
      <c r="G40" s="640">
        <f t="shared" si="2"/>
        <v>5.6000000000000001E-2</v>
      </c>
      <c r="H40" s="123" t="s">
        <v>89</v>
      </c>
      <c r="I40" s="72" t="s">
        <v>89</v>
      </c>
    </row>
    <row r="41" spans="1:9">
      <c r="A41" s="186" t="s">
        <v>76</v>
      </c>
      <c r="B41" s="448">
        <v>0.1621584892527064</v>
      </c>
      <c r="C41" s="535">
        <v>136</v>
      </c>
      <c r="D41" s="357">
        <v>53.9</v>
      </c>
      <c r="E41" s="229">
        <f t="shared" si="0"/>
        <v>1.6319999999999999</v>
      </c>
      <c r="F41" s="224">
        <f t="shared" si="1"/>
        <v>0.37730000000000002</v>
      </c>
      <c r="G41" s="640">
        <f t="shared" si="2"/>
        <v>2.0093000000000001</v>
      </c>
      <c r="H41" s="461">
        <f t="shared" si="3"/>
        <v>0.325825052455463</v>
      </c>
      <c r="I41" s="468">
        <f t="shared" si="4"/>
        <v>1.6834749475445372</v>
      </c>
    </row>
    <row r="42" spans="1:9">
      <c r="A42" s="186" t="s">
        <v>77</v>
      </c>
      <c r="B42" s="448">
        <v>0.24756668082287775</v>
      </c>
      <c r="C42" s="535">
        <v>656</v>
      </c>
      <c r="D42" s="357">
        <v>1099</v>
      </c>
      <c r="E42" s="229">
        <f t="shared" si="0"/>
        <v>7.8719999999999999</v>
      </c>
      <c r="F42" s="224">
        <f t="shared" si="1"/>
        <v>7.6929999999999996</v>
      </c>
      <c r="G42" s="640">
        <f t="shared" si="2"/>
        <v>15.565</v>
      </c>
      <c r="H42" s="461">
        <f t="shared" si="3"/>
        <v>3.853375387008092</v>
      </c>
      <c r="I42" s="468">
        <f t="shared" si="4"/>
        <v>11.711624612991907</v>
      </c>
    </row>
    <row r="43" spans="1:9">
      <c r="A43" s="186" t="s">
        <v>78</v>
      </c>
      <c r="B43" s="448">
        <v>0.20907175359723923</v>
      </c>
      <c r="C43" s="535">
        <v>87577</v>
      </c>
      <c r="D43" s="357">
        <v>24315</v>
      </c>
      <c r="E43" s="229">
        <f t="shared" si="0"/>
        <v>1050.924</v>
      </c>
      <c r="F43" s="224">
        <f t="shared" si="1"/>
        <v>170.20500000000001</v>
      </c>
      <c r="G43" s="640">
        <f t="shared" si="2"/>
        <v>1221.1289999999999</v>
      </c>
      <c r="H43" s="461">
        <f t="shared" si="3"/>
        <v>255.30358139844313</v>
      </c>
      <c r="I43" s="468">
        <f t="shared" si="4"/>
        <v>965.82541860155675</v>
      </c>
    </row>
    <row r="44" spans="1:9">
      <c r="A44" s="186" t="s">
        <v>79</v>
      </c>
      <c r="B44" s="448">
        <v>0.36314397789298258</v>
      </c>
      <c r="C44" s="535">
        <v>8230</v>
      </c>
      <c r="D44" s="357">
        <v>9848.1</v>
      </c>
      <c r="E44" s="229">
        <f t="shared" si="0"/>
        <v>98.76</v>
      </c>
      <c r="F44" s="224">
        <f t="shared" si="1"/>
        <v>68.936700000000002</v>
      </c>
      <c r="G44" s="640">
        <f t="shared" si="2"/>
        <v>167.69670000000002</v>
      </c>
      <c r="H44" s="461">
        <f t="shared" si="3"/>
        <v>60.898046717526142</v>
      </c>
      <c r="I44" s="468">
        <f t="shared" si="4"/>
        <v>106.79865328247388</v>
      </c>
    </row>
    <row r="45" spans="1:9">
      <c r="A45" s="186" t="s">
        <v>80</v>
      </c>
      <c r="B45" s="448">
        <v>0.43110184372496846</v>
      </c>
      <c r="C45" s="535">
        <v>12900</v>
      </c>
      <c r="D45" s="357">
        <v>12706.1</v>
      </c>
      <c r="E45" s="229">
        <f t="shared" si="0"/>
        <v>154.80000000000001</v>
      </c>
      <c r="F45" s="224">
        <f t="shared" si="1"/>
        <v>88.942700000000002</v>
      </c>
      <c r="G45" s="640">
        <f t="shared" si="2"/>
        <v>243.74270000000001</v>
      </c>
      <c r="H45" s="461">
        <f t="shared" si="3"/>
        <v>105.07792736450187</v>
      </c>
      <c r="I45" s="468">
        <f t="shared" si="4"/>
        <v>138.66477263549814</v>
      </c>
    </row>
    <row r="46" spans="1:9">
      <c r="A46" s="186" t="s">
        <v>81</v>
      </c>
      <c r="B46" s="448">
        <v>0.38317241660064177</v>
      </c>
      <c r="C46" s="535">
        <v>8100</v>
      </c>
      <c r="D46" s="357">
        <v>3346.1</v>
      </c>
      <c r="E46" s="229">
        <f t="shared" si="0"/>
        <v>97.2</v>
      </c>
      <c r="F46" s="224">
        <f t="shared" si="1"/>
        <v>23.422699999999999</v>
      </c>
      <c r="G46" s="640">
        <f t="shared" si="2"/>
        <v>120.62270000000001</v>
      </c>
      <c r="H46" s="461">
        <f t="shared" si="3"/>
        <v>46.219291455894236</v>
      </c>
      <c r="I46" s="468">
        <f t="shared" si="4"/>
        <v>74.403408544105773</v>
      </c>
    </row>
    <row r="47" spans="1:9">
      <c r="A47" s="186" t="s">
        <v>82</v>
      </c>
      <c r="B47" s="448">
        <v>0.30725168652454959</v>
      </c>
      <c r="C47" s="535">
        <v>125</v>
      </c>
      <c r="D47" s="357">
        <v>47.6</v>
      </c>
      <c r="E47" s="229">
        <f t="shared" si="0"/>
        <v>1.5</v>
      </c>
      <c r="F47" s="224">
        <f t="shared" si="1"/>
        <v>0.3332</v>
      </c>
      <c r="G47" s="640">
        <f t="shared" si="2"/>
        <v>1.8331999999999999</v>
      </c>
      <c r="H47" s="461">
        <f t="shared" si="3"/>
        <v>0.56325379173680434</v>
      </c>
      <c r="I47" s="468">
        <f t="shared" si="4"/>
        <v>1.2699462082631956</v>
      </c>
    </row>
    <row r="48" spans="1:9">
      <c r="A48" s="186" t="s">
        <v>83</v>
      </c>
      <c r="B48" s="448" t="s">
        <v>89</v>
      </c>
      <c r="C48" s="535">
        <v>81618</v>
      </c>
      <c r="D48" s="357">
        <v>84567</v>
      </c>
      <c r="E48" s="229">
        <f t="shared" si="0"/>
        <v>979.41600000000005</v>
      </c>
      <c r="F48" s="224">
        <f t="shared" si="1"/>
        <v>591.96900000000005</v>
      </c>
      <c r="G48" s="640">
        <f t="shared" si="2"/>
        <v>1571.3850000000002</v>
      </c>
      <c r="H48" s="123" t="s">
        <v>89</v>
      </c>
      <c r="I48" s="72" t="s">
        <v>89</v>
      </c>
    </row>
    <row r="49" spans="1:9">
      <c r="A49" s="186" t="s">
        <v>84</v>
      </c>
      <c r="B49" s="448">
        <v>6.169422691786923E-2</v>
      </c>
      <c r="C49" s="535">
        <v>124</v>
      </c>
      <c r="D49" s="357">
        <v>80.2</v>
      </c>
      <c r="E49" s="229">
        <f t="shared" si="0"/>
        <v>1.488</v>
      </c>
      <c r="F49" s="224">
        <f t="shared" si="1"/>
        <v>0.56140000000000001</v>
      </c>
      <c r="G49" s="640">
        <f t="shared" si="2"/>
        <v>2.0493999999999999</v>
      </c>
      <c r="H49" s="461">
        <f t="shared" si="3"/>
        <v>0.12643614864548119</v>
      </c>
      <c r="I49" s="468">
        <f t="shared" si="4"/>
        <v>1.9229638513545189</v>
      </c>
    </row>
    <row r="50" spans="1:9">
      <c r="A50" s="186" t="s">
        <v>85</v>
      </c>
      <c r="B50" s="448" t="s">
        <v>89</v>
      </c>
      <c r="C50" s="535">
        <v>18900</v>
      </c>
      <c r="D50" s="357">
        <v>3113.7</v>
      </c>
      <c r="E50" s="229">
        <f t="shared" si="0"/>
        <v>226.8</v>
      </c>
      <c r="F50" s="224">
        <f t="shared" si="1"/>
        <v>21.7959</v>
      </c>
      <c r="G50" s="640">
        <f t="shared" si="2"/>
        <v>248.5959</v>
      </c>
      <c r="H50" s="123" t="s">
        <v>89</v>
      </c>
      <c r="I50" s="72" t="s">
        <v>89</v>
      </c>
    </row>
    <row r="51" spans="1:9" ht="14.65" thickBot="1">
      <c r="A51" s="187" t="s">
        <v>86</v>
      </c>
      <c r="B51" s="449">
        <v>0.25701474780786782</v>
      </c>
      <c r="C51" s="536">
        <v>2353</v>
      </c>
      <c r="D51" s="359">
        <v>1989</v>
      </c>
      <c r="E51" s="230">
        <f t="shared" si="0"/>
        <v>28.236000000000001</v>
      </c>
      <c r="F51" s="225">
        <f t="shared" si="1"/>
        <v>13.923</v>
      </c>
      <c r="G51" s="641">
        <f t="shared" si="2"/>
        <v>42.158999999999999</v>
      </c>
      <c r="H51" s="463">
        <f t="shared" si="3"/>
        <v>10.835484752831899</v>
      </c>
      <c r="I51" s="469">
        <f t="shared" si="4"/>
        <v>31.3235152471681</v>
      </c>
    </row>
    <row r="53" spans="1:9" ht="14.65" thickBot="1">
      <c r="A53" s="79" t="s">
        <v>285</v>
      </c>
    </row>
    <row r="54" spans="1:9" ht="14.65" thickBot="1">
      <c r="A54" s="103" t="s">
        <v>90</v>
      </c>
      <c r="B54" s="102" t="s">
        <v>18</v>
      </c>
      <c r="C54" s="17" t="s">
        <v>91</v>
      </c>
    </row>
    <row r="55" spans="1:9">
      <c r="A55" s="272" t="s">
        <v>623</v>
      </c>
      <c r="B55" s="298" t="s">
        <v>35</v>
      </c>
      <c r="C55" s="294">
        <f>C22</f>
        <v>19000</v>
      </c>
    </row>
    <row r="56" spans="1:9">
      <c r="A56" s="815" t="s">
        <v>366</v>
      </c>
      <c r="B56" s="278" t="s">
        <v>35</v>
      </c>
      <c r="C56" s="297">
        <f>C23</f>
        <v>53846</v>
      </c>
    </row>
    <row r="57" spans="1:9">
      <c r="A57" s="257" t="s">
        <v>329</v>
      </c>
      <c r="B57" s="278" t="s">
        <v>35</v>
      </c>
      <c r="C57" s="289">
        <f>C24</f>
        <v>2736</v>
      </c>
    </row>
    <row r="58" spans="1:9">
      <c r="A58" s="257" t="s">
        <v>428</v>
      </c>
      <c r="B58" s="278" t="s">
        <v>35</v>
      </c>
      <c r="C58" s="289">
        <f>C28</f>
        <v>14288</v>
      </c>
    </row>
    <row r="59" spans="1:9" ht="14.65" thickBot="1">
      <c r="A59" s="255" t="s">
        <v>266</v>
      </c>
      <c r="B59" s="271" t="s">
        <v>35</v>
      </c>
      <c r="C59" s="256">
        <f>C55+C56+C57+C58</f>
        <v>89870</v>
      </c>
    </row>
    <row r="61" spans="1:9" ht="14.65" thickBot="1">
      <c r="A61" s="79" t="s">
        <v>278</v>
      </c>
      <c r="B61" s="79"/>
      <c r="C61" s="79"/>
    </row>
    <row r="62" spans="1:9" ht="14.65" thickBot="1">
      <c r="A62" s="103" t="s">
        <v>90</v>
      </c>
      <c r="B62" s="102" t="s">
        <v>18</v>
      </c>
      <c r="C62" s="17" t="s">
        <v>91</v>
      </c>
    </row>
    <row r="63" spans="1:9">
      <c r="A63" s="272" t="s">
        <v>623</v>
      </c>
      <c r="B63" s="298" t="s">
        <v>35</v>
      </c>
      <c r="C63" s="294">
        <f>C22</f>
        <v>19000</v>
      </c>
    </row>
    <row r="64" spans="1:9">
      <c r="A64" s="257" t="s">
        <v>329</v>
      </c>
      <c r="B64" s="278" t="s">
        <v>35</v>
      </c>
      <c r="C64" s="295">
        <f>C24</f>
        <v>2736</v>
      </c>
    </row>
    <row r="65" spans="1:12">
      <c r="A65" s="257" t="s">
        <v>428</v>
      </c>
      <c r="B65" s="278" t="s">
        <v>35</v>
      </c>
      <c r="C65" s="295">
        <f>C28</f>
        <v>14288</v>
      </c>
    </row>
    <row r="66" spans="1:12">
      <c r="A66" s="257" t="s">
        <v>336</v>
      </c>
      <c r="B66" s="278" t="s">
        <v>35</v>
      </c>
      <c r="C66" s="279">
        <f>C63+C64+C65</f>
        <v>36024</v>
      </c>
    </row>
    <row r="67" spans="1:12">
      <c r="A67" s="257" t="s">
        <v>266</v>
      </c>
      <c r="B67" s="278" t="s">
        <v>35</v>
      </c>
      <c r="C67" s="279">
        <f>C59</f>
        <v>89870</v>
      </c>
    </row>
    <row r="68" spans="1:12">
      <c r="A68" s="299" t="s">
        <v>389</v>
      </c>
      <c r="B68" s="260" t="s">
        <v>24</v>
      </c>
      <c r="C68" s="300">
        <f>C66/C67</f>
        <v>0.40084566596194504</v>
      </c>
    </row>
    <row r="69" spans="1:12">
      <c r="A69" s="257" t="s">
        <v>366</v>
      </c>
      <c r="B69" s="278" t="s">
        <v>35</v>
      </c>
      <c r="C69" s="279">
        <f>C23</f>
        <v>53846</v>
      </c>
    </row>
    <row r="70" spans="1:12">
      <c r="A70" s="257" t="s">
        <v>333</v>
      </c>
      <c r="B70" s="278" t="s">
        <v>35</v>
      </c>
      <c r="C70" s="279">
        <f>C69</f>
        <v>53846</v>
      </c>
    </row>
    <row r="71" spans="1:12">
      <c r="A71" s="257" t="s">
        <v>266</v>
      </c>
      <c r="B71" s="278" t="s">
        <v>35</v>
      </c>
      <c r="C71" s="279">
        <f>C59</f>
        <v>89870</v>
      </c>
    </row>
    <row r="72" spans="1:12" ht="14.65" thickBot="1">
      <c r="A72" s="301" t="s">
        <v>321</v>
      </c>
      <c r="B72" s="277" t="s">
        <v>24</v>
      </c>
      <c r="C72" s="303">
        <f>C70/C71</f>
        <v>0.59915433403805496</v>
      </c>
    </row>
    <row r="73" spans="1:12">
      <c r="A73" s="83"/>
      <c r="B73" s="77"/>
      <c r="C73" s="96"/>
    </row>
    <row r="74" spans="1:12" ht="14.65" thickBot="1">
      <c r="A74" s="79" t="s">
        <v>92</v>
      </c>
    </row>
    <row r="75" spans="1:12" ht="14.65" thickBot="1">
      <c r="A75" s="419"/>
      <c r="B75" s="1062" t="s">
        <v>262</v>
      </c>
      <c r="C75" s="1063"/>
      <c r="D75" s="1063"/>
      <c r="E75" s="1063"/>
      <c r="F75" s="1064"/>
      <c r="G75" s="1062" t="s">
        <v>263</v>
      </c>
      <c r="H75" s="1063"/>
      <c r="I75" s="1063"/>
      <c r="J75" s="1063"/>
      <c r="K75" s="1063"/>
      <c r="L75" s="1066"/>
    </row>
    <row r="76" spans="1:12">
      <c r="A76" s="452"/>
      <c r="B76" s="1024" t="s">
        <v>270</v>
      </c>
      <c r="C76" s="1041" t="s">
        <v>243</v>
      </c>
      <c r="D76" s="1041" t="s">
        <v>256</v>
      </c>
      <c r="E76" s="1041" t="s">
        <v>336</v>
      </c>
      <c r="F76" s="1083" t="s">
        <v>266</v>
      </c>
      <c r="G76" s="1022" t="s">
        <v>269</v>
      </c>
      <c r="H76" s="1023"/>
      <c r="I76" s="1085" t="s">
        <v>267</v>
      </c>
      <c r="J76" s="1032"/>
      <c r="K76" s="1032"/>
      <c r="L76" s="1023"/>
    </row>
    <row r="77" spans="1:12">
      <c r="A77" s="219" t="s">
        <v>93</v>
      </c>
      <c r="B77" s="1067"/>
      <c r="C77" s="1042"/>
      <c r="D77" s="1042"/>
      <c r="E77" s="1042"/>
      <c r="F77" s="1084"/>
      <c r="G77" s="1033"/>
      <c r="H77" s="1035"/>
      <c r="I77" s="1086" t="s">
        <v>243</v>
      </c>
      <c r="J77" s="1034"/>
      <c r="K77" s="1034" t="s">
        <v>256</v>
      </c>
      <c r="L77" s="1035"/>
    </row>
    <row r="78" spans="1:12" ht="14.65" thickBot="1">
      <c r="A78" s="220" t="s">
        <v>18</v>
      </c>
      <c r="B78" s="403" t="s">
        <v>35</v>
      </c>
      <c r="C78" s="154" t="s">
        <v>35</v>
      </c>
      <c r="D78" s="154" t="s">
        <v>35</v>
      </c>
      <c r="E78" s="154" t="s">
        <v>35</v>
      </c>
      <c r="F78" s="423" t="s">
        <v>35</v>
      </c>
      <c r="G78" s="403" t="s">
        <v>257</v>
      </c>
      <c r="H78" s="155" t="s">
        <v>237</v>
      </c>
      <c r="I78" s="153" t="s">
        <v>70</v>
      </c>
      <c r="J78" s="154" t="s">
        <v>237</v>
      </c>
      <c r="K78" s="154" t="s">
        <v>70</v>
      </c>
      <c r="L78" s="155" t="s">
        <v>237</v>
      </c>
    </row>
    <row r="79" spans="1:12">
      <c r="A79" s="148" t="s">
        <v>72</v>
      </c>
      <c r="B79" s="540">
        <f>G37</f>
        <v>1180.848</v>
      </c>
      <c r="C79" s="428">
        <f>H37</f>
        <v>418.80049148977378</v>
      </c>
      <c r="D79" s="428">
        <f>I37</f>
        <v>762.04750851022629</v>
      </c>
      <c r="E79" s="428">
        <f>$C$66</f>
        <v>36024</v>
      </c>
      <c r="F79" s="382">
        <f>$C$59</f>
        <v>89870</v>
      </c>
      <c r="G79" s="766">
        <f t="shared" ref="G79:G99" si="5">B79/E79*1000000</f>
        <v>32779.480346435703</v>
      </c>
      <c r="H79" s="433">
        <f>G79/1000000</f>
        <v>3.2779480346435706E-2</v>
      </c>
      <c r="I79" s="551">
        <f t="shared" ref="I79:I99" si="6">C79/F79*1000000</f>
        <v>4660.0700065625206</v>
      </c>
      <c r="J79" s="432">
        <f>I79/1000000</f>
        <v>4.6600700065625202E-3</v>
      </c>
      <c r="K79" s="431">
        <f t="shared" ref="K79:K99" si="7">D79/F79*1000000</f>
        <v>8479.4426227909917</v>
      </c>
      <c r="L79" s="433">
        <f>K79/1000000</f>
        <v>8.4794426227909909E-3</v>
      </c>
    </row>
    <row r="80" spans="1:12">
      <c r="A80" s="149" t="s">
        <v>73</v>
      </c>
      <c r="B80" s="541">
        <f>G38</f>
        <v>0.41320000000000001</v>
      </c>
      <c r="C80" s="235">
        <f>H38</f>
        <v>0.20845506853087181</v>
      </c>
      <c r="D80" s="235">
        <f>I38</f>
        <v>0.2047449314691282</v>
      </c>
      <c r="E80" s="235">
        <f t="shared" ref="E80:E99" si="8">$C$66</f>
        <v>36024</v>
      </c>
      <c r="F80" s="82">
        <f t="shared" ref="F80:F99" si="9">$C$59</f>
        <v>89870</v>
      </c>
      <c r="G80" s="767">
        <f t="shared" si="5"/>
        <v>11.470131023761937</v>
      </c>
      <c r="H80" s="434">
        <f t="shared" ref="H80:H99" si="10">G80/1000000</f>
        <v>1.1470131023761938E-5</v>
      </c>
      <c r="I80" s="552">
        <f t="shared" si="6"/>
        <v>2.3195178427825951</v>
      </c>
      <c r="J80" s="427">
        <f t="shared" ref="J80:J99" si="11">I80/1000000</f>
        <v>2.319517842782595E-6</v>
      </c>
      <c r="K80" s="426">
        <f t="shared" si="7"/>
        <v>2.2782344661080249</v>
      </c>
      <c r="L80" s="434">
        <f t="shared" ref="L80:L99" si="12">K80/1000000</f>
        <v>2.278234466108025E-6</v>
      </c>
    </row>
    <row r="81" spans="1:12">
      <c r="A81" s="149" t="s">
        <v>74</v>
      </c>
      <c r="B81" s="541">
        <f>G39</f>
        <v>2688.1723999999999</v>
      </c>
      <c r="C81" s="235">
        <f>H39</f>
        <v>634.39650513641982</v>
      </c>
      <c r="D81" s="235">
        <f>I39</f>
        <v>2053.7758948635801</v>
      </c>
      <c r="E81" s="235">
        <f t="shared" si="8"/>
        <v>36024</v>
      </c>
      <c r="F81" s="82">
        <f t="shared" si="9"/>
        <v>89870</v>
      </c>
      <c r="G81" s="767">
        <f t="shared" si="5"/>
        <v>74621.707750388625</v>
      </c>
      <c r="H81" s="434">
        <f t="shared" si="10"/>
        <v>7.4621707750388622E-2</v>
      </c>
      <c r="I81" s="552">
        <f t="shared" si="6"/>
        <v>7059.0464575099577</v>
      </c>
      <c r="J81" s="427">
        <f t="shared" si="11"/>
        <v>7.0590464575099581E-3</v>
      </c>
      <c r="K81" s="426">
        <f t="shared" si="7"/>
        <v>22852.741680912208</v>
      </c>
      <c r="L81" s="434">
        <f t="shared" si="12"/>
        <v>2.2852741680912208E-2</v>
      </c>
    </row>
    <row r="82" spans="1:12">
      <c r="A82" s="149" t="s">
        <v>75</v>
      </c>
      <c r="B82" s="541">
        <f>G40</f>
        <v>5.6000000000000001E-2</v>
      </c>
      <c r="C82" s="235" t="s">
        <v>89</v>
      </c>
      <c r="D82" s="235" t="s">
        <v>89</v>
      </c>
      <c r="E82" s="235">
        <f t="shared" si="8"/>
        <v>36024</v>
      </c>
      <c r="F82" s="82">
        <f t="shared" si="9"/>
        <v>89870</v>
      </c>
      <c r="G82" s="767">
        <f t="shared" si="5"/>
        <v>1.5545192094159448</v>
      </c>
      <c r="H82" s="434">
        <f t="shared" si="10"/>
        <v>1.5545192094159449E-6</v>
      </c>
      <c r="I82" s="552" t="s">
        <v>89</v>
      </c>
      <c r="J82" s="427" t="s">
        <v>89</v>
      </c>
      <c r="K82" s="426" t="s">
        <v>89</v>
      </c>
      <c r="L82" s="434" t="s">
        <v>89</v>
      </c>
    </row>
    <row r="83" spans="1:12">
      <c r="A83" s="149" t="s">
        <v>76</v>
      </c>
      <c r="B83" s="541">
        <f>G41</f>
        <v>2.0093000000000001</v>
      </c>
      <c r="C83" s="235">
        <f>H41</f>
        <v>0.325825052455463</v>
      </c>
      <c r="D83" s="235">
        <f>I41</f>
        <v>1.6834749475445372</v>
      </c>
      <c r="E83" s="235">
        <f t="shared" si="8"/>
        <v>36024</v>
      </c>
      <c r="F83" s="82">
        <f t="shared" si="9"/>
        <v>89870</v>
      </c>
      <c r="G83" s="767">
        <f t="shared" si="5"/>
        <v>55.776704419276037</v>
      </c>
      <c r="H83" s="434">
        <f t="shared" si="10"/>
        <v>5.5776704419276039E-5</v>
      </c>
      <c r="I83" s="552">
        <f t="shared" si="6"/>
        <v>3.6255152159281518</v>
      </c>
      <c r="J83" s="427">
        <f t="shared" si="11"/>
        <v>3.6255152159281517E-6</v>
      </c>
      <c r="K83" s="426">
        <f t="shared" si="7"/>
        <v>18.732335012179117</v>
      </c>
      <c r="L83" s="434">
        <f t="shared" si="12"/>
        <v>1.8732335012179117E-5</v>
      </c>
    </row>
    <row r="84" spans="1:12">
      <c r="A84" s="150" t="s">
        <v>77</v>
      </c>
      <c r="B84" s="541">
        <f>G42</f>
        <v>15.565</v>
      </c>
      <c r="C84" s="235">
        <f>H42</f>
        <v>3.853375387008092</v>
      </c>
      <c r="D84" s="235">
        <f>I42</f>
        <v>11.711624612991907</v>
      </c>
      <c r="E84" s="235">
        <f t="shared" si="8"/>
        <v>36024</v>
      </c>
      <c r="F84" s="82">
        <f t="shared" si="9"/>
        <v>89870</v>
      </c>
      <c r="G84" s="767">
        <f t="shared" si="5"/>
        <v>432.07306240284254</v>
      </c>
      <c r="H84" s="434">
        <f t="shared" si="10"/>
        <v>4.3207306240284255E-4</v>
      </c>
      <c r="I84" s="552">
        <f t="shared" si="6"/>
        <v>42.877215834072459</v>
      </c>
      <c r="J84" s="427">
        <f t="shared" si="11"/>
        <v>4.287721583407246E-5</v>
      </c>
      <c r="K84" s="426">
        <f t="shared" si="7"/>
        <v>130.31739860901197</v>
      </c>
      <c r="L84" s="434">
        <f t="shared" si="12"/>
        <v>1.3031739860901197E-4</v>
      </c>
    </row>
    <row r="85" spans="1:12">
      <c r="A85" s="150" t="s">
        <v>78</v>
      </c>
      <c r="B85" s="541">
        <f>G43</f>
        <v>1221.1289999999999</v>
      </c>
      <c r="C85" s="235">
        <f>H43</f>
        <v>255.30358139844313</v>
      </c>
      <c r="D85" s="235">
        <f>I43</f>
        <v>965.82541860155675</v>
      </c>
      <c r="E85" s="235">
        <f t="shared" si="8"/>
        <v>36024</v>
      </c>
      <c r="F85" s="82">
        <f t="shared" si="9"/>
        <v>89870</v>
      </c>
      <c r="G85" s="767">
        <f t="shared" si="5"/>
        <v>33897.651565622917</v>
      </c>
      <c r="H85" s="434">
        <f t="shared" si="10"/>
        <v>3.3897651565622917E-2</v>
      </c>
      <c r="I85" s="552">
        <f t="shared" si="6"/>
        <v>2840.8098519911332</v>
      </c>
      <c r="J85" s="427">
        <f t="shared" si="11"/>
        <v>2.8408098519911332E-3</v>
      </c>
      <c r="K85" s="426">
        <f t="shared" si="7"/>
        <v>10746.916864376952</v>
      </c>
      <c r="L85" s="434">
        <f t="shared" si="12"/>
        <v>1.0746916864376952E-2</v>
      </c>
    </row>
    <row r="86" spans="1:12">
      <c r="A86" s="150" t="s">
        <v>79</v>
      </c>
      <c r="B86" s="541">
        <f>G44</f>
        <v>167.69670000000002</v>
      </c>
      <c r="C86" s="235">
        <f>H44</f>
        <v>60.898046717526142</v>
      </c>
      <c r="D86" s="235">
        <f>I44</f>
        <v>106.79865328247388</v>
      </c>
      <c r="E86" s="235">
        <f t="shared" si="8"/>
        <v>36024</v>
      </c>
      <c r="F86" s="82">
        <f t="shared" si="9"/>
        <v>89870</v>
      </c>
      <c r="G86" s="767">
        <f t="shared" si="5"/>
        <v>4655.1382411725517</v>
      </c>
      <c r="H86" s="434">
        <f t="shared" si="10"/>
        <v>4.6551382411725521E-3</v>
      </c>
      <c r="I86" s="552">
        <f t="shared" si="6"/>
        <v>677.62375339408197</v>
      </c>
      <c r="J86" s="427">
        <f t="shared" si="11"/>
        <v>6.7762375339408196E-4</v>
      </c>
      <c r="K86" s="426">
        <f t="shared" si="7"/>
        <v>1188.3682350336474</v>
      </c>
      <c r="L86" s="434">
        <f t="shared" si="12"/>
        <v>1.1883682350336473E-3</v>
      </c>
    </row>
    <row r="87" spans="1:12">
      <c r="A87" s="150" t="s">
        <v>80</v>
      </c>
      <c r="B87" s="541">
        <f>G45</f>
        <v>243.74270000000001</v>
      </c>
      <c r="C87" s="235">
        <f>H45</f>
        <v>105.07792736450187</v>
      </c>
      <c r="D87" s="235">
        <f>I45</f>
        <v>138.66477263549814</v>
      </c>
      <c r="E87" s="235">
        <f t="shared" si="8"/>
        <v>36024</v>
      </c>
      <c r="F87" s="82">
        <f t="shared" si="9"/>
        <v>89870</v>
      </c>
      <c r="G87" s="767">
        <f t="shared" si="5"/>
        <v>6766.1198090162115</v>
      </c>
      <c r="H87" s="434">
        <f t="shared" si="10"/>
        <v>6.7661198090162118E-3</v>
      </c>
      <c r="I87" s="552">
        <f t="shared" si="6"/>
        <v>1169.2214016301532</v>
      </c>
      <c r="J87" s="427">
        <f t="shared" si="11"/>
        <v>1.1692214016301532E-3</v>
      </c>
      <c r="K87" s="426">
        <f t="shared" si="7"/>
        <v>1542.9483991932584</v>
      </c>
      <c r="L87" s="434">
        <f t="shared" si="12"/>
        <v>1.5429483991932585E-3</v>
      </c>
    </row>
    <row r="88" spans="1:12">
      <c r="A88" s="150" t="s">
        <v>81</v>
      </c>
      <c r="B88" s="541">
        <f>G46</f>
        <v>120.62270000000001</v>
      </c>
      <c r="C88" s="235">
        <f>H46</f>
        <v>46.219291455894236</v>
      </c>
      <c r="D88" s="235">
        <f>I46</f>
        <v>74.403408544105773</v>
      </c>
      <c r="E88" s="235">
        <f t="shared" si="8"/>
        <v>36024</v>
      </c>
      <c r="F88" s="82">
        <f t="shared" si="9"/>
        <v>89870</v>
      </c>
      <c r="G88" s="767">
        <f t="shared" si="5"/>
        <v>3348.3982900288702</v>
      </c>
      <c r="H88" s="434">
        <f t="shared" si="10"/>
        <v>3.3483982900288701E-3</v>
      </c>
      <c r="I88" s="552">
        <f t="shared" si="6"/>
        <v>514.2905469666656</v>
      </c>
      <c r="J88" s="427">
        <f t="shared" si="11"/>
        <v>5.1429054696666557E-4</v>
      </c>
      <c r="K88" s="426">
        <f t="shared" si="7"/>
        <v>827.90039550579468</v>
      </c>
      <c r="L88" s="434">
        <f t="shared" si="12"/>
        <v>8.2790039550579468E-4</v>
      </c>
    </row>
    <row r="89" spans="1:12">
      <c r="A89" s="150" t="s">
        <v>82</v>
      </c>
      <c r="B89" s="541">
        <f>G47</f>
        <v>1.8331999999999999</v>
      </c>
      <c r="C89" s="235">
        <f>H47</f>
        <v>0.56325379173680434</v>
      </c>
      <c r="D89" s="235">
        <f>I47</f>
        <v>1.2699462082631956</v>
      </c>
      <c r="E89" s="235">
        <f t="shared" si="8"/>
        <v>36024</v>
      </c>
      <c r="F89" s="82">
        <f t="shared" si="9"/>
        <v>89870</v>
      </c>
      <c r="G89" s="767">
        <f t="shared" si="5"/>
        <v>50.88829669109483</v>
      </c>
      <c r="H89" s="434">
        <f t="shared" si="10"/>
        <v>5.0888296691094826E-5</v>
      </c>
      <c r="I89" s="552">
        <f t="shared" si="6"/>
        <v>6.2674284158985687</v>
      </c>
      <c r="J89" s="427">
        <f t="shared" si="11"/>
        <v>6.2674284158985687E-6</v>
      </c>
      <c r="K89" s="426">
        <f t="shared" si="7"/>
        <v>14.130924760912379</v>
      </c>
      <c r="L89" s="434">
        <f t="shared" si="12"/>
        <v>1.413092476091238E-5</v>
      </c>
    </row>
    <row r="90" spans="1:12">
      <c r="A90" s="150" t="s">
        <v>630</v>
      </c>
      <c r="B90" s="541">
        <f>G48</f>
        <v>1571.3850000000002</v>
      </c>
      <c r="C90" s="235" t="s">
        <v>89</v>
      </c>
      <c r="D90" s="235" t="s">
        <v>89</v>
      </c>
      <c r="E90" s="235">
        <f t="shared" si="8"/>
        <v>36024</v>
      </c>
      <c r="F90" s="82">
        <f t="shared" si="9"/>
        <v>89870</v>
      </c>
      <c r="G90" s="767">
        <f t="shared" si="5"/>
        <v>43620.502998001342</v>
      </c>
      <c r="H90" s="434">
        <f t="shared" si="10"/>
        <v>4.362050299800134E-2</v>
      </c>
      <c r="I90" s="552" t="s">
        <v>89</v>
      </c>
      <c r="J90" s="427" t="s">
        <v>89</v>
      </c>
      <c r="K90" s="426" t="s">
        <v>89</v>
      </c>
      <c r="L90" s="434" t="s">
        <v>89</v>
      </c>
    </row>
    <row r="91" spans="1:12">
      <c r="A91" s="150" t="s">
        <v>96</v>
      </c>
      <c r="B91" s="541">
        <f>$C$28*31/98</f>
        <v>4519.6734693877552</v>
      </c>
      <c r="C91" s="235">
        <f>B91</f>
        <v>4519.6734693877552</v>
      </c>
      <c r="D91" s="235">
        <v>0</v>
      </c>
      <c r="E91" s="235">
        <f t="shared" si="8"/>
        <v>36024</v>
      </c>
      <c r="F91" s="82">
        <f t="shared" si="9"/>
        <v>89870</v>
      </c>
      <c r="G91" s="767">
        <f t="shared" si="5"/>
        <v>125462.84336519417</v>
      </c>
      <c r="H91" s="434">
        <f t="shared" si="10"/>
        <v>0.12546284336519417</v>
      </c>
      <c r="I91" s="552">
        <f t="shared" si="6"/>
        <v>50291.237002200454</v>
      </c>
      <c r="J91" s="427">
        <f t="shared" si="11"/>
        <v>5.0291237002200458E-2</v>
      </c>
      <c r="K91" s="426">
        <f t="shared" si="7"/>
        <v>0</v>
      </c>
      <c r="L91" s="434">
        <f t="shared" si="12"/>
        <v>0</v>
      </c>
    </row>
    <row r="92" spans="1:12">
      <c r="A92" s="150" t="s">
        <v>97</v>
      </c>
      <c r="B92" s="541">
        <f>B90+B91</f>
        <v>6091.0584693877554</v>
      </c>
      <c r="C92" s="235" t="s">
        <v>89</v>
      </c>
      <c r="D92" s="235" t="s">
        <v>89</v>
      </c>
      <c r="E92" s="235">
        <f t="shared" si="8"/>
        <v>36024</v>
      </c>
      <c r="F92" s="82">
        <f t="shared" si="9"/>
        <v>89870</v>
      </c>
      <c r="G92" s="767">
        <f t="shared" si="5"/>
        <v>169083.34636319554</v>
      </c>
      <c r="H92" s="434">
        <f t="shared" si="10"/>
        <v>0.16908334636319552</v>
      </c>
      <c r="I92" s="552" t="s">
        <v>89</v>
      </c>
      <c r="J92" s="427" t="s">
        <v>89</v>
      </c>
      <c r="K92" s="426" t="s">
        <v>89</v>
      </c>
      <c r="L92" s="434" t="s">
        <v>89</v>
      </c>
    </row>
    <row r="93" spans="1:12">
      <c r="A93" s="151" t="s">
        <v>84</v>
      </c>
      <c r="B93" s="541">
        <f>G49</f>
        <v>2.0493999999999999</v>
      </c>
      <c r="C93" s="235">
        <f>H49</f>
        <v>0.12643614864548119</v>
      </c>
      <c r="D93" s="235">
        <f>I49</f>
        <v>1.9229638513545189</v>
      </c>
      <c r="E93" s="235">
        <f t="shared" si="8"/>
        <v>36024</v>
      </c>
      <c r="F93" s="82">
        <f t="shared" si="9"/>
        <v>89870</v>
      </c>
      <c r="G93" s="767">
        <f t="shared" si="5"/>
        <v>56.889851210304236</v>
      </c>
      <c r="H93" s="434">
        <f t="shared" si="10"/>
        <v>5.6889851210304239E-5</v>
      </c>
      <c r="I93" s="552">
        <f t="shared" si="6"/>
        <v>1.4068782535382351</v>
      </c>
      <c r="J93" s="427">
        <f t="shared" si="11"/>
        <v>1.406878253538235E-6</v>
      </c>
      <c r="K93" s="426">
        <f t="shared" si="7"/>
        <v>21.397172041332134</v>
      </c>
      <c r="L93" s="434">
        <f t="shared" si="12"/>
        <v>2.1397172041332134E-5</v>
      </c>
    </row>
    <row r="94" spans="1:12">
      <c r="A94" s="151" t="s">
        <v>631</v>
      </c>
      <c r="B94" s="541">
        <f>G50</f>
        <v>248.5959</v>
      </c>
      <c r="C94" s="235">
        <v>0</v>
      </c>
      <c r="D94" s="235">
        <f>E50</f>
        <v>226.8</v>
      </c>
      <c r="E94" s="235">
        <f t="shared" si="8"/>
        <v>36024</v>
      </c>
      <c r="F94" s="82">
        <f t="shared" si="9"/>
        <v>89870</v>
      </c>
      <c r="G94" s="767">
        <f t="shared" si="5"/>
        <v>6900.8411059293803</v>
      </c>
      <c r="H94" s="434">
        <f t="shared" si="10"/>
        <v>6.9008411059293803E-3</v>
      </c>
      <c r="I94" s="552">
        <f t="shared" si="6"/>
        <v>0</v>
      </c>
      <c r="J94" s="427">
        <f t="shared" si="11"/>
        <v>0</v>
      </c>
      <c r="K94" s="426">
        <f t="shared" si="7"/>
        <v>2523.6452653833317</v>
      </c>
      <c r="L94" s="434">
        <f t="shared" si="12"/>
        <v>2.5236452653833318E-3</v>
      </c>
    </row>
    <row r="95" spans="1:12">
      <c r="A95" s="151" t="s">
        <v>250</v>
      </c>
      <c r="B95" s="541">
        <f>C24*32/98</f>
        <v>893.38775510204084</v>
      </c>
      <c r="C95" s="235">
        <v>0</v>
      </c>
      <c r="D95" s="235">
        <f>B95</f>
        <v>893.38775510204084</v>
      </c>
      <c r="E95" s="235">
        <f t="shared" si="8"/>
        <v>36024</v>
      </c>
      <c r="F95" s="82">
        <f t="shared" si="9"/>
        <v>89870</v>
      </c>
      <c r="G95" s="767">
        <f t="shared" si="5"/>
        <v>24799.793335055543</v>
      </c>
      <c r="H95" s="434">
        <f t="shared" si="10"/>
        <v>2.4799793335055543E-2</v>
      </c>
      <c r="I95" s="552">
        <f t="shared" si="6"/>
        <v>0</v>
      </c>
      <c r="J95" s="427">
        <f t="shared" si="11"/>
        <v>0</v>
      </c>
      <c r="K95" s="426">
        <f t="shared" si="7"/>
        <v>9940.8896751089433</v>
      </c>
      <c r="L95" s="434">
        <f t="shared" si="12"/>
        <v>9.9408896751089441E-3</v>
      </c>
    </row>
    <row r="96" spans="1:12">
      <c r="A96" s="151" t="s">
        <v>251</v>
      </c>
      <c r="B96" s="541">
        <f>B94+B95</f>
        <v>1141.9836551020408</v>
      </c>
      <c r="C96" s="235">
        <v>0</v>
      </c>
      <c r="D96" s="235">
        <f>D94+D95</f>
        <v>1120.1877551020409</v>
      </c>
      <c r="E96" s="235">
        <f t="shared" si="8"/>
        <v>36024</v>
      </c>
      <c r="F96" s="82">
        <f t="shared" si="9"/>
        <v>89870</v>
      </c>
      <c r="G96" s="767">
        <f t="shared" si="5"/>
        <v>31700.634440984919</v>
      </c>
      <c r="H96" s="434">
        <f t="shared" si="10"/>
        <v>3.1700634440984921E-2</v>
      </c>
      <c r="I96" s="552">
        <f t="shared" si="6"/>
        <v>0</v>
      </c>
      <c r="J96" s="427">
        <f t="shared" si="11"/>
        <v>0</v>
      </c>
      <c r="K96" s="426">
        <f t="shared" si="7"/>
        <v>12464.534940492276</v>
      </c>
      <c r="L96" s="434">
        <f t="shared" si="12"/>
        <v>1.2464534940492277E-2</v>
      </c>
    </row>
    <row r="97" spans="1:12">
      <c r="A97" s="151" t="s">
        <v>238</v>
      </c>
      <c r="B97" s="541">
        <f>B96/32*96</f>
        <v>3425.9509653061223</v>
      </c>
      <c r="C97" s="235">
        <v>0</v>
      </c>
      <c r="D97" s="235">
        <f>D96/32*96</f>
        <v>3360.563265306123</v>
      </c>
      <c r="E97" s="235">
        <f t="shared" si="8"/>
        <v>36024</v>
      </c>
      <c r="F97" s="82">
        <f t="shared" si="9"/>
        <v>89870</v>
      </c>
      <c r="G97" s="767">
        <f t="shared" si="5"/>
        <v>95101.903322954764</v>
      </c>
      <c r="H97" s="434">
        <f t="shared" si="10"/>
        <v>9.5101903322954762E-2</v>
      </c>
      <c r="I97" s="552">
        <f t="shared" si="6"/>
        <v>0</v>
      </c>
      <c r="J97" s="427">
        <f t="shared" si="11"/>
        <v>0</v>
      </c>
      <c r="K97" s="426">
        <f t="shared" si="7"/>
        <v>37393.604821476838</v>
      </c>
      <c r="L97" s="434">
        <f t="shared" si="12"/>
        <v>3.7393604821476835E-2</v>
      </c>
    </row>
    <row r="98" spans="1:12">
      <c r="A98" s="151" t="s">
        <v>239</v>
      </c>
      <c r="B98" s="541">
        <f>B96/32*136</f>
        <v>4853.4305341836734</v>
      </c>
      <c r="C98" s="235">
        <v>0</v>
      </c>
      <c r="D98" s="235">
        <f>D96/32*136</f>
        <v>4760.7979591836738</v>
      </c>
      <c r="E98" s="235">
        <f t="shared" si="8"/>
        <v>36024</v>
      </c>
      <c r="F98" s="82">
        <f t="shared" si="9"/>
        <v>89870</v>
      </c>
      <c r="G98" s="767">
        <f t="shared" si="5"/>
        <v>134727.69637418591</v>
      </c>
      <c r="H98" s="434">
        <f t="shared" si="10"/>
        <v>0.13472769637418591</v>
      </c>
      <c r="I98" s="552">
        <f t="shared" si="6"/>
        <v>0</v>
      </c>
      <c r="J98" s="427">
        <f t="shared" si="11"/>
        <v>0</v>
      </c>
      <c r="K98" s="426">
        <f t="shared" si="7"/>
        <v>52974.273497092174</v>
      </c>
      <c r="L98" s="434">
        <f t="shared" si="12"/>
        <v>5.2974273497092175E-2</v>
      </c>
    </row>
    <row r="99" spans="1:12" ht="14.65" thickBot="1">
      <c r="A99" s="152" t="s">
        <v>86</v>
      </c>
      <c r="B99" s="542">
        <f>G51</f>
        <v>42.158999999999999</v>
      </c>
      <c r="C99" s="236">
        <f>H51</f>
        <v>10.835484752831899</v>
      </c>
      <c r="D99" s="236">
        <f>I51</f>
        <v>31.3235152471681</v>
      </c>
      <c r="E99" s="236">
        <f t="shared" si="8"/>
        <v>36024</v>
      </c>
      <c r="F99" s="237">
        <f t="shared" si="9"/>
        <v>89870</v>
      </c>
      <c r="G99" s="768">
        <f t="shared" si="5"/>
        <v>1170.3031312458361</v>
      </c>
      <c r="H99" s="439">
        <f t="shared" si="10"/>
        <v>1.1703031312458362E-3</v>
      </c>
      <c r="I99" s="552">
        <f t="shared" si="6"/>
        <v>120.56842942953043</v>
      </c>
      <c r="J99" s="427">
        <f t="shared" si="11"/>
        <v>1.2056842942953043E-4</v>
      </c>
      <c r="K99" s="437">
        <f t="shared" si="7"/>
        <v>348.54250859205632</v>
      </c>
      <c r="L99" s="439">
        <f t="shared" si="12"/>
        <v>3.485425085920563E-4</v>
      </c>
    </row>
    <row r="100" spans="1:12">
      <c r="A100" s="145"/>
      <c r="B100" s="146"/>
      <c r="C100" s="95"/>
    </row>
    <row r="101" spans="1:12">
      <c r="A101" s="1" t="s">
        <v>196</v>
      </c>
      <c r="B101" s="1"/>
      <c r="C101" s="1"/>
    </row>
    <row r="102" spans="1:12" ht="14.65" thickBot="1">
      <c r="A102" s="79" t="s">
        <v>365</v>
      </c>
    </row>
    <row r="103" spans="1:12" ht="14.65" thickBot="1">
      <c r="A103" s="453" t="s">
        <v>26</v>
      </c>
      <c r="B103" s="454" t="s">
        <v>27</v>
      </c>
      <c r="C103" s="455" t="s">
        <v>28</v>
      </c>
    </row>
    <row r="104" spans="1:12" ht="14.65" thickBot="1">
      <c r="A104" s="456">
        <v>0.54110338189613694</v>
      </c>
      <c r="B104" s="457">
        <v>0.45889661810386317</v>
      </c>
      <c r="C104" s="458">
        <v>0.63600000000000001</v>
      </c>
    </row>
    <row r="106" spans="1:12" ht="14.65" thickBot="1">
      <c r="A106" s="79" t="s">
        <v>127</v>
      </c>
    </row>
    <row r="107" spans="1:12">
      <c r="A107" s="18" t="s">
        <v>53</v>
      </c>
      <c r="B107" s="104" t="s">
        <v>18</v>
      </c>
      <c r="C107" s="15" t="s">
        <v>106</v>
      </c>
    </row>
    <row r="108" spans="1:12" ht="14.65" thickBot="1">
      <c r="A108" s="93" t="s">
        <v>4</v>
      </c>
      <c r="B108" s="271" t="s">
        <v>35</v>
      </c>
      <c r="C108" s="384">
        <f>$C$59</f>
        <v>89870</v>
      </c>
    </row>
    <row r="109" spans="1:12">
      <c r="A109" s="83"/>
      <c r="B109" s="77"/>
      <c r="C109" s="96"/>
    </row>
    <row r="110" spans="1:12" ht="14.65" thickBot="1">
      <c r="A110" s="79" t="s">
        <v>129</v>
      </c>
    </row>
    <row r="111" spans="1:12" ht="14.65" thickBot="1">
      <c r="A111" s="191" t="s">
        <v>90</v>
      </c>
      <c r="B111" s="192" t="s">
        <v>18</v>
      </c>
      <c r="C111" s="193" t="s">
        <v>91</v>
      </c>
    </row>
    <row r="112" spans="1:12">
      <c r="A112" s="272" t="s">
        <v>266</v>
      </c>
      <c r="B112" s="298" t="s">
        <v>35</v>
      </c>
      <c r="C112" s="313">
        <f>$C$59</f>
        <v>89870</v>
      </c>
    </row>
    <row r="113" spans="1:3">
      <c r="A113" s="257" t="s">
        <v>26</v>
      </c>
      <c r="B113" s="278" t="s">
        <v>24</v>
      </c>
      <c r="C113" s="314">
        <f>A104</f>
        <v>0.54110338189613694</v>
      </c>
    </row>
    <row r="114" spans="1:3">
      <c r="A114" s="253" t="s">
        <v>387</v>
      </c>
      <c r="B114" s="270" t="s">
        <v>35</v>
      </c>
      <c r="C114" s="254">
        <f>C112*C113</f>
        <v>48628.960931005829</v>
      </c>
    </row>
    <row r="115" spans="1:3">
      <c r="A115" s="257" t="s">
        <v>27</v>
      </c>
      <c r="B115" s="278" t="s">
        <v>24</v>
      </c>
      <c r="C115" s="314">
        <f>B104</f>
        <v>0.45889661810386317</v>
      </c>
    </row>
    <row r="116" spans="1:3">
      <c r="A116" s="253" t="s">
        <v>286</v>
      </c>
      <c r="B116" s="270" t="s">
        <v>35</v>
      </c>
      <c r="C116" s="322">
        <f>C112*C115</f>
        <v>41241.039068994185</v>
      </c>
    </row>
    <row r="117" spans="1:3">
      <c r="A117" s="281" t="s">
        <v>355</v>
      </c>
      <c r="B117" s="278" t="s">
        <v>24</v>
      </c>
      <c r="C117" s="318">
        <f>C104</f>
        <v>0.63600000000000001</v>
      </c>
    </row>
    <row r="118" spans="1:3">
      <c r="A118" s="281" t="s">
        <v>375</v>
      </c>
      <c r="B118" s="278" t="s">
        <v>35</v>
      </c>
      <c r="C118" s="289">
        <f>C116*C117</f>
        <v>26229.300847880302</v>
      </c>
    </row>
    <row r="119" spans="1:3">
      <c r="A119" s="281" t="s">
        <v>369</v>
      </c>
      <c r="B119" s="278" t="s">
        <v>24</v>
      </c>
      <c r="C119" s="318">
        <f>1-C117</f>
        <v>0.36399999999999999</v>
      </c>
    </row>
    <row r="120" spans="1:3" ht="14.65" thickBot="1">
      <c r="A120" s="319" t="s">
        <v>370</v>
      </c>
      <c r="B120" s="320" t="s">
        <v>35</v>
      </c>
      <c r="C120" s="321">
        <f>C116*C119</f>
        <v>15011.738221113883</v>
      </c>
    </row>
    <row r="121" spans="1:3">
      <c r="A121" s="77"/>
      <c r="B121" s="77"/>
      <c r="C121" s="117"/>
    </row>
    <row r="122" spans="1:3" ht="14.65" thickBot="1">
      <c r="A122" s="79" t="s">
        <v>133</v>
      </c>
      <c r="B122" s="79"/>
      <c r="C122" s="79"/>
    </row>
    <row r="123" spans="1:3" ht="14.65" thickBot="1">
      <c r="A123" s="103" t="s">
        <v>90</v>
      </c>
      <c r="B123" s="102" t="s">
        <v>18</v>
      </c>
      <c r="C123" s="17" t="s">
        <v>106</v>
      </c>
    </row>
    <row r="124" spans="1:3">
      <c r="A124" s="276" t="s">
        <v>623</v>
      </c>
      <c r="B124" s="296" t="s">
        <v>35</v>
      </c>
      <c r="C124" s="297">
        <f>$C$22</f>
        <v>19000</v>
      </c>
    </row>
    <row r="125" spans="1:3">
      <c r="A125" s="257" t="s">
        <v>329</v>
      </c>
      <c r="B125" s="278" t="s">
        <v>35</v>
      </c>
      <c r="C125" s="295">
        <f>$C$24</f>
        <v>2736</v>
      </c>
    </row>
    <row r="126" spans="1:3">
      <c r="A126" s="257" t="s">
        <v>428</v>
      </c>
      <c r="B126" s="278" t="s">
        <v>35</v>
      </c>
      <c r="C126" s="295">
        <f>$C$28</f>
        <v>14288</v>
      </c>
    </row>
    <row r="127" spans="1:3">
      <c r="A127" s="281" t="s">
        <v>375</v>
      </c>
      <c r="B127" s="278" t="s">
        <v>35</v>
      </c>
      <c r="C127" s="289">
        <f>C118</f>
        <v>26229.300847880302</v>
      </c>
    </row>
    <row r="128" spans="1:3">
      <c r="A128" s="257" t="s">
        <v>341</v>
      </c>
      <c r="B128" s="278" t="s">
        <v>35</v>
      </c>
      <c r="C128" s="279">
        <f>C124+C125+C126-C127</f>
        <v>9794.6991521196978</v>
      </c>
    </row>
    <row r="129" spans="1:8">
      <c r="A129" s="257" t="s">
        <v>387</v>
      </c>
      <c r="B129" s="278" t="s">
        <v>35</v>
      </c>
      <c r="C129" s="279">
        <f>$C$114</f>
        <v>48628.960931005829</v>
      </c>
    </row>
    <row r="130" spans="1:8">
      <c r="A130" s="299" t="s">
        <v>389</v>
      </c>
      <c r="B130" s="260" t="s">
        <v>24</v>
      </c>
      <c r="C130" s="300">
        <f>C128/C129</f>
        <v>0.20141699441236871</v>
      </c>
    </row>
    <row r="131" spans="1:8">
      <c r="A131" s="257" t="s">
        <v>366</v>
      </c>
      <c r="B131" s="278" t="s">
        <v>35</v>
      </c>
      <c r="C131" s="279">
        <f>$C$23</f>
        <v>53846</v>
      </c>
    </row>
    <row r="132" spans="1:8">
      <c r="A132" s="281" t="s">
        <v>370</v>
      </c>
      <c r="B132" s="278" t="s">
        <v>35</v>
      </c>
      <c r="C132" s="289">
        <f>C120</f>
        <v>15011.738221113883</v>
      </c>
    </row>
    <row r="133" spans="1:8">
      <c r="A133" s="257" t="s">
        <v>342</v>
      </c>
      <c r="B133" s="278" t="s">
        <v>35</v>
      </c>
      <c r="C133" s="279">
        <f>C131-C132</f>
        <v>38834.261778886117</v>
      </c>
    </row>
    <row r="134" spans="1:8">
      <c r="A134" s="257" t="s">
        <v>387</v>
      </c>
      <c r="B134" s="278" t="s">
        <v>35</v>
      </c>
      <c r="C134" s="279">
        <f>$C$114</f>
        <v>48628.960931005829</v>
      </c>
    </row>
    <row r="135" spans="1:8" ht="14.65" thickBot="1">
      <c r="A135" s="301" t="s">
        <v>321</v>
      </c>
      <c r="B135" s="277" t="s">
        <v>24</v>
      </c>
      <c r="C135" s="303">
        <f>C133/C134</f>
        <v>0.79858300558763096</v>
      </c>
    </row>
    <row r="136" spans="1:8">
      <c r="A136" s="77"/>
      <c r="B136" s="77"/>
      <c r="C136" s="117"/>
    </row>
    <row r="137" spans="1:8" ht="14.65" thickBot="1">
      <c r="A137" s="79" t="s">
        <v>135</v>
      </c>
    </row>
    <row r="138" spans="1:8" ht="14.65" thickBot="1">
      <c r="A138" s="419"/>
      <c r="B138" s="1028" t="s">
        <v>262</v>
      </c>
      <c r="C138" s="1029"/>
      <c r="D138" s="1031"/>
      <c r="E138" s="1036" t="s">
        <v>263</v>
      </c>
      <c r="F138" s="1037"/>
      <c r="G138" s="1037"/>
      <c r="H138" s="1038"/>
    </row>
    <row r="139" spans="1:8">
      <c r="A139" s="92" t="s">
        <v>93</v>
      </c>
      <c r="B139" s="377" t="s">
        <v>243</v>
      </c>
      <c r="C139" s="491" t="s">
        <v>341</v>
      </c>
      <c r="D139" s="492" t="s">
        <v>281</v>
      </c>
      <c r="E139" s="1039" t="s">
        <v>269</v>
      </c>
      <c r="F139" s="1040"/>
      <c r="G139" s="1022" t="s">
        <v>282</v>
      </c>
      <c r="H139" s="1023"/>
    </row>
    <row r="140" spans="1:8" ht="14.65" thickBot="1">
      <c r="A140" s="93" t="s">
        <v>18</v>
      </c>
      <c r="B140" s="403" t="s">
        <v>35</v>
      </c>
      <c r="C140" s="154" t="s">
        <v>35</v>
      </c>
      <c r="D140" s="155" t="s">
        <v>35</v>
      </c>
      <c r="E140" s="153" t="s">
        <v>257</v>
      </c>
      <c r="F140" s="423" t="s">
        <v>237</v>
      </c>
      <c r="G140" s="403" t="s">
        <v>71</v>
      </c>
      <c r="H140" s="155" t="s">
        <v>237</v>
      </c>
    </row>
    <row r="141" spans="1:8">
      <c r="A141" s="148" t="s">
        <v>72</v>
      </c>
      <c r="B141" s="540">
        <f>C79</f>
        <v>418.80049148977378</v>
      </c>
      <c r="C141" s="428">
        <f>$C$128</f>
        <v>9794.6991521196978</v>
      </c>
      <c r="D141" s="545">
        <f>$C$114</f>
        <v>48628.960931005829</v>
      </c>
      <c r="E141" s="557">
        <f>B141/C141*1000000</f>
        <v>42757.871884113971</v>
      </c>
      <c r="F141" s="554">
        <f>E141/1000000</f>
        <v>4.2757871884113972E-2</v>
      </c>
      <c r="G141" s="557">
        <f>B141/D141*1000000</f>
        <v>8612.1620423673612</v>
      </c>
      <c r="H141" s="433">
        <f>G141/1000000</f>
        <v>8.612162042367361E-3</v>
      </c>
    </row>
    <row r="142" spans="1:8">
      <c r="A142" s="149" t="s">
        <v>73</v>
      </c>
      <c r="B142" s="541">
        <f>C80</f>
        <v>0.20845506853087181</v>
      </c>
      <c r="C142" s="235">
        <f t="shared" ref="C142:C161" si="13">$C$128</f>
        <v>9794.6991521196978</v>
      </c>
      <c r="D142" s="546">
        <f t="shared" ref="D142:D161" si="14">$C$114</f>
        <v>48628.960931005829</v>
      </c>
      <c r="E142" s="558">
        <f t="shared" ref="E142:E161" si="15">B142/C142*1000000</f>
        <v>21.282437091062619</v>
      </c>
      <c r="F142" s="555">
        <f t="shared" ref="F142:H161" si="16">E142/1000000</f>
        <v>2.1282437091062617E-5</v>
      </c>
      <c r="G142" s="558">
        <f t="shared" ref="G142:G161" si="17">B142/D142*1000000</f>
        <v>4.2866445126521482</v>
      </c>
      <c r="H142" s="434">
        <f t="shared" si="16"/>
        <v>4.2866445126521479E-6</v>
      </c>
    </row>
    <row r="143" spans="1:8">
      <c r="A143" s="149" t="s">
        <v>74</v>
      </c>
      <c r="B143" s="541">
        <f>C81</f>
        <v>634.39650513641982</v>
      </c>
      <c r="C143" s="235">
        <f t="shared" si="13"/>
        <v>9794.6991521196978</v>
      </c>
      <c r="D143" s="546">
        <f t="shared" si="14"/>
        <v>48628.960931005829</v>
      </c>
      <c r="E143" s="558">
        <f t="shared" si="15"/>
        <v>64769.371195962485</v>
      </c>
      <c r="F143" s="555">
        <f t="shared" si="16"/>
        <v>6.4769371195962488E-2</v>
      </c>
      <c r="G143" s="558">
        <f t="shared" si="17"/>
        <v>13045.652076269813</v>
      </c>
      <c r="H143" s="434">
        <f t="shared" si="16"/>
        <v>1.3045652076269813E-2</v>
      </c>
    </row>
    <row r="144" spans="1:8">
      <c r="A144" s="149" t="s">
        <v>75</v>
      </c>
      <c r="B144" s="541">
        <f>B82*0.56</f>
        <v>3.1360000000000006E-2</v>
      </c>
      <c r="C144" s="235">
        <f t="shared" si="13"/>
        <v>9794.6991521196978</v>
      </c>
      <c r="D144" s="546">
        <f t="shared" si="14"/>
        <v>48628.960931005829</v>
      </c>
      <c r="E144" s="558">
        <f t="shared" si="15"/>
        <v>3.2017318258533041</v>
      </c>
      <c r="F144" s="555">
        <f t="shared" si="16"/>
        <v>3.2017318258533039E-6</v>
      </c>
      <c r="G144" s="558">
        <f t="shared" si="17"/>
        <v>0.64488320127779797</v>
      </c>
      <c r="H144" s="434">
        <f t="shared" si="16"/>
        <v>6.4488320127779801E-7</v>
      </c>
    </row>
    <row r="145" spans="1:8">
      <c r="A145" s="149" t="s">
        <v>76</v>
      </c>
      <c r="B145" s="541">
        <f>C83</f>
        <v>0.325825052455463</v>
      </c>
      <c r="C145" s="235">
        <f t="shared" si="13"/>
        <v>9794.6991521196978</v>
      </c>
      <c r="D145" s="546">
        <f t="shared" si="14"/>
        <v>48628.960931005829</v>
      </c>
      <c r="E145" s="558">
        <f t="shared" si="15"/>
        <v>33.26544770749291</v>
      </c>
      <c r="F145" s="555">
        <f t="shared" si="16"/>
        <v>3.3265447707492913E-5</v>
      </c>
      <c r="G145" s="558">
        <f t="shared" si="17"/>
        <v>6.7002264950250439</v>
      </c>
      <c r="H145" s="434">
        <f t="shared" si="16"/>
        <v>6.7002264950250441E-6</v>
      </c>
    </row>
    <row r="146" spans="1:8">
      <c r="A146" s="150" t="s">
        <v>77</v>
      </c>
      <c r="B146" s="541">
        <f>C84</f>
        <v>3.853375387008092</v>
      </c>
      <c r="C146" s="235">
        <f t="shared" si="13"/>
        <v>9794.6991521196978</v>
      </c>
      <c r="D146" s="546">
        <f t="shared" si="14"/>
        <v>48628.960931005829</v>
      </c>
      <c r="E146" s="558">
        <f t="shared" si="15"/>
        <v>393.41436905432386</v>
      </c>
      <c r="F146" s="555">
        <f t="shared" si="16"/>
        <v>3.9341436905432386E-4</v>
      </c>
      <c r="G146" s="558">
        <f t="shared" si="17"/>
        <v>79.240339773560308</v>
      </c>
      <c r="H146" s="434">
        <f t="shared" si="16"/>
        <v>7.9240339773560314E-5</v>
      </c>
    </row>
    <row r="147" spans="1:8">
      <c r="A147" s="150" t="s">
        <v>78</v>
      </c>
      <c r="B147" s="541">
        <f>C85</f>
        <v>255.30358139844313</v>
      </c>
      <c r="C147" s="235">
        <f t="shared" si="13"/>
        <v>9794.6991521196978</v>
      </c>
      <c r="D147" s="546">
        <f t="shared" si="14"/>
        <v>48628.960931005829</v>
      </c>
      <c r="E147" s="558">
        <f t="shared" si="15"/>
        <v>26065.484751840711</v>
      </c>
      <c r="F147" s="555">
        <f t="shared" si="16"/>
        <v>2.6065484751840711E-2</v>
      </c>
      <c r="G147" s="558">
        <f t="shared" si="17"/>
        <v>5250.031596617182</v>
      </c>
      <c r="H147" s="434">
        <f t="shared" si="16"/>
        <v>5.2500315966171824E-3</v>
      </c>
    </row>
    <row r="148" spans="1:8">
      <c r="A148" s="150" t="s">
        <v>79</v>
      </c>
      <c r="B148" s="541">
        <f>C86</f>
        <v>60.898046717526142</v>
      </c>
      <c r="C148" s="235">
        <f t="shared" si="13"/>
        <v>9794.6991521196978</v>
      </c>
      <c r="D148" s="546">
        <f t="shared" si="14"/>
        <v>48628.960931005829</v>
      </c>
      <c r="E148" s="558">
        <f t="shared" si="15"/>
        <v>6217.4494358356096</v>
      </c>
      <c r="F148" s="555">
        <f t="shared" si="16"/>
        <v>6.2174494358356097E-3</v>
      </c>
      <c r="G148" s="558">
        <f t="shared" si="17"/>
        <v>1252.2999782768861</v>
      </c>
      <c r="H148" s="434">
        <f t="shared" si="16"/>
        <v>1.2522999782768861E-3</v>
      </c>
    </row>
    <row r="149" spans="1:8">
      <c r="A149" s="150" t="s">
        <v>80</v>
      </c>
      <c r="B149" s="541">
        <f>C87</f>
        <v>105.07792736450187</v>
      </c>
      <c r="C149" s="235">
        <f t="shared" si="13"/>
        <v>9794.6991521196978</v>
      </c>
      <c r="D149" s="546">
        <f t="shared" si="14"/>
        <v>48628.960931005829</v>
      </c>
      <c r="E149" s="558">
        <f t="shared" si="15"/>
        <v>10728.040313699852</v>
      </c>
      <c r="F149" s="555">
        <f t="shared" si="16"/>
        <v>1.0728040313699852E-2</v>
      </c>
      <c r="G149" s="558">
        <f t="shared" si="17"/>
        <v>2160.8096359201495</v>
      </c>
      <c r="H149" s="434">
        <f t="shared" si="16"/>
        <v>2.1608096359201495E-3</v>
      </c>
    </row>
    <row r="150" spans="1:8">
      <c r="A150" s="150" t="s">
        <v>81</v>
      </c>
      <c r="B150" s="541">
        <f>C88</f>
        <v>46.219291455894236</v>
      </c>
      <c r="C150" s="235">
        <f t="shared" si="13"/>
        <v>9794.6991521196978</v>
      </c>
      <c r="D150" s="546">
        <f t="shared" si="14"/>
        <v>48628.960931005829</v>
      </c>
      <c r="E150" s="558">
        <f t="shared" si="15"/>
        <v>4718.8066461328517</v>
      </c>
      <c r="F150" s="555">
        <f t="shared" si="16"/>
        <v>4.718806646132852E-3</v>
      </c>
      <c r="G150" s="558">
        <f t="shared" si="17"/>
        <v>950.4478518771889</v>
      </c>
      <c r="H150" s="434">
        <f t="shared" si="16"/>
        <v>9.504478518771889E-4</v>
      </c>
    </row>
    <row r="151" spans="1:8">
      <c r="A151" s="150" t="s">
        <v>82</v>
      </c>
      <c r="B151" s="541">
        <f>C89</f>
        <v>0.56325379173680434</v>
      </c>
      <c r="C151" s="235">
        <f t="shared" si="13"/>
        <v>9794.6991521196978</v>
      </c>
      <c r="D151" s="546">
        <f t="shared" si="14"/>
        <v>48628.960931005829</v>
      </c>
      <c r="E151" s="558">
        <f t="shared" si="15"/>
        <v>57.505981857024061</v>
      </c>
      <c r="F151" s="555">
        <f t="shared" si="16"/>
        <v>5.7505981857024063E-5</v>
      </c>
      <c r="G151" s="558">
        <f t="shared" si="17"/>
        <v>11.582682026373993</v>
      </c>
      <c r="H151" s="434">
        <f t="shared" si="16"/>
        <v>1.1582682026373993E-5</v>
      </c>
    </row>
    <row r="152" spans="1:8">
      <c r="A152" s="150" t="s">
        <v>630</v>
      </c>
      <c r="B152" s="541">
        <f>B90*0.56</f>
        <v>879.97560000000021</v>
      </c>
      <c r="C152" s="235">
        <f t="shared" si="13"/>
        <v>9794.6991521196978</v>
      </c>
      <c r="D152" s="546">
        <f t="shared" si="14"/>
        <v>48628.960931005829</v>
      </c>
      <c r="E152" s="558">
        <f t="shared" si="15"/>
        <v>89842.02437800882</v>
      </c>
      <c r="F152" s="555">
        <f t="shared" si="16"/>
        <v>8.9842024378008825E-2</v>
      </c>
      <c r="G152" s="558">
        <f t="shared" si="17"/>
        <v>18095.710522141297</v>
      </c>
      <c r="H152" s="434">
        <f t="shared" si="16"/>
        <v>1.8095710522141296E-2</v>
      </c>
    </row>
    <row r="153" spans="1:8">
      <c r="A153" s="151" t="s">
        <v>96</v>
      </c>
      <c r="B153" s="541">
        <f>B91*0.56</f>
        <v>2531.017142857143</v>
      </c>
      <c r="C153" s="235">
        <f t="shared" si="13"/>
        <v>9794.6991521196978</v>
      </c>
      <c r="D153" s="546">
        <f t="shared" si="14"/>
        <v>48628.960931005829</v>
      </c>
      <c r="E153" s="558">
        <f t="shared" si="15"/>
        <v>258406.82838220696</v>
      </c>
      <c r="F153" s="555">
        <f t="shared" si="16"/>
        <v>0.25840682838220697</v>
      </c>
      <c r="G153" s="558">
        <f t="shared" si="17"/>
        <v>52047.526708376899</v>
      </c>
      <c r="H153" s="434">
        <f t="shared" si="16"/>
        <v>5.2047526708376902E-2</v>
      </c>
    </row>
    <row r="154" spans="1:8">
      <c r="A154" s="150" t="s">
        <v>97</v>
      </c>
      <c r="B154" s="541">
        <f>B152+B153</f>
        <v>3410.9927428571432</v>
      </c>
      <c r="C154" s="235">
        <f t="shared" si="13"/>
        <v>9794.6991521196978</v>
      </c>
      <c r="D154" s="546">
        <f t="shared" si="14"/>
        <v>48628.960931005829</v>
      </c>
      <c r="E154" s="558">
        <f t="shared" si="15"/>
        <v>348248.85276021576</v>
      </c>
      <c r="F154" s="555">
        <f t="shared" si="16"/>
        <v>0.34824885276021578</v>
      </c>
      <c r="G154" s="558">
        <f t="shared" si="17"/>
        <v>70143.237230518193</v>
      </c>
      <c r="H154" s="434">
        <f t="shared" si="16"/>
        <v>7.0143237230518199E-2</v>
      </c>
    </row>
    <row r="155" spans="1:8">
      <c r="A155" s="151" t="s">
        <v>84</v>
      </c>
      <c r="B155" s="541">
        <f>C93</f>
        <v>0.12643614864548119</v>
      </c>
      <c r="C155" s="235">
        <f t="shared" si="13"/>
        <v>9794.6991521196978</v>
      </c>
      <c r="D155" s="546">
        <f t="shared" si="14"/>
        <v>48628.960931005829</v>
      </c>
      <c r="E155" s="558">
        <f t="shared" si="15"/>
        <v>12.90863013573202</v>
      </c>
      <c r="F155" s="555">
        <f t="shared" si="16"/>
        <v>1.290863013573202E-5</v>
      </c>
      <c r="G155" s="558">
        <f t="shared" si="17"/>
        <v>2.6000174839200705</v>
      </c>
      <c r="H155" s="434">
        <f t="shared" si="16"/>
        <v>2.6000174839200706E-6</v>
      </c>
    </row>
    <row r="156" spans="1:8">
      <c r="A156" s="151" t="s">
        <v>631</v>
      </c>
      <c r="B156" s="541">
        <f>C94</f>
        <v>0</v>
      </c>
      <c r="C156" s="235">
        <f t="shared" si="13"/>
        <v>9794.6991521196978</v>
      </c>
      <c r="D156" s="546">
        <f t="shared" si="14"/>
        <v>48628.960931005829</v>
      </c>
      <c r="E156" s="558">
        <f t="shared" si="15"/>
        <v>0</v>
      </c>
      <c r="F156" s="555">
        <f t="shared" si="16"/>
        <v>0</v>
      </c>
      <c r="G156" s="558">
        <f t="shared" si="17"/>
        <v>0</v>
      </c>
      <c r="H156" s="434">
        <f t="shared" si="16"/>
        <v>0</v>
      </c>
    </row>
    <row r="157" spans="1:8">
      <c r="A157" s="151" t="s">
        <v>250</v>
      </c>
      <c r="B157" s="541">
        <f>C95</f>
        <v>0</v>
      </c>
      <c r="C157" s="235">
        <f t="shared" si="13"/>
        <v>9794.6991521196978</v>
      </c>
      <c r="D157" s="546">
        <f t="shared" si="14"/>
        <v>48628.960931005829</v>
      </c>
      <c r="E157" s="558">
        <f t="shared" si="15"/>
        <v>0</v>
      </c>
      <c r="F157" s="555">
        <f t="shared" si="16"/>
        <v>0</v>
      </c>
      <c r="G157" s="558">
        <f t="shared" si="17"/>
        <v>0</v>
      </c>
      <c r="H157" s="434">
        <f t="shared" si="16"/>
        <v>0</v>
      </c>
    </row>
    <row r="158" spans="1:8">
      <c r="A158" s="151" t="s">
        <v>251</v>
      </c>
      <c r="B158" s="541">
        <f>C96</f>
        <v>0</v>
      </c>
      <c r="C158" s="235">
        <f t="shared" si="13"/>
        <v>9794.6991521196978</v>
      </c>
      <c r="D158" s="546">
        <f t="shared" si="14"/>
        <v>48628.960931005829</v>
      </c>
      <c r="E158" s="558">
        <f t="shared" si="15"/>
        <v>0</v>
      </c>
      <c r="F158" s="555">
        <f t="shared" si="16"/>
        <v>0</v>
      </c>
      <c r="G158" s="558">
        <f t="shared" si="17"/>
        <v>0</v>
      </c>
      <c r="H158" s="434">
        <f t="shared" si="16"/>
        <v>0</v>
      </c>
    </row>
    <row r="159" spans="1:8">
      <c r="A159" s="151" t="s">
        <v>238</v>
      </c>
      <c r="B159" s="541">
        <f>C97</f>
        <v>0</v>
      </c>
      <c r="C159" s="235">
        <f t="shared" si="13"/>
        <v>9794.6991521196978</v>
      </c>
      <c r="D159" s="546">
        <f t="shared" si="14"/>
        <v>48628.960931005829</v>
      </c>
      <c r="E159" s="558">
        <f t="shared" si="15"/>
        <v>0</v>
      </c>
      <c r="F159" s="555">
        <f t="shared" si="16"/>
        <v>0</v>
      </c>
      <c r="G159" s="558">
        <f t="shared" si="17"/>
        <v>0</v>
      </c>
      <c r="H159" s="434">
        <f t="shared" si="16"/>
        <v>0</v>
      </c>
    </row>
    <row r="160" spans="1:8">
      <c r="A160" s="151" t="s">
        <v>239</v>
      </c>
      <c r="B160" s="541">
        <f>C98</f>
        <v>0</v>
      </c>
      <c r="C160" s="235">
        <f t="shared" si="13"/>
        <v>9794.6991521196978</v>
      </c>
      <c r="D160" s="546">
        <f t="shared" si="14"/>
        <v>48628.960931005829</v>
      </c>
      <c r="E160" s="558">
        <f t="shared" si="15"/>
        <v>0</v>
      </c>
      <c r="F160" s="555">
        <f t="shared" si="16"/>
        <v>0</v>
      </c>
      <c r="G160" s="558">
        <f t="shared" si="17"/>
        <v>0</v>
      </c>
      <c r="H160" s="434">
        <f t="shared" si="16"/>
        <v>0</v>
      </c>
    </row>
    <row r="161" spans="1:8" ht="14.65" thickBot="1">
      <c r="A161" s="152" t="s">
        <v>86</v>
      </c>
      <c r="B161" s="542">
        <f>C99</f>
        <v>10.835484752831899</v>
      </c>
      <c r="C161" s="236">
        <f t="shared" si="13"/>
        <v>9794.6991521196978</v>
      </c>
      <c r="D161" s="547">
        <f t="shared" si="14"/>
        <v>48628.960931005829</v>
      </c>
      <c r="E161" s="558">
        <f t="shared" si="15"/>
        <v>1106.2600887018527</v>
      </c>
      <c r="F161" s="555">
        <f t="shared" si="16"/>
        <v>1.1062600887018527E-3</v>
      </c>
      <c r="G161" s="558">
        <f t="shared" si="17"/>
        <v>222.81958210468761</v>
      </c>
      <c r="H161" s="434">
        <f t="shared" si="16"/>
        <v>2.2281958210468761E-4</v>
      </c>
    </row>
    <row r="162" spans="1:8">
      <c r="A162" s="145"/>
      <c r="B162" s="146"/>
      <c r="C162" s="95"/>
    </row>
    <row r="163" spans="1:8" ht="14.65" thickBot="1">
      <c r="A163" s="79" t="s">
        <v>197</v>
      </c>
    </row>
    <row r="164" spans="1:8" ht="14.65" thickBot="1">
      <c r="A164" s="419"/>
      <c r="B164" s="1028" t="s">
        <v>262</v>
      </c>
      <c r="C164" s="1029"/>
      <c r="D164" s="1031"/>
      <c r="E164" s="1036" t="s">
        <v>263</v>
      </c>
      <c r="F164" s="1037"/>
      <c r="G164" s="1037"/>
      <c r="H164" s="1038"/>
    </row>
    <row r="165" spans="1:8">
      <c r="A165" s="92" t="s">
        <v>93</v>
      </c>
      <c r="B165" s="377" t="s">
        <v>256</v>
      </c>
      <c r="C165" s="491" t="s">
        <v>375</v>
      </c>
      <c r="D165" s="492" t="s">
        <v>286</v>
      </c>
      <c r="E165" s="1039" t="s">
        <v>269</v>
      </c>
      <c r="F165" s="1040"/>
      <c r="G165" s="1022" t="s">
        <v>258</v>
      </c>
      <c r="H165" s="1023"/>
    </row>
    <row r="166" spans="1:8" ht="14.65" thickBot="1">
      <c r="A166" s="93" t="s">
        <v>18</v>
      </c>
      <c r="B166" s="403" t="s">
        <v>35</v>
      </c>
      <c r="C166" s="154" t="s">
        <v>35</v>
      </c>
      <c r="D166" s="155" t="s">
        <v>35</v>
      </c>
      <c r="E166" s="153" t="s">
        <v>257</v>
      </c>
      <c r="F166" s="423" t="s">
        <v>237</v>
      </c>
      <c r="G166" s="403" t="s">
        <v>71</v>
      </c>
      <c r="H166" s="155" t="s">
        <v>237</v>
      </c>
    </row>
    <row r="167" spans="1:8">
      <c r="A167" s="222" t="s">
        <v>72</v>
      </c>
      <c r="B167" s="540">
        <f>D79</f>
        <v>762.04750851022629</v>
      </c>
      <c r="C167" s="428">
        <f>$C$118</f>
        <v>26229.300847880302</v>
      </c>
      <c r="D167" s="382">
        <f>$C$116</f>
        <v>41241.039068994185</v>
      </c>
      <c r="E167" s="551">
        <f>B167/C167*1000000</f>
        <v>29053.290933288848</v>
      </c>
      <c r="F167" s="554">
        <f>E167/1000000</f>
        <v>2.9053290933288848E-2</v>
      </c>
      <c r="G167" s="557">
        <f>B167/D167*1000000</f>
        <v>18477.893033571705</v>
      </c>
      <c r="H167" s="433">
        <f>G167/1000000</f>
        <v>1.8477893033571707E-2</v>
      </c>
    </row>
    <row r="168" spans="1:8">
      <c r="A168" s="149" t="s">
        <v>73</v>
      </c>
      <c r="B168" s="541">
        <f>D80</f>
        <v>0.2047449314691282</v>
      </c>
      <c r="C168" s="235">
        <f t="shared" ref="C168:C187" si="18">$C$118</f>
        <v>26229.300847880302</v>
      </c>
      <c r="D168" s="82">
        <f t="shared" ref="D168:D187" si="19">$C$116</f>
        <v>41241.039068994185</v>
      </c>
      <c r="E168" s="552">
        <f t="shared" ref="E168:E187" si="20">B168/C168*1000000</f>
        <v>7.8059622197544964</v>
      </c>
      <c r="F168" s="555">
        <f t="shared" ref="F168:H187" si="21">E168/1000000</f>
        <v>7.805962219754496E-6</v>
      </c>
      <c r="G168" s="558">
        <f t="shared" ref="G168:G187" si="22">B168/D168*1000000</f>
        <v>4.9645919717638591</v>
      </c>
      <c r="H168" s="434">
        <f t="shared" si="21"/>
        <v>4.964591971763859E-6</v>
      </c>
    </row>
    <row r="169" spans="1:8">
      <c r="A169" s="149" t="s">
        <v>74</v>
      </c>
      <c r="B169" s="541">
        <f>D81</f>
        <v>2053.7758948635801</v>
      </c>
      <c r="C169" s="235">
        <f t="shared" si="18"/>
        <v>26229.300847880302</v>
      </c>
      <c r="D169" s="82">
        <f t="shared" si="19"/>
        <v>41241.039068994185</v>
      </c>
      <c r="E169" s="552">
        <f t="shared" si="20"/>
        <v>78300.824973363866</v>
      </c>
      <c r="F169" s="555">
        <f t="shared" si="21"/>
        <v>7.8300824973363867E-2</v>
      </c>
      <c r="G169" s="558">
        <f t="shared" si="22"/>
        <v>49799.324683059422</v>
      </c>
      <c r="H169" s="434">
        <f t="shared" si="21"/>
        <v>4.9799324683059421E-2</v>
      </c>
    </row>
    <row r="170" spans="1:8">
      <c r="A170" s="149" t="s">
        <v>75</v>
      </c>
      <c r="B170" s="541">
        <f>B82*0.44</f>
        <v>2.4640000000000002E-2</v>
      </c>
      <c r="C170" s="235">
        <f t="shared" si="18"/>
        <v>26229.300847880302</v>
      </c>
      <c r="D170" s="82">
        <f t="shared" si="19"/>
        <v>41241.039068994185</v>
      </c>
      <c r="E170" s="552">
        <f t="shared" si="20"/>
        <v>0.93940742617969031</v>
      </c>
      <c r="F170" s="555">
        <f t="shared" si="21"/>
        <v>9.3940742617969031E-7</v>
      </c>
      <c r="G170" s="558">
        <f t="shared" si="22"/>
        <v>0.59746312305028304</v>
      </c>
      <c r="H170" s="434">
        <f t="shared" si="21"/>
        <v>5.97463123050283E-7</v>
      </c>
    </row>
    <row r="171" spans="1:8">
      <c r="A171" s="149" t="s">
        <v>76</v>
      </c>
      <c r="B171" s="541">
        <f>D83</f>
        <v>1.6834749475445372</v>
      </c>
      <c r="C171" s="235">
        <f t="shared" si="18"/>
        <v>26229.300847880302</v>
      </c>
      <c r="D171" s="82">
        <f t="shared" si="19"/>
        <v>41241.039068994185</v>
      </c>
      <c r="E171" s="552">
        <f t="shared" si="20"/>
        <v>64.182989752873482</v>
      </c>
      <c r="F171" s="555">
        <f t="shared" si="21"/>
        <v>6.418298975287348E-5</v>
      </c>
      <c r="G171" s="558">
        <f t="shared" si="22"/>
        <v>40.820381482827536</v>
      </c>
      <c r="H171" s="434">
        <f t="shared" si="21"/>
        <v>4.0820381482827538E-5</v>
      </c>
    </row>
    <row r="172" spans="1:8">
      <c r="A172" s="150" t="s">
        <v>77</v>
      </c>
      <c r="B172" s="541">
        <f>D84</f>
        <v>11.711624612991907</v>
      </c>
      <c r="C172" s="235">
        <f t="shared" si="18"/>
        <v>26229.300847880302</v>
      </c>
      <c r="D172" s="82">
        <f t="shared" si="19"/>
        <v>41241.039068994185</v>
      </c>
      <c r="E172" s="552">
        <f t="shared" si="20"/>
        <v>446.50921810362979</v>
      </c>
      <c r="F172" s="555">
        <f t="shared" si="21"/>
        <v>4.4650921810362976E-4</v>
      </c>
      <c r="G172" s="558">
        <f t="shared" si="22"/>
        <v>283.97986271390852</v>
      </c>
      <c r="H172" s="434">
        <f t="shared" si="21"/>
        <v>2.8397986271390852E-4</v>
      </c>
    </row>
    <row r="173" spans="1:8">
      <c r="A173" s="150" t="s">
        <v>78</v>
      </c>
      <c r="B173" s="541">
        <f>D85</f>
        <v>965.82541860155675</v>
      </c>
      <c r="C173" s="235">
        <f t="shared" si="18"/>
        <v>26229.300847880302</v>
      </c>
      <c r="D173" s="82">
        <f t="shared" si="19"/>
        <v>41241.039068994185</v>
      </c>
      <c r="E173" s="552">
        <f t="shared" si="20"/>
        <v>36822.385171566973</v>
      </c>
      <c r="F173" s="555">
        <f t="shared" si="21"/>
        <v>3.6822385171566975E-2</v>
      </c>
      <c r="G173" s="558">
        <f t="shared" si="22"/>
        <v>23419.036969116598</v>
      </c>
      <c r="H173" s="434">
        <f t="shared" si="21"/>
        <v>2.3419036969116597E-2</v>
      </c>
    </row>
    <row r="174" spans="1:8">
      <c r="A174" s="150" t="s">
        <v>79</v>
      </c>
      <c r="B174" s="541">
        <f>D86</f>
        <v>106.79865328247388</v>
      </c>
      <c r="C174" s="235">
        <f t="shared" si="18"/>
        <v>26229.300847880302</v>
      </c>
      <c r="D174" s="82">
        <f t="shared" si="19"/>
        <v>41241.039068994185</v>
      </c>
      <c r="E174" s="552">
        <f t="shared" si="20"/>
        <v>4071.7308441374153</v>
      </c>
      <c r="F174" s="555">
        <f t="shared" si="21"/>
        <v>4.0717308441374153E-3</v>
      </c>
      <c r="G174" s="558">
        <f t="shared" si="22"/>
        <v>2589.6208168713961</v>
      </c>
      <c r="H174" s="434">
        <f t="shared" si="21"/>
        <v>2.589620816871396E-3</v>
      </c>
    </row>
    <row r="175" spans="1:8">
      <c r="A175" s="150" t="s">
        <v>80</v>
      </c>
      <c r="B175" s="541">
        <f>D87</f>
        <v>138.66477263549814</v>
      </c>
      <c r="C175" s="235">
        <f t="shared" si="18"/>
        <v>26229.300847880302</v>
      </c>
      <c r="D175" s="82">
        <f t="shared" si="19"/>
        <v>41241.039068994185</v>
      </c>
      <c r="E175" s="552">
        <f t="shared" si="20"/>
        <v>5286.6362485107647</v>
      </c>
      <c r="F175" s="555">
        <f t="shared" si="21"/>
        <v>5.2866362485107649E-3</v>
      </c>
      <c r="G175" s="558">
        <f t="shared" si="22"/>
        <v>3362.3006540528463</v>
      </c>
      <c r="H175" s="434">
        <f t="shared" si="21"/>
        <v>3.3623006540528461E-3</v>
      </c>
    </row>
    <row r="176" spans="1:8">
      <c r="A176" s="150" t="s">
        <v>81</v>
      </c>
      <c r="B176" s="541">
        <f>D88</f>
        <v>74.403408544105773</v>
      </c>
      <c r="C176" s="235">
        <f t="shared" si="18"/>
        <v>26229.300847880302</v>
      </c>
      <c r="D176" s="82">
        <f t="shared" si="19"/>
        <v>41241.039068994185</v>
      </c>
      <c r="E176" s="552">
        <f t="shared" si="20"/>
        <v>2836.6523749762327</v>
      </c>
      <c r="F176" s="555">
        <f t="shared" si="21"/>
        <v>2.8366523749762326E-3</v>
      </c>
      <c r="G176" s="558">
        <f t="shared" si="22"/>
        <v>1804.110910484884</v>
      </c>
      <c r="H176" s="434">
        <f t="shared" si="21"/>
        <v>1.8041109104848839E-3</v>
      </c>
    </row>
    <row r="177" spans="1:8">
      <c r="A177" s="150" t="s">
        <v>82</v>
      </c>
      <c r="B177" s="541">
        <f>D89</f>
        <v>1.2699462082631956</v>
      </c>
      <c r="C177" s="235">
        <f t="shared" si="18"/>
        <v>26229.300847880302</v>
      </c>
      <c r="D177" s="82">
        <f t="shared" si="19"/>
        <v>41241.039068994185</v>
      </c>
      <c r="E177" s="552">
        <f t="shared" si="20"/>
        <v>48.417081935518887</v>
      </c>
      <c r="F177" s="555">
        <f t="shared" si="21"/>
        <v>4.841708193551889E-5</v>
      </c>
      <c r="G177" s="558">
        <f t="shared" si="22"/>
        <v>30.793264110990009</v>
      </c>
      <c r="H177" s="434">
        <f t="shared" si="21"/>
        <v>3.079326411099001E-5</v>
      </c>
    </row>
    <row r="178" spans="1:8">
      <c r="A178" s="150" t="s">
        <v>630</v>
      </c>
      <c r="B178" s="541">
        <f>B90*0.44</f>
        <v>691.40940000000012</v>
      </c>
      <c r="C178" s="235">
        <f t="shared" si="18"/>
        <v>26229.300847880302</v>
      </c>
      <c r="D178" s="82">
        <f t="shared" si="19"/>
        <v>41241.039068994185</v>
      </c>
      <c r="E178" s="552">
        <f t="shared" si="20"/>
        <v>26360.191756917371</v>
      </c>
      <c r="F178" s="555">
        <f t="shared" si="21"/>
        <v>2.6360191756917371E-2</v>
      </c>
      <c r="G178" s="558">
        <f t="shared" si="22"/>
        <v>16765.081957399449</v>
      </c>
      <c r="H178" s="434">
        <f t="shared" si="21"/>
        <v>1.6765081957399449E-2</v>
      </c>
    </row>
    <row r="179" spans="1:8">
      <c r="A179" s="151" t="s">
        <v>96</v>
      </c>
      <c r="B179" s="541">
        <f>B91*0.44</f>
        <v>1988.6563265306122</v>
      </c>
      <c r="C179" s="235">
        <f t="shared" si="18"/>
        <v>26229.300847880302</v>
      </c>
      <c r="D179" s="82">
        <f t="shared" si="19"/>
        <v>41241.039068994185</v>
      </c>
      <c r="E179" s="552">
        <f t="shared" si="20"/>
        <v>75818.121804467533</v>
      </c>
      <c r="F179" s="555">
        <f t="shared" si="21"/>
        <v>7.5818121804467536E-2</v>
      </c>
      <c r="G179" s="558">
        <f t="shared" si="22"/>
        <v>48220.325467641349</v>
      </c>
      <c r="H179" s="434">
        <f t="shared" si="21"/>
        <v>4.8220325467641351E-2</v>
      </c>
    </row>
    <row r="180" spans="1:8">
      <c r="A180" s="150" t="s">
        <v>97</v>
      </c>
      <c r="B180" s="541">
        <f>B178+B179</f>
        <v>2680.0657265306122</v>
      </c>
      <c r="C180" s="235">
        <f t="shared" si="18"/>
        <v>26229.300847880302</v>
      </c>
      <c r="D180" s="82">
        <f t="shared" si="19"/>
        <v>41241.039068994185</v>
      </c>
      <c r="E180" s="552">
        <f t="shared" si="20"/>
        <v>102178.31356138489</v>
      </c>
      <c r="F180" s="555">
        <f t="shared" si="21"/>
        <v>0.10217831356138489</v>
      </c>
      <c r="G180" s="558">
        <f t="shared" si="22"/>
        <v>64985.407425040787</v>
      </c>
      <c r="H180" s="434">
        <f t="shared" si="21"/>
        <v>6.4985407425040789E-2</v>
      </c>
    </row>
    <row r="181" spans="1:8">
      <c r="A181" s="151" t="s">
        <v>84</v>
      </c>
      <c r="B181" s="541">
        <f>D93</f>
        <v>1.9229638513545189</v>
      </c>
      <c r="C181" s="235">
        <f t="shared" si="18"/>
        <v>26229.300847880302</v>
      </c>
      <c r="D181" s="82">
        <f t="shared" si="19"/>
        <v>41241.039068994185</v>
      </c>
      <c r="E181" s="552">
        <f t="shared" si="20"/>
        <v>73.31357638951026</v>
      </c>
      <c r="F181" s="555">
        <f t="shared" si="21"/>
        <v>7.3313576389510266E-5</v>
      </c>
      <c r="G181" s="558">
        <f t="shared" si="22"/>
        <v>46.62743458372853</v>
      </c>
      <c r="H181" s="434">
        <f t="shared" si="21"/>
        <v>4.6627434583728527E-5</v>
      </c>
    </row>
    <row r="182" spans="1:8">
      <c r="A182" s="151" t="s">
        <v>631</v>
      </c>
      <c r="B182" s="541">
        <f>D94</f>
        <v>226.8</v>
      </c>
      <c r="C182" s="235">
        <f t="shared" si="18"/>
        <v>26229.300847880302</v>
      </c>
      <c r="D182" s="82">
        <f t="shared" si="19"/>
        <v>41241.039068994185</v>
      </c>
      <c r="E182" s="552">
        <f t="shared" si="20"/>
        <v>8646.8183546085111</v>
      </c>
      <c r="F182" s="555">
        <f t="shared" si="21"/>
        <v>8.6468183546085115E-3</v>
      </c>
      <c r="G182" s="558">
        <f t="shared" si="22"/>
        <v>5499.3764735310142</v>
      </c>
      <c r="H182" s="434">
        <f t="shared" si="21"/>
        <v>5.4993764735310141E-3</v>
      </c>
    </row>
    <row r="183" spans="1:8">
      <c r="A183" s="151" t="s">
        <v>250</v>
      </c>
      <c r="B183" s="541">
        <f>D95</f>
        <v>893.38775510204084</v>
      </c>
      <c r="C183" s="235">
        <f t="shared" si="18"/>
        <v>26229.300847880302</v>
      </c>
      <c r="D183" s="82">
        <f t="shared" si="19"/>
        <v>41241.039068994185</v>
      </c>
      <c r="E183" s="552">
        <f t="shared" si="20"/>
        <v>34060.677418866049</v>
      </c>
      <c r="F183" s="555">
        <f t="shared" si="21"/>
        <v>3.406067741886605E-2</v>
      </c>
      <c r="G183" s="558">
        <f t="shared" si="22"/>
        <v>21662.59083839881</v>
      </c>
      <c r="H183" s="434">
        <f t="shared" si="21"/>
        <v>2.1662590838398811E-2</v>
      </c>
    </row>
    <row r="184" spans="1:8">
      <c r="A184" s="151" t="s">
        <v>251</v>
      </c>
      <c r="B184" s="541">
        <f>D96</f>
        <v>1120.1877551020409</v>
      </c>
      <c r="C184" s="235">
        <f t="shared" si="18"/>
        <v>26229.300847880302</v>
      </c>
      <c r="D184" s="82">
        <f t="shared" si="19"/>
        <v>41241.039068994185</v>
      </c>
      <c r="E184" s="552">
        <f t="shared" si="20"/>
        <v>42707.495773474569</v>
      </c>
      <c r="F184" s="555">
        <f t="shared" si="21"/>
        <v>4.2707495773474567E-2</v>
      </c>
      <c r="G184" s="558">
        <f t="shared" si="22"/>
        <v>27161.967311929824</v>
      </c>
      <c r="H184" s="434">
        <f t="shared" si="21"/>
        <v>2.7161967311929824E-2</v>
      </c>
    </row>
    <row r="185" spans="1:8">
      <c r="A185" s="151" t="s">
        <v>238</v>
      </c>
      <c r="B185" s="541">
        <f>D97</f>
        <v>3360.563265306123</v>
      </c>
      <c r="C185" s="235">
        <f t="shared" si="18"/>
        <v>26229.300847880302</v>
      </c>
      <c r="D185" s="82">
        <f t="shared" si="19"/>
        <v>41241.039068994185</v>
      </c>
      <c r="E185" s="552">
        <f t="shared" si="20"/>
        <v>128122.48732042372</v>
      </c>
      <c r="F185" s="555">
        <f t="shared" si="21"/>
        <v>0.12812248732042372</v>
      </c>
      <c r="G185" s="558">
        <f t="shared" si="22"/>
        <v>81485.901935789487</v>
      </c>
      <c r="H185" s="434">
        <f t="shared" si="21"/>
        <v>8.1485901935789487E-2</v>
      </c>
    </row>
    <row r="186" spans="1:8">
      <c r="A186" s="151" t="s">
        <v>239</v>
      </c>
      <c r="B186" s="541">
        <f>D98</f>
        <v>4760.7979591836738</v>
      </c>
      <c r="C186" s="235">
        <f t="shared" si="18"/>
        <v>26229.300847880302</v>
      </c>
      <c r="D186" s="82">
        <f t="shared" si="19"/>
        <v>41241.039068994185</v>
      </c>
      <c r="E186" s="552">
        <f t="shared" si="20"/>
        <v>181506.85703726689</v>
      </c>
      <c r="F186" s="555">
        <f t="shared" si="21"/>
        <v>0.18150685703726688</v>
      </c>
      <c r="G186" s="558">
        <f t="shared" si="22"/>
        <v>115438.36107570176</v>
      </c>
      <c r="H186" s="434">
        <f t="shared" si="21"/>
        <v>0.11543836107570175</v>
      </c>
    </row>
    <row r="187" spans="1:8" ht="14.65" thickBot="1">
      <c r="A187" s="152" t="s">
        <v>86</v>
      </c>
      <c r="B187" s="542">
        <f>D99</f>
        <v>31.3235152471681</v>
      </c>
      <c r="C187" s="236">
        <f t="shared" si="18"/>
        <v>26229.300847880302</v>
      </c>
      <c r="D187" s="237">
        <f t="shared" si="19"/>
        <v>41241.039068994185</v>
      </c>
      <c r="E187" s="553">
        <f t="shared" si="20"/>
        <v>1194.2184593036716</v>
      </c>
      <c r="F187" s="556">
        <f t="shared" si="21"/>
        <v>1.1942184593036716E-3</v>
      </c>
      <c r="G187" s="559">
        <f t="shared" si="22"/>
        <v>759.52294011713502</v>
      </c>
      <c r="H187" s="439">
        <f t="shared" si="21"/>
        <v>7.5952294011713507E-4</v>
      </c>
    </row>
    <row r="188" spans="1:8">
      <c r="A188" s="145"/>
      <c r="B188" s="146"/>
      <c r="C188" s="95"/>
    </row>
    <row r="189" spans="1:8">
      <c r="A189" s="1" t="s">
        <v>199</v>
      </c>
      <c r="B189" s="1"/>
      <c r="C189" s="1"/>
    </row>
    <row r="190" spans="1:8" ht="14.65" thickBot="1">
      <c r="A190" s="79" t="s">
        <v>360</v>
      </c>
      <c r="B190" s="79"/>
      <c r="C190" s="79"/>
    </row>
    <row r="191" spans="1:8">
      <c r="A191" s="570" t="s">
        <v>334</v>
      </c>
      <c r="B191" s="569">
        <v>0.05</v>
      </c>
      <c r="C191" s="202" t="s">
        <v>101</v>
      </c>
    </row>
    <row r="192" spans="1:8">
      <c r="A192" s="571" t="s">
        <v>378</v>
      </c>
      <c r="B192" s="494">
        <v>1.86</v>
      </c>
      <c r="C192" s="72" t="s">
        <v>103</v>
      </c>
    </row>
    <row r="193" spans="1:3">
      <c r="A193" s="571" t="s">
        <v>379</v>
      </c>
      <c r="B193" s="494">
        <v>0.997</v>
      </c>
      <c r="C193" s="72" t="s">
        <v>103</v>
      </c>
    </row>
    <row r="194" spans="1:3">
      <c r="A194" s="571" t="s">
        <v>380</v>
      </c>
      <c r="B194" s="494">
        <v>1.0206786471090072</v>
      </c>
      <c r="C194" s="72" t="s">
        <v>103</v>
      </c>
    </row>
    <row r="195" spans="1:3" ht="14.65" thickBot="1">
      <c r="A195" s="572" t="s">
        <v>334</v>
      </c>
      <c r="B195" s="495">
        <v>0.02</v>
      </c>
      <c r="C195" s="76" t="s">
        <v>25</v>
      </c>
    </row>
    <row r="197" spans="1:3" ht="14.65" thickBot="1">
      <c r="A197" s="79" t="s">
        <v>271</v>
      </c>
    </row>
    <row r="198" spans="1:3" ht="14.65" thickBot="1">
      <c r="A198" s="103" t="s">
        <v>53</v>
      </c>
      <c r="B198" s="102" t="s">
        <v>18</v>
      </c>
      <c r="C198" s="17" t="s">
        <v>106</v>
      </c>
    </row>
    <row r="199" spans="1:3">
      <c r="A199" s="92" t="s">
        <v>387</v>
      </c>
      <c r="B199" s="270" t="s">
        <v>35</v>
      </c>
      <c r="C199" s="383">
        <f>$C$114</f>
        <v>48628.960931005829</v>
      </c>
    </row>
    <row r="200" spans="1:3">
      <c r="A200" s="392" t="s">
        <v>394</v>
      </c>
      <c r="B200" s="278" t="s">
        <v>108</v>
      </c>
      <c r="C200" s="450">
        <v>1.3</v>
      </c>
    </row>
    <row r="201" spans="1:3">
      <c r="A201" s="257" t="s">
        <v>395</v>
      </c>
      <c r="B201" s="278" t="s">
        <v>110</v>
      </c>
      <c r="C201" s="279">
        <f>C199/C200</f>
        <v>37406.893023850636</v>
      </c>
    </row>
    <row r="202" spans="1:3">
      <c r="A202" s="281" t="s">
        <v>334</v>
      </c>
      <c r="B202" s="305" t="s">
        <v>25</v>
      </c>
      <c r="C202" s="306">
        <f>$B$195</f>
        <v>0.02</v>
      </c>
    </row>
    <row r="203" spans="1:3">
      <c r="A203" s="281" t="s">
        <v>383</v>
      </c>
      <c r="B203" s="278" t="s">
        <v>110</v>
      </c>
      <c r="C203" s="289">
        <f>C201*C202</f>
        <v>748.13786047701274</v>
      </c>
    </row>
    <row r="204" spans="1:3">
      <c r="A204" s="281" t="s">
        <v>384</v>
      </c>
      <c r="B204" s="278" t="s">
        <v>108</v>
      </c>
      <c r="C204" s="307">
        <f>B194</f>
        <v>1.0206786471090072</v>
      </c>
    </row>
    <row r="205" spans="1:3" ht="14.65" thickBot="1">
      <c r="A205" s="255" t="s">
        <v>334</v>
      </c>
      <c r="B205" s="271" t="s">
        <v>35</v>
      </c>
      <c r="C205" s="280">
        <f>C203*C204</f>
        <v>763.60833928270461</v>
      </c>
    </row>
    <row r="206" spans="1:3">
      <c r="A206" s="79"/>
      <c r="B206" s="79"/>
      <c r="C206" s="79"/>
    </row>
    <row r="207" spans="1:3" ht="14.65" thickBot="1">
      <c r="A207" s="79" t="s">
        <v>373</v>
      </c>
    </row>
    <row r="208" spans="1:3" ht="14.65" thickBot="1">
      <c r="A208" s="905" t="s">
        <v>23</v>
      </c>
      <c r="B208" s="1070">
        <v>1.8</v>
      </c>
      <c r="C208" s="1071"/>
    </row>
    <row r="209" spans="1:4" ht="14.65" thickBot="1">
      <c r="A209" s="2"/>
      <c r="B209" s="1072" t="s">
        <v>120</v>
      </c>
      <c r="C209" s="1073"/>
    </row>
    <row r="210" spans="1:4">
      <c r="A210" s="703" t="s">
        <v>77</v>
      </c>
      <c r="B210" s="880" t="s">
        <v>157</v>
      </c>
      <c r="C210" s="906">
        <v>0.99</v>
      </c>
    </row>
    <row r="211" spans="1:4">
      <c r="A211" s="232" t="s">
        <v>73</v>
      </c>
      <c r="B211" s="881" t="s">
        <v>158</v>
      </c>
      <c r="C211" s="882">
        <v>0.9</v>
      </c>
    </row>
    <row r="212" spans="1:4">
      <c r="A212" s="232" t="s">
        <v>86</v>
      </c>
      <c r="B212" s="881" t="s">
        <v>159</v>
      </c>
      <c r="C212" s="882">
        <v>0.95</v>
      </c>
    </row>
    <row r="213" spans="1:4">
      <c r="A213" s="232" t="s">
        <v>82</v>
      </c>
      <c r="B213" s="881" t="s">
        <v>160</v>
      </c>
      <c r="C213" s="907">
        <v>2.5000000000000001E-2</v>
      </c>
    </row>
    <row r="214" spans="1:4">
      <c r="A214" s="232" t="s">
        <v>72</v>
      </c>
      <c r="B214" s="881" t="s">
        <v>160</v>
      </c>
      <c r="C214" s="907">
        <v>2.5000000000000001E-2</v>
      </c>
    </row>
    <row r="215" spans="1:4">
      <c r="A215" s="232" t="s">
        <v>78</v>
      </c>
      <c r="B215" s="881" t="s">
        <v>160</v>
      </c>
      <c r="C215" s="907">
        <v>2.5000000000000001E-2</v>
      </c>
    </row>
    <row r="216" spans="1:4">
      <c r="A216" s="232" t="s">
        <v>80</v>
      </c>
      <c r="B216" s="881" t="s">
        <v>160</v>
      </c>
      <c r="C216" s="907">
        <v>2.5000000000000001E-2</v>
      </c>
    </row>
    <row r="217" spans="1:4">
      <c r="A217" s="232" t="s">
        <v>83</v>
      </c>
      <c r="B217" s="881" t="s">
        <v>160</v>
      </c>
      <c r="C217" s="907">
        <v>2.5000000000000001E-2</v>
      </c>
    </row>
    <row r="218" spans="1:4">
      <c r="A218" s="232" t="s">
        <v>79</v>
      </c>
      <c r="B218" s="881" t="s">
        <v>160</v>
      </c>
      <c r="C218" s="907">
        <v>2.5000000000000001E-2</v>
      </c>
    </row>
    <row r="219" spans="1:4">
      <c r="A219" s="232" t="s">
        <v>75</v>
      </c>
      <c r="B219" s="881" t="s">
        <v>322</v>
      </c>
      <c r="C219" s="907">
        <v>2.5000000000000001E-2</v>
      </c>
    </row>
    <row r="220" spans="1:4" ht="14.65" thickBot="1">
      <c r="A220" s="233" t="s">
        <v>84</v>
      </c>
      <c r="B220" s="883" t="s">
        <v>323</v>
      </c>
      <c r="C220" s="910">
        <v>2.5000000000000001E-2</v>
      </c>
    </row>
    <row r="221" spans="1:4">
      <c r="A221" s="78"/>
      <c r="B221" s="97"/>
      <c r="C221" s="98"/>
    </row>
    <row r="222" spans="1:4" ht="14.65" thickBot="1">
      <c r="A222" s="79" t="s">
        <v>273</v>
      </c>
    </row>
    <row r="223" spans="1:4">
      <c r="A223" s="18"/>
      <c r="B223" s="266" t="s">
        <v>120</v>
      </c>
      <c r="C223" s="274" t="s">
        <v>243</v>
      </c>
      <c r="D223" s="275" t="s">
        <v>244</v>
      </c>
    </row>
    <row r="224" spans="1:4" ht="14.65" thickBot="1">
      <c r="A224" s="21"/>
      <c r="B224" s="351" t="s">
        <v>237</v>
      </c>
      <c r="C224" s="325" t="s">
        <v>35</v>
      </c>
      <c r="D224" s="326" t="s">
        <v>35</v>
      </c>
    </row>
    <row r="225" spans="1:4">
      <c r="A225" s="172" t="s">
        <v>72</v>
      </c>
      <c r="B225" s="632">
        <f>C214</f>
        <v>2.5000000000000001E-2</v>
      </c>
      <c r="C225" s="378">
        <f>B141</f>
        <v>418.80049148977378</v>
      </c>
      <c r="D225" s="362">
        <f>C225*B225</f>
        <v>10.470012287244344</v>
      </c>
    </row>
    <row r="226" spans="1:4">
      <c r="A226" s="107" t="s">
        <v>73</v>
      </c>
      <c r="B226" s="363">
        <f>C211</f>
        <v>0.9</v>
      </c>
      <c r="C226" s="378">
        <f>B142</f>
        <v>0.20845506853087181</v>
      </c>
      <c r="D226" s="362">
        <f t="shared" ref="D226:D238" si="23">C226*B226</f>
        <v>0.18760956167778464</v>
      </c>
    </row>
    <row r="227" spans="1:4">
      <c r="A227" s="107" t="s">
        <v>75</v>
      </c>
      <c r="B227" s="633">
        <f>C219</f>
        <v>2.5000000000000001E-2</v>
      </c>
      <c r="C227" s="378">
        <f>B144</f>
        <v>3.1360000000000006E-2</v>
      </c>
      <c r="D227" s="362">
        <f t="shared" si="23"/>
        <v>7.8400000000000019E-4</v>
      </c>
    </row>
    <row r="228" spans="1:4">
      <c r="A228" s="108" t="s">
        <v>77</v>
      </c>
      <c r="B228" s="363">
        <f>C210</f>
        <v>0.99</v>
      </c>
      <c r="C228" s="378">
        <f>B146</f>
        <v>3.853375387008092</v>
      </c>
      <c r="D228" s="362">
        <f t="shared" si="23"/>
        <v>3.8148416331380113</v>
      </c>
    </row>
    <row r="229" spans="1:4">
      <c r="A229" s="108" t="s">
        <v>78</v>
      </c>
      <c r="B229" s="633">
        <f>C215</f>
        <v>2.5000000000000001E-2</v>
      </c>
      <c r="C229" s="378">
        <f>B147</f>
        <v>255.30358139844313</v>
      </c>
      <c r="D229" s="362">
        <f t="shared" si="23"/>
        <v>6.3825895349610784</v>
      </c>
    </row>
    <row r="230" spans="1:4">
      <c r="A230" s="108" t="s">
        <v>79</v>
      </c>
      <c r="B230" s="633">
        <f>C218</f>
        <v>2.5000000000000001E-2</v>
      </c>
      <c r="C230" s="378">
        <f>B148</f>
        <v>60.898046717526142</v>
      </c>
      <c r="D230" s="362">
        <f t="shared" si="23"/>
        <v>1.5224511679381536</v>
      </c>
    </row>
    <row r="231" spans="1:4">
      <c r="A231" s="108" t="s">
        <v>80</v>
      </c>
      <c r="B231" s="633">
        <f>C216</f>
        <v>2.5000000000000001E-2</v>
      </c>
      <c r="C231" s="378">
        <f>B149</f>
        <v>105.07792736450187</v>
      </c>
      <c r="D231" s="362">
        <f t="shared" si="23"/>
        <v>2.626948184112547</v>
      </c>
    </row>
    <row r="232" spans="1:4">
      <c r="A232" s="108" t="s">
        <v>82</v>
      </c>
      <c r="B232" s="633">
        <f>C213</f>
        <v>2.5000000000000001E-2</v>
      </c>
      <c r="C232" s="378">
        <f>B151</f>
        <v>0.56325379173680434</v>
      </c>
      <c r="D232" s="362">
        <f t="shared" si="23"/>
        <v>1.408134479342011E-2</v>
      </c>
    </row>
    <row r="233" spans="1:4">
      <c r="A233" s="108" t="s">
        <v>630</v>
      </c>
      <c r="B233" s="633">
        <f>C217</f>
        <v>2.5000000000000001E-2</v>
      </c>
      <c r="C233" s="577">
        <f>B152</f>
        <v>879.97560000000021</v>
      </c>
      <c r="D233" s="362">
        <f t="shared" si="23"/>
        <v>21.999390000000005</v>
      </c>
    </row>
    <row r="234" spans="1:4">
      <c r="A234" s="575" t="s">
        <v>96</v>
      </c>
      <c r="B234" s="633">
        <f>C217</f>
        <v>2.5000000000000001E-2</v>
      </c>
      <c r="C234" s="577">
        <f>B153</f>
        <v>2531.017142857143</v>
      </c>
      <c r="D234" s="362">
        <f t="shared" si="23"/>
        <v>63.275428571428577</v>
      </c>
    </row>
    <row r="235" spans="1:4">
      <c r="A235" s="394" t="s">
        <v>274</v>
      </c>
      <c r="B235" s="662">
        <f>C217</f>
        <v>2.5000000000000001E-2</v>
      </c>
      <c r="C235" s="577">
        <f>C233+C234</f>
        <v>3410.9927428571432</v>
      </c>
      <c r="D235" s="362">
        <f t="shared" si="23"/>
        <v>85.274818571428582</v>
      </c>
    </row>
    <row r="236" spans="1:4">
      <c r="A236" s="394" t="s">
        <v>84</v>
      </c>
      <c r="B236" s="662">
        <f>C220</f>
        <v>2.5000000000000001E-2</v>
      </c>
      <c r="C236" s="577">
        <f>B155</f>
        <v>0.12643614864548119</v>
      </c>
      <c r="D236" s="362">
        <f t="shared" si="23"/>
        <v>3.1609037161370299E-3</v>
      </c>
    </row>
    <row r="237" spans="1:4">
      <c r="A237" s="575" t="s">
        <v>248</v>
      </c>
      <c r="B237" s="574">
        <v>1</v>
      </c>
      <c r="C237" s="577">
        <f>C205*B191*32/78</f>
        <v>15.66376080579907</v>
      </c>
      <c r="D237" s="362">
        <f t="shared" si="23"/>
        <v>15.66376080579907</v>
      </c>
    </row>
    <row r="238" spans="1:4" ht="14.65" thickBot="1">
      <c r="A238" s="109" t="s">
        <v>86</v>
      </c>
      <c r="B238" s="116">
        <f>C212</f>
        <v>0.95</v>
      </c>
      <c r="C238" s="236">
        <f>B161</f>
        <v>10.835484752831899</v>
      </c>
      <c r="D238" s="125">
        <f t="shared" si="23"/>
        <v>10.293710515190304</v>
      </c>
    </row>
    <row r="240" spans="1:4" ht="14.65" thickBot="1">
      <c r="A240" s="79" t="s">
        <v>272</v>
      </c>
      <c r="D240" s="99"/>
    </row>
    <row r="241" spans="1:4" ht="14.65" thickBot="1">
      <c r="A241" s="16" t="s">
        <v>90</v>
      </c>
      <c r="B241" s="101" t="s">
        <v>18</v>
      </c>
      <c r="C241" s="17" t="s">
        <v>91</v>
      </c>
    </row>
    <row r="242" spans="1:4">
      <c r="A242" s="272" t="s">
        <v>9</v>
      </c>
      <c r="B242" s="278" t="s">
        <v>35</v>
      </c>
      <c r="C242" s="279">
        <f>$C$199</f>
        <v>48628.960931005829</v>
      </c>
    </row>
    <row r="243" spans="1:4">
      <c r="A243" s="281" t="s">
        <v>334</v>
      </c>
      <c r="B243" s="278" t="s">
        <v>35</v>
      </c>
      <c r="C243" s="289">
        <f>$C$205</f>
        <v>763.60833928270461</v>
      </c>
    </row>
    <row r="244" spans="1:4" ht="14.65" thickBot="1">
      <c r="A244" s="255" t="s">
        <v>6</v>
      </c>
      <c r="B244" s="271" t="s">
        <v>35</v>
      </c>
      <c r="C244" s="280">
        <f>C242+C243</f>
        <v>49392.569270288535</v>
      </c>
    </row>
    <row r="245" spans="1:4">
      <c r="B245" s="77"/>
      <c r="C245" s="83"/>
    </row>
    <row r="246" spans="1:4" ht="14.65" thickBot="1">
      <c r="A246" s="79" t="s">
        <v>203</v>
      </c>
      <c r="B246" s="79"/>
      <c r="C246" s="79"/>
      <c r="D246" s="99"/>
    </row>
    <row r="247" spans="1:4" ht="14.65" thickBot="1">
      <c r="A247" s="191" t="s">
        <v>90</v>
      </c>
      <c r="B247" s="192" t="s">
        <v>18</v>
      </c>
      <c r="C247" s="193" t="s">
        <v>106</v>
      </c>
      <c r="D247" s="99"/>
    </row>
    <row r="248" spans="1:4">
      <c r="A248" s="272" t="s">
        <v>341</v>
      </c>
      <c r="B248" s="298" t="s">
        <v>35</v>
      </c>
      <c r="C248" s="313">
        <f>$C$128</f>
        <v>9794.6991521196978</v>
      </c>
      <c r="D248" s="99"/>
    </row>
    <row r="249" spans="1:4">
      <c r="A249" s="257" t="s">
        <v>385</v>
      </c>
      <c r="B249" s="278" t="s">
        <v>24</v>
      </c>
      <c r="C249" s="312">
        <v>0.05</v>
      </c>
      <c r="D249" s="99"/>
    </row>
    <row r="250" spans="1:4">
      <c r="A250" s="257" t="s">
        <v>334</v>
      </c>
      <c r="B250" s="278" t="s">
        <v>35</v>
      </c>
      <c r="C250" s="295">
        <f>$C$205</f>
        <v>763.60833928270461</v>
      </c>
      <c r="D250" s="99"/>
    </row>
    <row r="251" spans="1:4">
      <c r="A251" s="257" t="s">
        <v>429</v>
      </c>
      <c r="B251" s="278" t="s">
        <v>35</v>
      </c>
      <c r="C251" s="295">
        <f>C250*C249</f>
        <v>38.180416964135233</v>
      </c>
      <c r="D251" s="99"/>
    </row>
    <row r="252" spans="1:4">
      <c r="A252" s="257" t="s">
        <v>337</v>
      </c>
      <c r="B252" s="278" t="s">
        <v>35</v>
      </c>
      <c r="C252" s="279">
        <f>C248+C251</f>
        <v>9832.8795690838324</v>
      </c>
      <c r="D252" s="99"/>
    </row>
    <row r="253" spans="1:4">
      <c r="A253" s="257" t="s">
        <v>276</v>
      </c>
      <c r="B253" s="278" t="s">
        <v>35</v>
      </c>
      <c r="C253" s="289">
        <f>$C$244</f>
        <v>49392.569270288535</v>
      </c>
      <c r="D253" s="99"/>
    </row>
    <row r="254" spans="1:4">
      <c r="A254" s="299" t="s">
        <v>389</v>
      </c>
      <c r="B254" s="260" t="s">
        <v>24</v>
      </c>
      <c r="C254" s="300">
        <f>C252/C253</f>
        <v>0.19907609007492297</v>
      </c>
      <c r="D254" s="99"/>
    </row>
    <row r="255" spans="1:4">
      <c r="A255" s="257" t="s">
        <v>342</v>
      </c>
      <c r="B255" s="278" t="s">
        <v>35</v>
      </c>
      <c r="C255" s="279">
        <f>$C$133</f>
        <v>38834.261778886117</v>
      </c>
    </row>
    <row r="256" spans="1:4">
      <c r="A256" s="257" t="s">
        <v>386</v>
      </c>
      <c r="B256" s="278" t="s">
        <v>24</v>
      </c>
      <c r="C256" s="312">
        <f>1-C249</f>
        <v>0.95</v>
      </c>
    </row>
    <row r="257" spans="1:12">
      <c r="A257" s="257" t="s">
        <v>334</v>
      </c>
      <c r="B257" s="278" t="s">
        <v>35</v>
      </c>
      <c r="C257" s="295">
        <f>$C$205</f>
        <v>763.60833928270461</v>
      </c>
    </row>
    <row r="258" spans="1:12">
      <c r="A258" s="257" t="s">
        <v>356</v>
      </c>
      <c r="B258" s="278" t="s">
        <v>35</v>
      </c>
      <c r="C258" s="279">
        <f>C256*C257</f>
        <v>725.42792231856936</v>
      </c>
    </row>
    <row r="259" spans="1:12">
      <c r="A259" s="257" t="s">
        <v>335</v>
      </c>
      <c r="B259" s="278" t="s">
        <v>35</v>
      </c>
      <c r="C259" s="279">
        <f>C255+C258</f>
        <v>39559.689701204683</v>
      </c>
    </row>
    <row r="260" spans="1:12">
      <c r="A260" s="257" t="s">
        <v>276</v>
      </c>
      <c r="B260" s="278" t="s">
        <v>35</v>
      </c>
      <c r="C260" s="289">
        <f>$C$244</f>
        <v>49392.569270288535</v>
      </c>
    </row>
    <row r="261" spans="1:12" ht="14.65" thickBot="1">
      <c r="A261" s="366" t="s">
        <v>321</v>
      </c>
      <c r="B261" s="365" t="s">
        <v>24</v>
      </c>
      <c r="C261" s="303">
        <f>C259/C260</f>
        <v>0.80092390992507667</v>
      </c>
    </row>
    <row r="262" spans="1:12">
      <c r="A262" s="83"/>
      <c r="B262" s="77"/>
      <c r="C262" s="96"/>
    </row>
    <row r="263" spans="1:12" ht="14.65" thickBot="1">
      <c r="A263" s="79" t="s">
        <v>124</v>
      </c>
    </row>
    <row r="264" spans="1:12" ht="14.65" thickBot="1">
      <c r="A264" s="419"/>
      <c r="B264" s="1062" t="s">
        <v>262</v>
      </c>
      <c r="C264" s="1063"/>
      <c r="D264" s="1063"/>
      <c r="E264" s="1063"/>
      <c r="F264" s="1064"/>
      <c r="G264" s="1062" t="s">
        <v>263</v>
      </c>
      <c r="H264" s="1063"/>
      <c r="I264" s="1063"/>
      <c r="J264" s="1063"/>
      <c r="K264" s="1063"/>
      <c r="L264" s="1066"/>
    </row>
    <row r="265" spans="1:12">
      <c r="A265" s="452"/>
      <c r="B265" s="1024" t="s">
        <v>275</v>
      </c>
      <c r="C265" s="1041" t="s">
        <v>243</v>
      </c>
      <c r="D265" s="1041" t="s">
        <v>256</v>
      </c>
      <c r="E265" s="1041" t="s">
        <v>337</v>
      </c>
      <c r="F265" s="1083" t="s">
        <v>276</v>
      </c>
      <c r="G265" s="1022" t="s">
        <v>269</v>
      </c>
      <c r="H265" s="1054"/>
      <c r="I265" s="1022" t="s">
        <v>277</v>
      </c>
      <c r="J265" s="1032"/>
      <c r="K265" s="1032"/>
      <c r="L265" s="1023"/>
    </row>
    <row r="266" spans="1:12">
      <c r="A266" s="219" t="s">
        <v>93</v>
      </c>
      <c r="B266" s="1067"/>
      <c r="C266" s="1042"/>
      <c r="D266" s="1042"/>
      <c r="E266" s="1042"/>
      <c r="F266" s="1084"/>
      <c r="G266" s="1033"/>
      <c r="H266" s="1046"/>
      <c r="I266" s="1033" t="s">
        <v>243</v>
      </c>
      <c r="J266" s="1034"/>
      <c r="K266" s="1034" t="s">
        <v>256</v>
      </c>
      <c r="L266" s="1035"/>
    </row>
    <row r="267" spans="1:12" ht="14.65" thickBot="1">
      <c r="A267" s="220" t="s">
        <v>18</v>
      </c>
      <c r="B267" s="403" t="s">
        <v>35</v>
      </c>
      <c r="C267" s="154" t="s">
        <v>35</v>
      </c>
      <c r="D267" s="154" t="s">
        <v>35</v>
      </c>
      <c r="E267" s="154" t="s">
        <v>35</v>
      </c>
      <c r="F267" s="423" t="s">
        <v>35</v>
      </c>
      <c r="G267" s="403" t="s">
        <v>257</v>
      </c>
      <c r="H267" s="423" t="s">
        <v>237</v>
      </c>
      <c r="I267" s="403" t="s">
        <v>70</v>
      </c>
      <c r="J267" s="154" t="s">
        <v>237</v>
      </c>
      <c r="K267" s="154" t="s">
        <v>70</v>
      </c>
      <c r="L267" s="155" t="s">
        <v>237</v>
      </c>
    </row>
    <row r="268" spans="1:12">
      <c r="A268" s="150" t="s">
        <v>72</v>
      </c>
      <c r="B268" s="540">
        <f>B141</f>
        <v>418.80049148977378</v>
      </c>
      <c r="C268" s="428">
        <f>B268-D268</f>
        <v>408.33047920252943</v>
      </c>
      <c r="D268" s="580">
        <f>D225</f>
        <v>10.470012287244344</v>
      </c>
      <c r="E268" s="428">
        <f>$C$252</f>
        <v>9832.8795690838324</v>
      </c>
      <c r="F268" s="382">
        <f>$C$244</f>
        <v>49392.569270288535</v>
      </c>
      <c r="G268" s="551">
        <f>B268/E268*1000000</f>
        <v>42591.845913230791</v>
      </c>
      <c r="H268" s="554">
        <f>G268/1000000</f>
        <v>4.2591845913230793E-2</v>
      </c>
      <c r="I268" s="557">
        <f>C268/F268*1000000</f>
        <v>8267.0426996425831</v>
      </c>
      <c r="J268" s="430">
        <f>I268/1000000</f>
        <v>8.2670426996425839E-3</v>
      </c>
      <c r="K268" s="431">
        <f>D268/F268*1000000</f>
        <v>211.97545383698932</v>
      </c>
      <c r="L268" s="433">
        <f>K268/1000000</f>
        <v>2.1197545383698933E-4</v>
      </c>
    </row>
    <row r="269" spans="1:12">
      <c r="A269" s="149" t="s">
        <v>73</v>
      </c>
      <c r="B269" s="541">
        <f>B142</f>
        <v>0.20845506853087181</v>
      </c>
      <c r="C269" s="235">
        <f t="shared" ref="C269:C284" si="24">B269-D269</f>
        <v>2.084550685308717E-2</v>
      </c>
      <c r="D269" s="579">
        <f>D226</f>
        <v>0.18760956167778464</v>
      </c>
      <c r="E269" s="235">
        <f t="shared" ref="E269:E284" si="25">$C$252</f>
        <v>9832.8795690838324</v>
      </c>
      <c r="F269" s="82">
        <f t="shared" ref="F269:F284" si="26">$C$244</f>
        <v>49392.569270288535</v>
      </c>
      <c r="G269" s="552">
        <f t="shared" ref="G269:G284" si="27">B269/E269*1000000</f>
        <v>21.199798804237197</v>
      </c>
      <c r="H269" s="555">
        <f t="shared" ref="H269:H284" si="28">G269/1000000</f>
        <v>2.1199798804237198E-5</v>
      </c>
      <c r="I269" s="558">
        <f t="shared" ref="I269:I284" si="29">C269/F269*1000000</f>
        <v>0.42203730563225661</v>
      </c>
      <c r="J269" s="425">
        <f t="shared" ref="J269:J284" si="30">I269/1000000</f>
        <v>4.2203730563225663E-7</v>
      </c>
      <c r="K269" s="426">
        <f t="shared" ref="K269:K284" si="31">D269/F269*1000000</f>
        <v>3.7983357506903119</v>
      </c>
      <c r="L269" s="434">
        <f t="shared" ref="L269:L284" si="32">K269/1000000</f>
        <v>3.7983357506903119E-6</v>
      </c>
    </row>
    <row r="270" spans="1:12">
      <c r="A270" s="149" t="s">
        <v>74</v>
      </c>
      <c r="B270" s="541">
        <f>B143</f>
        <v>634.39650513641982</v>
      </c>
      <c r="C270" s="235">
        <f t="shared" si="24"/>
        <v>634.39650513641982</v>
      </c>
      <c r="D270" s="579">
        <v>0</v>
      </c>
      <c r="E270" s="235">
        <f t="shared" si="25"/>
        <v>9832.8795690838324</v>
      </c>
      <c r="F270" s="82">
        <f t="shared" si="26"/>
        <v>49392.569270288535</v>
      </c>
      <c r="G270" s="552">
        <f t="shared" si="27"/>
        <v>64517.876038171496</v>
      </c>
      <c r="H270" s="555">
        <f t="shared" si="28"/>
        <v>6.4517876038171496E-2</v>
      </c>
      <c r="I270" s="558">
        <f t="shared" si="29"/>
        <v>12843.966501617742</v>
      </c>
      <c r="J270" s="425">
        <f t="shared" si="30"/>
        <v>1.2843966501617742E-2</v>
      </c>
      <c r="K270" s="426">
        <f t="shared" si="31"/>
        <v>0</v>
      </c>
      <c r="L270" s="434">
        <f t="shared" si="32"/>
        <v>0</v>
      </c>
    </row>
    <row r="271" spans="1:12">
      <c r="A271" s="149" t="s">
        <v>75</v>
      </c>
      <c r="B271" s="541">
        <f>B144</f>
        <v>3.1360000000000006E-2</v>
      </c>
      <c r="C271" s="235">
        <f t="shared" si="24"/>
        <v>3.0576000000000006E-2</v>
      </c>
      <c r="D271" s="579">
        <f>D227</f>
        <v>7.8400000000000019E-4</v>
      </c>
      <c r="E271" s="235">
        <f t="shared" si="25"/>
        <v>9832.8795690838324</v>
      </c>
      <c r="F271" s="82">
        <f t="shared" si="26"/>
        <v>49392.569270288535</v>
      </c>
      <c r="G271" s="552">
        <f t="shared" si="27"/>
        <v>3.1892997142567401</v>
      </c>
      <c r="H271" s="555">
        <f t="shared" si="28"/>
        <v>3.1892997142567401E-6</v>
      </c>
      <c r="I271" s="558">
        <f t="shared" si="29"/>
        <v>0.61904048426151836</v>
      </c>
      <c r="J271" s="425">
        <f t="shared" si="30"/>
        <v>6.1904048426151838E-7</v>
      </c>
      <c r="K271" s="426">
        <f t="shared" si="31"/>
        <v>1.5872832929782522E-2</v>
      </c>
      <c r="L271" s="434">
        <f t="shared" si="32"/>
        <v>1.5872832929782523E-8</v>
      </c>
    </row>
    <row r="272" spans="1:12">
      <c r="A272" s="149" t="s">
        <v>76</v>
      </c>
      <c r="B272" s="541">
        <f>B145</f>
        <v>0.325825052455463</v>
      </c>
      <c r="C272" s="235">
        <f t="shared" si="24"/>
        <v>0.325825052455463</v>
      </c>
      <c r="D272" s="579">
        <v>0</v>
      </c>
      <c r="E272" s="235">
        <f t="shared" si="25"/>
        <v>9832.8795690838324</v>
      </c>
      <c r="F272" s="82">
        <f t="shared" si="26"/>
        <v>49392.569270288535</v>
      </c>
      <c r="G272" s="552">
        <f t="shared" si="27"/>
        <v>33.136280187943093</v>
      </c>
      <c r="H272" s="555">
        <f t="shared" si="28"/>
        <v>3.3136280187943094E-5</v>
      </c>
      <c r="I272" s="558">
        <f t="shared" si="29"/>
        <v>6.5966410994428442</v>
      </c>
      <c r="J272" s="425">
        <f t="shared" si="30"/>
        <v>6.5966410994428438E-6</v>
      </c>
      <c r="K272" s="426">
        <f t="shared" si="31"/>
        <v>0</v>
      </c>
      <c r="L272" s="434">
        <f t="shared" si="32"/>
        <v>0</v>
      </c>
    </row>
    <row r="273" spans="1:12">
      <c r="A273" s="150" t="s">
        <v>77</v>
      </c>
      <c r="B273" s="541">
        <f>B146</f>
        <v>3.853375387008092</v>
      </c>
      <c r="C273" s="235">
        <f t="shared" si="24"/>
        <v>3.8533753870080734E-2</v>
      </c>
      <c r="D273" s="579">
        <f>D228</f>
        <v>3.8148416331380113</v>
      </c>
      <c r="E273" s="235">
        <f t="shared" si="25"/>
        <v>9832.8795690838324</v>
      </c>
      <c r="F273" s="82">
        <f t="shared" si="26"/>
        <v>49392.569270288535</v>
      </c>
      <c r="G273" s="552">
        <f t="shared" si="27"/>
        <v>391.88676724199178</v>
      </c>
      <c r="H273" s="555">
        <f t="shared" si="28"/>
        <v>3.9188676724199176E-4</v>
      </c>
      <c r="I273" s="558">
        <f t="shared" si="29"/>
        <v>0.78015285374636745</v>
      </c>
      <c r="J273" s="425">
        <f t="shared" si="30"/>
        <v>7.8015285374636746E-7</v>
      </c>
      <c r="K273" s="426">
        <f t="shared" si="31"/>
        <v>77.235132520890744</v>
      </c>
      <c r="L273" s="434">
        <f t="shared" si="32"/>
        <v>7.7235132520890747E-5</v>
      </c>
    </row>
    <row r="274" spans="1:12">
      <c r="A274" s="150" t="s">
        <v>78</v>
      </c>
      <c r="B274" s="541">
        <f>B147</f>
        <v>255.30358139844313</v>
      </c>
      <c r="C274" s="235">
        <f t="shared" si="24"/>
        <v>248.92099186348204</v>
      </c>
      <c r="D274" s="579">
        <f>D229</f>
        <v>6.3825895349610784</v>
      </c>
      <c r="E274" s="235">
        <f t="shared" si="25"/>
        <v>9832.8795690838324</v>
      </c>
      <c r="F274" s="82">
        <f t="shared" si="26"/>
        <v>49392.569270288535</v>
      </c>
      <c r="G274" s="552">
        <f t="shared" si="27"/>
        <v>25964.274209272222</v>
      </c>
      <c r="H274" s="555">
        <f t="shared" si="28"/>
        <v>2.5964274209272224E-2</v>
      </c>
      <c r="I274" s="558">
        <f t="shared" si="29"/>
        <v>5039.6445364346991</v>
      </c>
      <c r="J274" s="425">
        <f t="shared" si="30"/>
        <v>5.039644536434699E-3</v>
      </c>
      <c r="K274" s="426">
        <f t="shared" si="31"/>
        <v>129.22165478037692</v>
      </c>
      <c r="L274" s="434">
        <f t="shared" si="32"/>
        <v>1.2922165478037692E-4</v>
      </c>
    </row>
    <row r="275" spans="1:12">
      <c r="A275" s="150" t="s">
        <v>79</v>
      </c>
      <c r="B275" s="541">
        <f>B148</f>
        <v>60.898046717526142</v>
      </c>
      <c r="C275" s="235">
        <f t="shared" si="24"/>
        <v>59.375595549587992</v>
      </c>
      <c r="D275" s="579">
        <f>D230</f>
        <v>1.5224511679381536</v>
      </c>
      <c r="E275" s="235">
        <f t="shared" si="25"/>
        <v>9832.8795690838324</v>
      </c>
      <c r="F275" s="82">
        <f t="shared" si="26"/>
        <v>49392.569270288535</v>
      </c>
      <c r="G275" s="552">
        <f t="shared" si="27"/>
        <v>6193.3074934630013</v>
      </c>
      <c r="H275" s="555">
        <f t="shared" si="28"/>
        <v>6.1933074934630017E-3</v>
      </c>
      <c r="I275" s="558">
        <f t="shared" si="29"/>
        <v>1202.1159544195773</v>
      </c>
      <c r="J275" s="425">
        <f t="shared" si="30"/>
        <v>1.2021159544195774E-3</v>
      </c>
      <c r="K275" s="426">
        <f t="shared" si="31"/>
        <v>30.823486010758391</v>
      </c>
      <c r="L275" s="434">
        <f t="shared" si="32"/>
        <v>3.0823486010758391E-5</v>
      </c>
    </row>
    <row r="276" spans="1:12">
      <c r="A276" s="150" t="s">
        <v>80</v>
      </c>
      <c r="B276" s="541">
        <f>B149</f>
        <v>105.07792736450187</v>
      </c>
      <c r="C276" s="235">
        <f t="shared" si="24"/>
        <v>102.45097918038933</v>
      </c>
      <c r="D276" s="579">
        <f>D231</f>
        <v>2.626948184112547</v>
      </c>
      <c r="E276" s="235">
        <f t="shared" si="25"/>
        <v>9832.8795690838324</v>
      </c>
      <c r="F276" s="82">
        <f t="shared" si="26"/>
        <v>49392.569270288535</v>
      </c>
      <c r="G276" s="552">
        <f t="shared" si="27"/>
        <v>10686.384047139549</v>
      </c>
      <c r="H276" s="555">
        <f t="shared" si="28"/>
        <v>1.0686384047139549E-2</v>
      </c>
      <c r="I276" s="558">
        <f t="shared" si="29"/>
        <v>2074.2184643149831</v>
      </c>
      <c r="J276" s="425">
        <f t="shared" si="30"/>
        <v>2.0742184643149832E-3</v>
      </c>
      <c r="K276" s="426">
        <f t="shared" si="31"/>
        <v>53.185088828589322</v>
      </c>
      <c r="L276" s="434">
        <f t="shared" si="32"/>
        <v>5.318508882858932E-5</v>
      </c>
    </row>
    <row r="277" spans="1:12">
      <c r="A277" s="150" t="s">
        <v>81</v>
      </c>
      <c r="B277" s="541">
        <f>B150+C205*B191*46/78</f>
        <v>68.735947614230398</v>
      </c>
      <c r="C277" s="235">
        <f t="shared" si="24"/>
        <v>68.735947614230398</v>
      </c>
      <c r="D277" s="579">
        <v>0</v>
      </c>
      <c r="E277" s="235">
        <f t="shared" si="25"/>
        <v>9832.8795690838324</v>
      </c>
      <c r="F277" s="82">
        <f t="shared" si="26"/>
        <v>49392.569270288535</v>
      </c>
      <c r="G277" s="552">
        <f t="shared" si="27"/>
        <v>6990.4189440443633</v>
      </c>
      <c r="H277" s="555">
        <f t="shared" si="28"/>
        <v>6.9904189440443635E-3</v>
      </c>
      <c r="I277" s="558">
        <f t="shared" si="29"/>
        <v>1391.6252713660235</v>
      </c>
      <c r="J277" s="425">
        <f t="shared" si="30"/>
        <v>1.3916252713660235E-3</v>
      </c>
      <c r="K277" s="426">
        <f t="shared" si="31"/>
        <v>0</v>
      </c>
      <c r="L277" s="434">
        <f t="shared" si="32"/>
        <v>0</v>
      </c>
    </row>
    <row r="278" spans="1:12">
      <c r="A278" s="150" t="s">
        <v>82</v>
      </c>
      <c r="B278" s="541">
        <f>B151</f>
        <v>0.56325379173680434</v>
      </c>
      <c r="C278" s="235">
        <f t="shared" si="24"/>
        <v>0.54917244694338418</v>
      </c>
      <c r="D278" s="579">
        <f t="shared" ref="D278:D284" si="33">D232</f>
        <v>1.408134479342011E-2</v>
      </c>
      <c r="E278" s="235">
        <f t="shared" si="25"/>
        <v>9832.8795690838324</v>
      </c>
      <c r="F278" s="82">
        <f t="shared" si="26"/>
        <v>49392.569270288535</v>
      </c>
      <c r="G278" s="552">
        <f t="shared" si="27"/>
        <v>57.282689956639516</v>
      </c>
      <c r="H278" s="555">
        <f t="shared" si="28"/>
        <v>5.7282689956639515E-5</v>
      </c>
      <c r="I278" s="558">
        <f t="shared" si="29"/>
        <v>11.118523596903307</v>
      </c>
      <c r="J278" s="425">
        <f t="shared" si="30"/>
        <v>1.1118523596903306E-5</v>
      </c>
      <c r="K278" s="426">
        <f t="shared" si="31"/>
        <v>0.28509034863854638</v>
      </c>
      <c r="L278" s="434">
        <f t="shared" si="32"/>
        <v>2.8509034863854639E-7</v>
      </c>
    </row>
    <row r="279" spans="1:12">
      <c r="A279" s="150" t="s">
        <v>630</v>
      </c>
      <c r="B279" s="541">
        <f>B152</f>
        <v>879.97560000000021</v>
      </c>
      <c r="C279" s="235">
        <f t="shared" si="24"/>
        <v>857.97621000000026</v>
      </c>
      <c r="D279" s="579">
        <f t="shared" si="33"/>
        <v>21.999390000000005</v>
      </c>
      <c r="E279" s="235">
        <f t="shared" si="25"/>
        <v>9832.8795690838324</v>
      </c>
      <c r="F279" s="82">
        <f t="shared" si="26"/>
        <v>49392.569270288535</v>
      </c>
      <c r="G279" s="552">
        <f t="shared" si="27"/>
        <v>89493.17377655943</v>
      </c>
      <c r="H279" s="555">
        <f t="shared" si="28"/>
        <v>8.9493173776559423E-2</v>
      </c>
      <c r="I279" s="558">
        <f t="shared" si="29"/>
        <v>17370.552345737251</v>
      </c>
      <c r="J279" s="425">
        <f t="shared" si="30"/>
        <v>1.7370552345737252E-2</v>
      </c>
      <c r="K279" s="426">
        <f t="shared" si="31"/>
        <v>445.39877809582697</v>
      </c>
      <c r="L279" s="434">
        <f t="shared" si="32"/>
        <v>4.4539877809582698E-4</v>
      </c>
    </row>
    <row r="280" spans="1:12">
      <c r="A280" s="150" t="s">
        <v>96</v>
      </c>
      <c r="B280" s="541">
        <f>B153</f>
        <v>2531.017142857143</v>
      </c>
      <c r="C280" s="235">
        <f t="shared" si="24"/>
        <v>2467.7417142857144</v>
      </c>
      <c r="D280" s="579">
        <f t="shared" si="33"/>
        <v>63.275428571428577</v>
      </c>
      <c r="E280" s="235">
        <f t="shared" si="25"/>
        <v>9832.8795690838324</v>
      </c>
      <c r="F280" s="82">
        <f t="shared" si="26"/>
        <v>49392.569270288535</v>
      </c>
      <c r="G280" s="552">
        <f t="shared" si="27"/>
        <v>257403.45186521669</v>
      </c>
      <c r="H280" s="555">
        <f t="shared" si="28"/>
        <v>0.25740345186521668</v>
      </c>
      <c r="I280" s="558">
        <f t="shared" si="29"/>
        <v>49961.800949888078</v>
      </c>
      <c r="J280" s="425">
        <f t="shared" si="30"/>
        <v>4.9961800949888079E-2</v>
      </c>
      <c r="K280" s="426">
        <f t="shared" si="31"/>
        <v>1281.0718192278994</v>
      </c>
      <c r="L280" s="434">
        <f t="shared" si="32"/>
        <v>1.2810718192278994E-3</v>
      </c>
    </row>
    <row r="281" spans="1:12">
      <c r="A281" s="151" t="s">
        <v>274</v>
      </c>
      <c r="B281" s="541">
        <f>B279+B280</f>
        <v>3410.9927428571432</v>
      </c>
      <c r="C281" s="235">
        <f t="shared" si="24"/>
        <v>3325.7179242857146</v>
      </c>
      <c r="D281" s="579">
        <f t="shared" si="33"/>
        <v>85.274818571428582</v>
      </c>
      <c r="E281" s="235">
        <f t="shared" si="25"/>
        <v>9832.8795690838324</v>
      </c>
      <c r="F281" s="82">
        <f t="shared" si="26"/>
        <v>49392.569270288535</v>
      </c>
      <c r="G281" s="552">
        <f t="shared" si="27"/>
        <v>346896.62564177613</v>
      </c>
      <c r="H281" s="555">
        <f t="shared" si="28"/>
        <v>0.34689662564177615</v>
      </c>
      <c r="I281" s="558">
        <f t="shared" si="29"/>
        <v>67332.353295625333</v>
      </c>
      <c r="J281" s="425">
        <f t="shared" si="30"/>
        <v>6.7332353295625327E-2</v>
      </c>
      <c r="K281" s="426">
        <f t="shared" si="31"/>
        <v>1726.4705973237265</v>
      </c>
      <c r="L281" s="434">
        <f t="shared" si="32"/>
        <v>1.7264705973237264E-3</v>
      </c>
    </row>
    <row r="282" spans="1:12">
      <c r="A282" s="151" t="s">
        <v>84</v>
      </c>
      <c r="B282" s="541">
        <f>B155</f>
        <v>0.12643614864548119</v>
      </c>
      <c r="C282" s="235">
        <f t="shared" si="24"/>
        <v>0.12327524492934416</v>
      </c>
      <c r="D282" s="579">
        <f t="shared" si="33"/>
        <v>3.1609037161370299E-3</v>
      </c>
      <c r="E282" s="235">
        <f t="shared" si="25"/>
        <v>9832.8795690838324</v>
      </c>
      <c r="F282" s="82">
        <f t="shared" si="26"/>
        <v>49392.569270288535</v>
      </c>
      <c r="G282" s="552">
        <f t="shared" si="27"/>
        <v>12.858506784016448</v>
      </c>
      <c r="H282" s="555">
        <f t="shared" si="28"/>
        <v>1.2858506784016449E-5</v>
      </c>
      <c r="I282" s="558">
        <f t="shared" si="29"/>
        <v>2.4958257233947698</v>
      </c>
      <c r="J282" s="425">
        <f t="shared" si="30"/>
        <v>2.49582572339477E-6</v>
      </c>
      <c r="K282" s="426">
        <f t="shared" si="31"/>
        <v>6.3995531369096664E-2</v>
      </c>
      <c r="L282" s="434">
        <f t="shared" si="32"/>
        <v>6.3995531369096664E-8</v>
      </c>
    </row>
    <row r="283" spans="1:12">
      <c r="A283" s="151" t="s">
        <v>248</v>
      </c>
      <c r="B283" s="33">
        <f>C205*B191*32/78</f>
        <v>15.66376080579907</v>
      </c>
      <c r="C283" s="235">
        <f t="shared" si="24"/>
        <v>0</v>
      </c>
      <c r="D283" s="579">
        <f t="shared" si="33"/>
        <v>15.66376080579907</v>
      </c>
      <c r="E283" s="235">
        <f t="shared" si="25"/>
        <v>9832.8795690838324</v>
      </c>
      <c r="F283" s="82">
        <f t="shared" si="26"/>
        <v>49392.569270288535</v>
      </c>
      <c r="G283" s="552">
        <f t="shared" si="27"/>
        <v>1592.9983374400795</v>
      </c>
      <c r="H283" s="555">
        <f t="shared" si="28"/>
        <v>1.5929983374400796E-3</v>
      </c>
      <c r="I283" s="558">
        <f t="shared" si="29"/>
        <v>0</v>
      </c>
      <c r="J283" s="425">
        <f t="shared" si="30"/>
        <v>0</v>
      </c>
      <c r="K283" s="426">
        <f t="shared" si="31"/>
        <v>317.1278805134238</v>
      </c>
      <c r="L283" s="434">
        <f t="shared" si="32"/>
        <v>3.1712788051342378E-4</v>
      </c>
    </row>
    <row r="284" spans="1:12" ht="14.65" thickBot="1">
      <c r="A284" s="152" t="s">
        <v>86</v>
      </c>
      <c r="B284" s="542">
        <f>B161</f>
        <v>10.835484752831899</v>
      </c>
      <c r="C284" s="236">
        <f t="shared" si="24"/>
        <v>0.54177423764159549</v>
      </c>
      <c r="D284" s="581">
        <f t="shared" si="33"/>
        <v>10.293710515190304</v>
      </c>
      <c r="E284" s="236">
        <f t="shared" si="25"/>
        <v>9832.8795690838324</v>
      </c>
      <c r="F284" s="237">
        <f t="shared" si="26"/>
        <v>49392.569270288535</v>
      </c>
      <c r="G284" s="553">
        <f t="shared" si="27"/>
        <v>1101.9645544017869</v>
      </c>
      <c r="H284" s="556">
        <f t="shared" si="28"/>
        <v>1.1019645544017868E-3</v>
      </c>
      <c r="I284" s="559">
        <f t="shared" si="29"/>
        <v>10.968739744573133</v>
      </c>
      <c r="J284" s="436">
        <f t="shared" si="30"/>
        <v>1.0968739744573134E-5</v>
      </c>
      <c r="K284" s="437">
        <f t="shared" si="31"/>
        <v>208.40605514688932</v>
      </c>
      <c r="L284" s="439">
        <f t="shared" si="32"/>
        <v>2.0840605514688932E-4</v>
      </c>
    </row>
    <row r="286" spans="1:12">
      <c r="A286" s="1" t="s">
        <v>204</v>
      </c>
      <c r="B286" s="1"/>
      <c r="C286" s="1"/>
    </row>
    <row r="287" spans="1:12" ht="14.65" thickBot="1">
      <c r="A287" s="79" t="s">
        <v>361</v>
      </c>
    </row>
    <row r="288" spans="1:12" ht="14.65" thickBot="1">
      <c r="A288" s="453" t="s">
        <v>26</v>
      </c>
      <c r="B288" s="454" t="s">
        <v>27</v>
      </c>
      <c r="C288" s="455" t="s">
        <v>28</v>
      </c>
    </row>
    <row r="289" spans="1:3" ht="14.65" thickBot="1">
      <c r="A289" s="456">
        <v>0.98599999999999999</v>
      </c>
      <c r="B289" s="457">
        <v>1.4E-2</v>
      </c>
      <c r="C289" s="458">
        <v>0.3</v>
      </c>
    </row>
    <row r="291" spans="1:3" ht="14.65" thickBot="1">
      <c r="A291" s="79" t="s">
        <v>287</v>
      </c>
    </row>
    <row r="292" spans="1:3">
      <c r="A292" s="18" t="s">
        <v>53</v>
      </c>
      <c r="B292" s="104" t="s">
        <v>18</v>
      </c>
      <c r="C292" s="15" t="s">
        <v>106</v>
      </c>
    </row>
    <row r="293" spans="1:3" ht="14.65" thickBot="1">
      <c r="A293" s="93" t="s">
        <v>6</v>
      </c>
      <c r="B293" s="271" t="s">
        <v>35</v>
      </c>
      <c r="C293" s="384">
        <f>$C$244</f>
        <v>49392.569270288535</v>
      </c>
    </row>
    <row r="294" spans="1:3">
      <c r="A294" s="83"/>
      <c r="B294" s="77"/>
      <c r="C294" s="95"/>
    </row>
    <row r="295" spans="1:3" ht="14.65" hidden="1" thickBot="1">
      <c r="A295" s="79" t="s">
        <v>47</v>
      </c>
      <c r="B295" s="79"/>
      <c r="C295" s="79"/>
    </row>
    <row r="296" spans="1:3" ht="14.65" hidden="1" thickBot="1">
      <c r="A296" s="103" t="s">
        <v>53</v>
      </c>
      <c r="B296" s="102" t="s">
        <v>18</v>
      </c>
      <c r="C296" s="17" t="s">
        <v>106</v>
      </c>
    </row>
    <row r="297" spans="1:3" hidden="1">
      <c r="A297" s="272" t="s">
        <v>202</v>
      </c>
      <c r="B297" s="278" t="s">
        <v>35</v>
      </c>
      <c r="C297" s="279">
        <f>$C$128</f>
        <v>9794.6991521196978</v>
      </c>
    </row>
    <row r="298" spans="1:3" hidden="1">
      <c r="A298" s="257" t="s">
        <v>115</v>
      </c>
      <c r="B298" s="278" t="s">
        <v>24</v>
      </c>
      <c r="C298" s="312">
        <v>0.05</v>
      </c>
    </row>
    <row r="299" spans="1:3" hidden="1">
      <c r="A299" s="257" t="s">
        <v>113</v>
      </c>
      <c r="B299" s="278" t="s">
        <v>35</v>
      </c>
      <c r="C299" s="295">
        <f>$C$205</f>
        <v>763.60833928270461</v>
      </c>
    </row>
    <row r="300" spans="1:3" hidden="1">
      <c r="A300" s="257" t="s">
        <v>116</v>
      </c>
      <c r="B300" s="278" t="s">
        <v>35</v>
      </c>
      <c r="C300" s="295">
        <f>C299*C298</f>
        <v>38.180416964135233</v>
      </c>
    </row>
    <row r="301" spans="1:3" hidden="1">
      <c r="A301" s="257" t="s">
        <v>430</v>
      </c>
      <c r="B301" s="278" t="s">
        <v>35</v>
      </c>
      <c r="C301" s="279">
        <f>C297+C300</f>
        <v>9832.8795690838324</v>
      </c>
    </row>
    <row r="302" spans="1:3" ht="14.65" hidden="1" thickBot="1">
      <c r="A302" s="360" t="s">
        <v>6</v>
      </c>
      <c r="B302" s="320" t="s">
        <v>35</v>
      </c>
      <c r="C302" s="321">
        <f>$C$244</f>
        <v>49392.569270288535</v>
      </c>
    </row>
    <row r="303" spans="1:3" hidden="1">
      <c r="A303" s="299" t="s">
        <v>64</v>
      </c>
      <c r="B303" s="260" t="s">
        <v>24</v>
      </c>
      <c r="C303" s="300">
        <f>C301/C302</f>
        <v>0.19907609007492297</v>
      </c>
    </row>
    <row r="304" spans="1:3" hidden="1">
      <c r="A304" s="257" t="s">
        <v>134</v>
      </c>
      <c r="B304" s="278" t="s">
        <v>35</v>
      </c>
      <c r="C304" s="279">
        <f>$C$133</f>
        <v>38834.261778886117</v>
      </c>
    </row>
    <row r="305" spans="1:3" hidden="1">
      <c r="A305" s="257" t="s">
        <v>117</v>
      </c>
      <c r="B305" s="278" t="s">
        <v>24</v>
      </c>
      <c r="C305" s="312">
        <f>1-C298</f>
        <v>0.95</v>
      </c>
    </row>
    <row r="306" spans="1:3" hidden="1">
      <c r="A306" s="257" t="s">
        <v>113</v>
      </c>
      <c r="B306" s="278" t="s">
        <v>35</v>
      </c>
      <c r="C306" s="295">
        <f>$C$205</f>
        <v>763.60833928270461</v>
      </c>
    </row>
    <row r="307" spans="1:3" hidden="1">
      <c r="A307" s="257" t="s">
        <v>118</v>
      </c>
      <c r="B307" s="278" t="s">
        <v>35</v>
      </c>
      <c r="C307" s="279">
        <f>C305*C306</f>
        <v>725.42792231856936</v>
      </c>
    </row>
    <row r="308" spans="1:3" hidden="1">
      <c r="A308" s="257" t="s">
        <v>65</v>
      </c>
      <c r="B308" s="278" t="s">
        <v>35</v>
      </c>
      <c r="C308" s="279">
        <f>C304+C307</f>
        <v>39559.689701204683</v>
      </c>
    </row>
    <row r="309" spans="1:3" ht="14.65" hidden="1" thickBot="1">
      <c r="A309" s="360" t="s">
        <v>6</v>
      </c>
      <c r="B309" s="320" t="s">
        <v>35</v>
      </c>
      <c r="C309" s="321">
        <f>$C$244</f>
        <v>49392.569270288535</v>
      </c>
    </row>
    <row r="310" spans="1:3" ht="14.65" hidden="1" thickBot="1">
      <c r="A310" s="301" t="s">
        <v>66</v>
      </c>
      <c r="B310" s="277" t="s">
        <v>24</v>
      </c>
      <c r="C310" s="303">
        <f>C308/C309</f>
        <v>0.80092390992507667</v>
      </c>
    </row>
    <row r="311" spans="1:3" hidden="1">
      <c r="A311" s="83"/>
      <c r="B311" s="77"/>
      <c r="C311" s="96"/>
    </row>
    <row r="312" spans="1:3" ht="14.65" thickBot="1">
      <c r="A312" s="79" t="s">
        <v>288</v>
      </c>
    </row>
    <row r="313" spans="1:3" ht="14.65" thickBot="1">
      <c r="A313" s="103" t="s">
        <v>90</v>
      </c>
      <c r="B313" s="102" t="s">
        <v>18</v>
      </c>
      <c r="C313" s="17" t="s">
        <v>91</v>
      </c>
    </row>
    <row r="314" spans="1:3">
      <c r="A314" s="276" t="s">
        <v>276</v>
      </c>
      <c r="B314" s="296" t="s">
        <v>35</v>
      </c>
      <c r="C314" s="286">
        <f>$C$293</f>
        <v>49392.569270288535</v>
      </c>
    </row>
    <row r="315" spans="1:3">
      <c r="A315" s="257" t="s">
        <v>26</v>
      </c>
      <c r="B315" s="278" t="s">
        <v>24</v>
      </c>
      <c r="C315" s="314">
        <f>A289</f>
        <v>0.98599999999999999</v>
      </c>
    </row>
    <row r="316" spans="1:3">
      <c r="A316" s="253" t="s">
        <v>396</v>
      </c>
      <c r="B316" s="270" t="s">
        <v>35</v>
      </c>
      <c r="C316" s="254">
        <f>C314*C315</f>
        <v>48701.073300504497</v>
      </c>
    </row>
    <row r="317" spans="1:3">
      <c r="A317" s="257" t="s">
        <v>27</v>
      </c>
      <c r="B317" s="278" t="s">
        <v>24</v>
      </c>
      <c r="C317" s="314">
        <f>B289</f>
        <v>1.4E-2</v>
      </c>
    </row>
    <row r="318" spans="1:3">
      <c r="A318" s="253" t="s">
        <v>295</v>
      </c>
      <c r="B318" s="270" t="s">
        <v>35</v>
      </c>
      <c r="C318" s="322">
        <f>C314*C317</f>
        <v>691.49596978403952</v>
      </c>
    </row>
    <row r="319" spans="1:3">
      <c r="A319" s="281" t="s">
        <v>355</v>
      </c>
      <c r="B319" s="278" t="s">
        <v>24</v>
      </c>
      <c r="C319" s="318">
        <f>C289</f>
        <v>0.3</v>
      </c>
    </row>
    <row r="320" spans="1:3">
      <c r="A320" s="315" t="s">
        <v>431</v>
      </c>
      <c r="B320" s="270" t="s">
        <v>35</v>
      </c>
      <c r="C320" s="317">
        <f>C318*C319</f>
        <v>207.44879093521186</v>
      </c>
    </row>
    <row r="321" spans="1:3">
      <c r="A321" s="281" t="s">
        <v>371</v>
      </c>
      <c r="B321" s="278" t="s">
        <v>24</v>
      </c>
      <c r="C321" s="318">
        <f>1-C319</f>
        <v>0.7</v>
      </c>
    </row>
    <row r="322" spans="1:3" ht="14.65" thickBot="1">
      <c r="A322" s="345" t="s">
        <v>372</v>
      </c>
      <c r="B322" s="271" t="s">
        <v>35</v>
      </c>
      <c r="C322" s="291">
        <f>C318*C321</f>
        <v>484.04717884882763</v>
      </c>
    </row>
    <row r="323" spans="1:3">
      <c r="A323" s="77"/>
      <c r="B323" s="77"/>
      <c r="C323" s="117"/>
    </row>
    <row r="324" spans="1:3" ht="14.65" thickBot="1">
      <c r="A324" s="79" t="s">
        <v>205</v>
      </c>
      <c r="B324" s="79"/>
      <c r="C324" s="79"/>
    </row>
    <row r="325" spans="1:3">
      <c r="A325" s="3" t="s">
        <v>90</v>
      </c>
      <c r="B325" s="14" t="s">
        <v>18</v>
      </c>
      <c r="C325" s="15" t="s">
        <v>106</v>
      </c>
    </row>
    <row r="326" spans="1:3">
      <c r="A326" s="282" t="s">
        <v>337</v>
      </c>
      <c r="B326" s="288" t="s">
        <v>35</v>
      </c>
      <c r="C326" s="279">
        <f>$C$301</f>
        <v>9832.8795690838324</v>
      </c>
    </row>
    <row r="327" spans="1:3">
      <c r="A327" s="287" t="s">
        <v>431</v>
      </c>
      <c r="B327" s="288" t="s">
        <v>35</v>
      </c>
      <c r="C327" s="289">
        <f>$C$320</f>
        <v>207.44879093521186</v>
      </c>
    </row>
    <row r="328" spans="1:3">
      <c r="A328" s="282" t="s">
        <v>374</v>
      </c>
      <c r="B328" s="288" t="s">
        <v>35</v>
      </c>
      <c r="C328" s="279">
        <f>C326-C327</f>
        <v>9625.4307781486204</v>
      </c>
    </row>
    <row r="329" spans="1:3">
      <c r="A329" s="282" t="s">
        <v>396</v>
      </c>
      <c r="B329" s="288" t="s">
        <v>35</v>
      </c>
      <c r="C329" s="279">
        <f>$C$316</f>
        <v>48701.073300504497</v>
      </c>
    </row>
    <row r="330" spans="1:3">
      <c r="A330" s="310" t="s">
        <v>389</v>
      </c>
      <c r="B330" s="283" t="s">
        <v>24</v>
      </c>
      <c r="C330" s="300">
        <f>C328/C329</f>
        <v>0.19764309338227481</v>
      </c>
    </row>
    <row r="331" spans="1:3">
      <c r="A331" s="282" t="s">
        <v>335</v>
      </c>
      <c r="B331" s="288" t="s">
        <v>35</v>
      </c>
      <c r="C331" s="279">
        <f>C308</f>
        <v>39559.689701204683</v>
      </c>
    </row>
    <row r="332" spans="1:3">
      <c r="A332" s="287" t="s">
        <v>372</v>
      </c>
      <c r="B332" s="288" t="s">
        <v>35</v>
      </c>
      <c r="C332" s="289">
        <f>$C$322</f>
        <v>484.04717884882763</v>
      </c>
    </row>
    <row r="333" spans="1:3">
      <c r="A333" s="282" t="s">
        <v>376</v>
      </c>
      <c r="B333" s="288" t="s">
        <v>35</v>
      </c>
      <c r="C333" s="279">
        <f>C331-C332</f>
        <v>39075.642522355854</v>
      </c>
    </row>
    <row r="334" spans="1:3">
      <c r="A334" s="282" t="s">
        <v>396</v>
      </c>
      <c r="B334" s="288" t="s">
        <v>35</v>
      </c>
      <c r="C334" s="279">
        <f>$C$316</f>
        <v>48701.073300504497</v>
      </c>
    </row>
    <row r="335" spans="1:3" ht="14.65" thickBot="1">
      <c r="A335" s="311" t="s">
        <v>321</v>
      </c>
      <c r="B335" s="284" t="s">
        <v>24</v>
      </c>
      <c r="C335" s="303">
        <f>C333/C334</f>
        <v>0.80235690661772474</v>
      </c>
    </row>
    <row r="336" spans="1:3">
      <c r="A336" s="77"/>
      <c r="B336" s="77"/>
      <c r="C336" s="117"/>
    </row>
    <row r="337" spans="1:8" ht="14.65" thickBot="1">
      <c r="A337" s="79" t="s">
        <v>207</v>
      </c>
    </row>
    <row r="338" spans="1:8" ht="14.65" thickBot="1">
      <c r="A338" s="419"/>
      <c r="B338" s="1028" t="s">
        <v>262</v>
      </c>
      <c r="C338" s="1029"/>
      <c r="D338" s="1031"/>
      <c r="E338" s="1065" t="s">
        <v>263</v>
      </c>
      <c r="F338" s="1061"/>
      <c r="G338" s="1061"/>
      <c r="H338" s="1009"/>
    </row>
    <row r="339" spans="1:8">
      <c r="A339" s="92" t="s">
        <v>93</v>
      </c>
      <c r="B339" s="377" t="s">
        <v>243</v>
      </c>
      <c r="C339" s="491" t="s">
        <v>374</v>
      </c>
      <c r="D339" s="492" t="s">
        <v>293</v>
      </c>
      <c r="E339" s="1039" t="s">
        <v>269</v>
      </c>
      <c r="F339" s="1040"/>
      <c r="G339" s="1022" t="s">
        <v>294</v>
      </c>
      <c r="H339" s="1023"/>
    </row>
    <row r="340" spans="1:8" ht="14.65" thickBot="1">
      <c r="A340" s="93" t="s">
        <v>18</v>
      </c>
      <c r="B340" s="403" t="s">
        <v>35</v>
      </c>
      <c r="C340" s="154" t="s">
        <v>35</v>
      </c>
      <c r="D340" s="155" t="s">
        <v>35</v>
      </c>
      <c r="E340" s="153" t="s">
        <v>257</v>
      </c>
      <c r="F340" s="423" t="s">
        <v>237</v>
      </c>
      <c r="G340" s="403" t="s">
        <v>71</v>
      </c>
      <c r="H340" s="155" t="s">
        <v>237</v>
      </c>
    </row>
    <row r="341" spans="1:8">
      <c r="A341" s="150" t="s">
        <v>72</v>
      </c>
      <c r="B341" s="540">
        <f>C268</f>
        <v>408.33047920252943</v>
      </c>
      <c r="C341" s="428">
        <f>$C$328</f>
        <v>9625.4307781486204</v>
      </c>
      <c r="D341" s="545">
        <f>$C$316</f>
        <v>48701.073300504497</v>
      </c>
      <c r="E341" s="557">
        <f>B341/C341*1000000</f>
        <v>42422.047242759218</v>
      </c>
      <c r="F341" s="554">
        <f>E341/1000000</f>
        <v>4.242204724275922E-2</v>
      </c>
      <c r="G341" s="557">
        <f>B341/D341*1000000</f>
        <v>8384.4246446679354</v>
      </c>
      <c r="H341" s="433">
        <f>G341/1000000</f>
        <v>8.3844246446679351E-3</v>
      </c>
    </row>
    <row r="342" spans="1:8">
      <c r="A342" s="149" t="s">
        <v>73</v>
      </c>
      <c r="B342" s="541">
        <f>C269</f>
        <v>2.084550685308717E-2</v>
      </c>
      <c r="C342" s="235">
        <f t="shared" ref="C342:C357" si="34">$C$328</f>
        <v>9625.4307781486204</v>
      </c>
      <c r="D342" s="546">
        <f t="shared" ref="D342:D357" si="35">$C$316</f>
        <v>48701.073300504497</v>
      </c>
      <c r="E342" s="558">
        <f t="shared" ref="E342:E357" si="36">B342/C342*1000000</f>
        <v>2.1656700186769871</v>
      </c>
      <c r="F342" s="555">
        <f t="shared" ref="F342:F357" si="37">E342/1000000</f>
        <v>2.165670018676987E-6</v>
      </c>
      <c r="G342" s="558">
        <f t="shared" ref="G342:G357" si="38">B342/D342*1000000</f>
        <v>0.42802972173656856</v>
      </c>
      <c r="H342" s="434">
        <f t="shared" ref="H342:H357" si="39">G342/1000000</f>
        <v>4.2802972173656857E-7</v>
      </c>
    </row>
    <row r="343" spans="1:8">
      <c r="A343" s="149" t="s">
        <v>74</v>
      </c>
      <c r="B343" s="541">
        <f t="shared" ref="B343:B346" si="40">C270</f>
        <v>634.39650513641982</v>
      </c>
      <c r="C343" s="235">
        <f t="shared" si="34"/>
        <v>9625.4307781486204</v>
      </c>
      <c r="D343" s="546">
        <f t="shared" si="35"/>
        <v>48701.073300504497</v>
      </c>
      <c r="E343" s="558">
        <f t="shared" si="36"/>
        <v>65908.37540244004</v>
      </c>
      <c r="F343" s="555">
        <f t="shared" si="37"/>
        <v>6.5908375402440045E-2</v>
      </c>
      <c r="G343" s="558">
        <f t="shared" si="38"/>
        <v>13026.335194338481</v>
      </c>
      <c r="H343" s="434">
        <f t="shared" si="39"/>
        <v>1.3026335194338481E-2</v>
      </c>
    </row>
    <row r="344" spans="1:8">
      <c r="A344" s="149" t="s">
        <v>75</v>
      </c>
      <c r="B344" s="541">
        <f t="shared" si="40"/>
        <v>3.0576000000000006E-2</v>
      </c>
      <c r="C344" s="235">
        <f t="shared" si="34"/>
        <v>9625.4307781486204</v>
      </c>
      <c r="D344" s="546">
        <f t="shared" si="35"/>
        <v>48701.073300504497</v>
      </c>
      <c r="E344" s="558">
        <f t="shared" si="36"/>
        <v>3.1765851009403936</v>
      </c>
      <c r="F344" s="555">
        <f t="shared" si="37"/>
        <v>3.1765851009403937E-6</v>
      </c>
      <c r="G344" s="558">
        <f t="shared" si="38"/>
        <v>0.62783010574190501</v>
      </c>
      <c r="H344" s="434">
        <f t="shared" si="39"/>
        <v>6.2783010574190503E-7</v>
      </c>
    </row>
    <row r="345" spans="1:8">
      <c r="A345" s="149" t="s">
        <v>76</v>
      </c>
      <c r="B345" s="541">
        <f t="shared" si="40"/>
        <v>0.325825052455463</v>
      </c>
      <c r="C345" s="235">
        <f t="shared" si="34"/>
        <v>9625.4307781486204</v>
      </c>
      <c r="D345" s="546">
        <f t="shared" si="35"/>
        <v>48701.073300504497</v>
      </c>
      <c r="E345" s="558">
        <f t="shared" si="36"/>
        <v>33.850438485843334</v>
      </c>
      <c r="F345" s="555">
        <f t="shared" si="37"/>
        <v>3.3850438485843334E-5</v>
      </c>
      <c r="G345" s="558">
        <f t="shared" si="38"/>
        <v>6.6903053746884833</v>
      </c>
      <c r="H345" s="434">
        <f t="shared" si="39"/>
        <v>6.6903053746884831E-6</v>
      </c>
    </row>
    <row r="346" spans="1:8">
      <c r="A346" s="150" t="s">
        <v>77</v>
      </c>
      <c r="B346" s="541">
        <f t="shared" si="40"/>
        <v>3.8533753870080734E-2</v>
      </c>
      <c r="C346" s="235">
        <f t="shared" si="34"/>
        <v>9625.4307781486204</v>
      </c>
      <c r="D346" s="546">
        <f t="shared" si="35"/>
        <v>48701.073300504497</v>
      </c>
      <c r="E346" s="558">
        <f t="shared" si="36"/>
        <v>4.0033277219715684</v>
      </c>
      <c r="F346" s="555">
        <f t="shared" si="37"/>
        <v>4.0033277219715683E-6</v>
      </c>
      <c r="G346" s="558">
        <f t="shared" si="38"/>
        <v>0.79123007479347607</v>
      </c>
      <c r="H346" s="434">
        <f t="shared" si="39"/>
        <v>7.9123007479347609E-7</v>
      </c>
    </row>
    <row r="347" spans="1:8">
      <c r="A347" s="150" t="s">
        <v>78</v>
      </c>
      <c r="B347" s="541">
        <f>C274</f>
        <v>248.92099186348204</v>
      </c>
      <c r="C347" s="235">
        <f t="shared" si="34"/>
        <v>9625.4307781486204</v>
      </c>
      <c r="D347" s="546">
        <f t="shared" si="35"/>
        <v>48701.073300504497</v>
      </c>
      <c r="E347" s="558">
        <f t="shared" si="36"/>
        <v>25860.763803795191</v>
      </c>
      <c r="F347" s="555">
        <f t="shared" si="37"/>
        <v>2.5860763803795192E-2</v>
      </c>
      <c r="G347" s="558">
        <f t="shared" si="38"/>
        <v>5111.2013554104451</v>
      </c>
      <c r="H347" s="434">
        <f t="shared" si="39"/>
        <v>5.1112013554104451E-3</v>
      </c>
    </row>
    <row r="348" spans="1:8">
      <c r="A348" s="150" t="s">
        <v>79</v>
      </c>
      <c r="B348" s="541">
        <f>C275</f>
        <v>59.375595549587992</v>
      </c>
      <c r="C348" s="235">
        <f t="shared" si="34"/>
        <v>9625.4307781486204</v>
      </c>
      <c r="D348" s="546">
        <f t="shared" si="35"/>
        <v>48701.073300504497</v>
      </c>
      <c r="E348" s="558">
        <f t="shared" si="36"/>
        <v>6168.6169604357638</v>
      </c>
      <c r="F348" s="555">
        <f t="shared" si="37"/>
        <v>6.1686169604357639E-3</v>
      </c>
      <c r="G348" s="558">
        <f t="shared" si="38"/>
        <v>1219.18453795089</v>
      </c>
      <c r="H348" s="434">
        <f t="shared" si="39"/>
        <v>1.2191845379508899E-3</v>
      </c>
    </row>
    <row r="349" spans="1:8">
      <c r="A349" s="150" t="s">
        <v>80</v>
      </c>
      <c r="B349" s="541">
        <f>C276</f>
        <v>102.45097918038933</v>
      </c>
      <c r="C349" s="235">
        <f t="shared" si="34"/>
        <v>9625.4307781486204</v>
      </c>
      <c r="D349" s="546">
        <f t="shared" si="35"/>
        <v>48701.073300504497</v>
      </c>
      <c r="E349" s="558">
        <f t="shared" si="36"/>
        <v>10643.781202288694</v>
      </c>
      <c r="F349" s="555">
        <f t="shared" si="37"/>
        <v>1.0643781202288694E-2</v>
      </c>
      <c r="G349" s="558">
        <f t="shared" si="38"/>
        <v>2103.6698421044457</v>
      </c>
      <c r="H349" s="434">
        <f t="shared" si="39"/>
        <v>2.1036698421044459E-3</v>
      </c>
    </row>
    <row r="350" spans="1:8">
      <c r="A350" s="150" t="s">
        <v>81</v>
      </c>
      <c r="B350" s="541">
        <f t="shared" ref="B350:B351" si="41">C277</f>
        <v>68.735947614230398</v>
      </c>
      <c r="C350" s="235">
        <f t="shared" si="34"/>
        <v>9625.4307781486204</v>
      </c>
      <c r="D350" s="546">
        <f t="shared" si="35"/>
        <v>48701.073300504497</v>
      </c>
      <c r="E350" s="558">
        <f t="shared" si="36"/>
        <v>7141.0775474353622</v>
      </c>
      <c r="F350" s="555">
        <f t="shared" si="37"/>
        <v>7.1410775474353627E-3</v>
      </c>
      <c r="G350" s="558">
        <f t="shared" si="38"/>
        <v>1411.3846565578331</v>
      </c>
      <c r="H350" s="434">
        <f t="shared" si="39"/>
        <v>1.411384656557833E-3</v>
      </c>
    </row>
    <row r="351" spans="1:8">
      <c r="A351" s="150" t="s">
        <v>82</v>
      </c>
      <c r="B351" s="541">
        <f t="shared" si="41"/>
        <v>0.54917244694338418</v>
      </c>
      <c r="C351" s="235">
        <f t="shared" si="34"/>
        <v>9625.4307781486204</v>
      </c>
      <c r="D351" s="546">
        <f t="shared" si="35"/>
        <v>48701.073300504497</v>
      </c>
      <c r="E351" s="558">
        <f t="shared" si="36"/>
        <v>57.054324071406747</v>
      </c>
      <c r="F351" s="555">
        <f t="shared" si="37"/>
        <v>5.7054324071406747E-5</v>
      </c>
      <c r="G351" s="558">
        <f t="shared" si="38"/>
        <v>11.276393100307612</v>
      </c>
      <c r="H351" s="434">
        <f t="shared" si="39"/>
        <v>1.1276393100307612E-5</v>
      </c>
    </row>
    <row r="352" spans="1:8">
      <c r="A352" s="150" t="s">
        <v>630</v>
      </c>
      <c r="B352" s="541">
        <f t="shared" ref="B352:B357" si="42">C279</f>
        <v>857.97621000000026</v>
      </c>
      <c r="C352" s="235">
        <f t="shared" si="34"/>
        <v>9625.4307781486204</v>
      </c>
      <c r="D352" s="546">
        <f t="shared" si="35"/>
        <v>48701.073300504497</v>
      </c>
      <c r="E352" s="558">
        <f t="shared" si="36"/>
        <v>89136.39605073609</v>
      </c>
      <c r="F352" s="555">
        <f t="shared" si="37"/>
        <v>8.9136396050736089E-2</v>
      </c>
      <c r="G352" s="558">
        <f t="shared" si="38"/>
        <v>17617.193048415062</v>
      </c>
      <c r="H352" s="434">
        <f t="shared" si="39"/>
        <v>1.7617193048415063E-2</v>
      </c>
    </row>
    <row r="353" spans="1:8">
      <c r="A353" s="150" t="s">
        <v>96</v>
      </c>
      <c r="B353" s="541">
        <f t="shared" si="42"/>
        <v>2467.7417142857144</v>
      </c>
      <c r="C353" s="235">
        <f t="shared" si="34"/>
        <v>9625.4307781486204</v>
      </c>
      <c r="D353" s="546">
        <f t="shared" si="35"/>
        <v>48701.073300504497</v>
      </c>
      <c r="E353" s="558">
        <f t="shared" si="36"/>
        <v>256377.27507094137</v>
      </c>
      <c r="F353" s="555">
        <f t="shared" si="37"/>
        <v>0.25637727507094138</v>
      </c>
      <c r="G353" s="558">
        <f t="shared" si="38"/>
        <v>50671.19771793922</v>
      </c>
      <c r="H353" s="434">
        <f t="shared" si="39"/>
        <v>5.0671197717939223E-2</v>
      </c>
    </row>
    <row r="354" spans="1:8">
      <c r="A354" s="151" t="s">
        <v>274</v>
      </c>
      <c r="B354" s="541">
        <f t="shared" si="42"/>
        <v>3325.7179242857146</v>
      </c>
      <c r="C354" s="235">
        <f t="shared" si="34"/>
        <v>9625.4307781486204</v>
      </c>
      <c r="D354" s="546">
        <f t="shared" si="35"/>
        <v>48701.073300504497</v>
      </c>
      <c r="E354" s="558">
        <f t="shared" si="36"/>
        <v>345513.67112167744</v>
      </c>
      <c r="F354" s="555">
        <f t="shared" si="37"/>
        <v>0.34551367112167747</v>
      </c>
      <c r="G354" s="558">
        <f t="shared" si="38"/>
        <v>68288.390766354292</v>
      </c>
      <c r="H354" s="434">
        <f t="shared" si="39"/>
        <v>6.828839076635429E-2</v>
      </c>
    </row>
    <row r="355" spans="1:8">
      <c r="A355" s="151" t="s">
        <v>84</v>
      </c>
      <c r="B355" s="541">
        <f t="shared" si="42"/>
        <v>0.12327524492934416</v>
      </c>
      <c r="C355" s="235">
        <f t="shared" si="34"/>
        <v>9625.4307781486204</v>
      </c>
      <c r="D355" s="546">
        <f t="shared" si="35"/>
        <v>48701.073300504497</v>
      </c>
      <c r="E355" s="558">
        <f t="shared" si="36"/>
        <v>12.807244451770421</v>
      </c>
      <c r="F355" s="555">
        <f t="shared" si="37"/>
        <v>1.2807244451770422E-5</v>
      </c>
      <c r="G355" s="558">
        <f t="shared" si="38"/>
        <v>2.5312634111508823</v>
      </c>
      <c r="H355" s="434">
        <f t="shared" si="39"/>
        <v>2.5312634111508821E-6</v>
      </c>
    </row>
    <row r="356" spans="1:8">
      <c r="A356" s="151" t="s">
        <v>248</v>
      </c>
      <c r="B356" s="541">
        <f t="shared" si="42"/>
        <v>0</v>
      </c>
      <c r="C356" s="235">
        <f t="shared" si="34"/>
        <v>9625.4307781486204</v>
      </c>
      <c r="D356" s="546">
        <f t="shared" si="35"/>
        <v>48701.073300504497</v>
      </c>
      <c r="E356" s="558">
        <f t="shared" si="36"/>
        <v>0</v>
      </c>
      <c r="F356" s="555">
        <f t="shared" si="37"/>
        <v>0</v>
      </c>
      <c r="G356" s="558">
        <f t="shared" si="38"/>
        <v>0</v>
      </c>
      <c r="H356" s="434">
        <f t="shared" si="39"/>
        <v>0</v>
      </c>
    </row>
    <row r="357" spans="1:8" ht="14.65" thickBot="1">
      <c r="A357" s="152" t="s">
        <v>86</v>
      </c>
      <c r="B357" s="542">
        <f t="shared" si="42"/>
        <v>0.54177423764159549</v>
      </c>
      <c r="C357" s="236">
        <f t="shared" si="34"/>
        <v>9625.4307781486204</v>
      </c>
      <c r="D357" s="547">
        <f t="shared" si="35"/>
        <v>48701.073300504497</v>
      </c>
      <c r="E357" s="559">
        <f t="shared" si="36"/>
        <v>56.285713349216117</v>
      </c>
      <c r="F357" s="556">
        <f t="shared" si="37"/>
        <v>5.6285713349216117E-5</v>
      </c>
      <c r="G357" s="559">
        <f t="shared" si="38"/>
        <v>11.124482499567073</v>
      </c>
      <c r="H357" s="439">
        <f t="shared" si="39"/>
        <v>1.1124482499567073E-5</v>
      </c>
    </row>
    <row r="358" spans="1:8">
      <c r="A358" s="145"/>
      <c r="B358" s="234"/>
      <c r="C358" s="96"/>
      <c r="D358" s="96"/>
      <c r="E358" s="95"/>
      <c r="F358" s="95"/>
    </row>
    <row r="359" spans="1:8" ht="14.65" thickBot="1">
      <c r="A359" s="79" t="s">
        <v>215</v>
      </c>
    </row>
    <row r="360" spans="1:8" ht="14.65" thickBot="1">
      <c r="A360" s="419"/>
      <c r="B360" s="1028" t="s">
        <v>262</v>
      </c>
      <c r="C360" s="1029"/>
      <c r="D360" s="1031"/>
      <c r="E360" s="1065" t="s">
        <v>263</v>
      </c>
      <c r="F360" s="1061"/>
      <c r="G360" s="1061"/>
      <c r="H360" s="1009"/>
    </row>
    <row r="361" spans="1:8">
      <c r="A361" s="92" t="s">
        <v>93</v>
      </c>
      <c r="B361" s="377" t="s">
        <v>256</v>
      </c>
      <c r="C361" s="491" t="s">
        <v>431</v>
      </c>
      <c r="D361" s="492" t="s">
        <v>295</v>
      </c>
      <c r="E361" s="1039" t="s">
        <v>269</v>
      </c>
      <c r="F361" s="1040"/>
      <c r="G361" s="1022" t="s">
        <v>296</v>
      </c>
      <c r="H361" s="1023"/>
    </row>
    <row r="362" spans="1:8" ht="14.65" thickBot="1">
      <c r="A362" s="93" t="s">
        <v>18</v>
      </c>
      <c r="B362" s="403" t="s">
        <v>35</v>
      </c>
      <c r="C362" s="154" t="s">
        <v>35</v>
      </c>
      <c r="D362" s="155" t="s">
        <v>35</v>
      </c>
      <c r="E362" s="153" t="s">
        <v>257</v>
      </c>
      <c r="F362" s="423" t="s">
        <v>237</v>
      </c>
      <c r="G362" s="403" t="s">
        <v>71</v>
      </c>
      <c r="H362" s="155" t="s">
        <v>237</v>
      </c>
    </row>
    <row r="363" spans="1:8">
      <c r="A363" s="150" t="s">
        <v>72</v>
      </c>
      <c r="B363" s="156">
        <f>D268</f>
        <v>10.470012287244344</v>
      </c>
      <c r="C363" s="428">
        <f>$C$320</f>
        <v>207.44879093521186</v>
      </c>
      <c r="D363" s="545">
        <f>$C$318</f>
        <v>691.49596978403952</v>
      </c>
      <c r="E363" s="557">
        <f>B363/C363*1000000</f>
        <v>50470.346151664118</v>
      </c>
      <c r="F363" s="554">
        <f>E363/1000000</f>
        <v>5.0470346151664118E-2</v>
      </c>
      <c r="G363" s="557">
        <f>B363/D363*1000000</f>
        <v>15141.103845499236</v>
      </c>
      <c r="H363" s="433">
        <f>G363/1000000</f>
        <v>1.5141103845499236E-2</v>
      </c>
    </row>
    <row r="364" spans="1:8">
      <c r="A364" s="149" t="s">
        <v>73</v>
      </c>
      <c r="B364" s="157">
        <f>D269</f>
        <v>0.18760956167778464</v>
      </c>
      <c r="C364" s="235">
        <f t="shared" ref="C364:C379" si="43">$C$320</f>
        <v>207.44879093521186</v>
      </c>
      <c r="D364" s="546">
        <f t="shared" ref="D364:D379" si="44">$C$318</f>
        <v>691.49596978403952</v>
      </c>
      <c r="E364" s="558">
        <f t="shared" ref="E364:E379" si="45">B364/C364*1000000</f>
        <v>904.36565492626482</v>
      </c>
      <c r="F364" s="555">
        <f t="shared" ref="F364:F379" si="46">E364/1000000</f>
        <v>9.0436565492626488E-4</v>
      </c>
      <c r="G364" s="558">
        <f t="shared" ref="G364:G379" si="47">B364/D364*1000000</f>
        <v>271.30969647787941</v>
      </c>
      <c r="H364" s="434">
        <f t="shared" ref="H364:H379" si="48">G364/1000000</f>
        <v>2.713096964778794E-4</v>
      </c>
    </row>
    <row r="365" spans="1:8">
      <c r="A365" s="149" t="s">
        <v>74</v>
      </c>
      <c r="B365" s="157">
        <f t="shared" ref="B365:B378" si="49">D270</f>
        <v>0</v>
      </c>
      <c r="C365" s="235">
        <f t="shared" si="43"/>
        <v>207.44879093521186</v>
      </c>
      <c r="D365" s="546">
        <f t="shared" si="44"/>
        <v>691.49596978403952</v>
      </c>
      <c r="E365" s="558">
        <f t="shared" si="45"/>
        <v>0</v>
      </c>
      <c r="F365" s="555">
        <f t="shared" si="46"/>
        <v>0</v>
      </c>
      <c r="G365" s="558">
        <f t="shared" si="47"/>
        <v>0</v>
      </c>
      <c r="H365" s="434">
        <f t="shared" si="48"/>
        <v>0</v>
      </c>
    </row>
    <row r="366" spans="1:8">
      <c r="A366" s="149" t="s">
        <v>75</v>
      </c>
      <c r="B366" s="157">
        <f t="shared" si="49"/>
        <v>7.8400000000000019E-4</v>
      </c>
      <c r="C366" s="235">
        <f t="shared" si="43"/>
        <v>207.44879093521186</v>
      </c>
      <c r="D366" s="546">
        <f t="shared" si="44"/>
        <v>691.49596978403952</v>
      </c>
      <c r="E366" s="558">
        <f t="shared" si="45"/>
        <v>3.7792459356625052</v>
      </c>
      <c r="F366" s="555">
        <f t="shared" si="46"/>
        <v>3.7792459356625052E-6</v>
      </c>
      <c r="G366" s="558">
        <f t="shared" si="47"/>
        <v>1.1337737806987516</v>
      </c>
      <c r="H366" s="434">
        <f t="shared" si="48"/>
        <v>1.1337737806987516E-6</v>
      </c>
    </row>
    <row r="367" spans="1:8">
      <c r="A367" s="149" t="s">
        <v>76</v>
      </c>
      <c r="B367" s="157">
        <f t="shared" si="49"/>
        <v>0</v>
      </c>
      <c r="C367" s="235">
        <f t="shared" si="43"/>
        <v>207.44879093521186</v>
      </c>
      <c r="D367" s="546">
        <f t="shared" si="44"/>
        <v>691.49596978403952</v>
      </c>
      <c r="E367" s="558">
        <f t="shared" si="45"/>
        <v>0</v>
      </c>
      <c r="F367" s="555">
        <f t="shared" si="46"/>
        <v>0</v>
      </c>
      <c r="G367" s="558">
        <f t="shared" si="47"/>
        <v>0</v>
      </c>
      <c r="H367" s="434">
        <f t="shared" si="48"/>
        <v>0</v>
      </c>
    </row>
    <row r="368" spans="1:8">
      <c r="A368" s="150" t="s">
        <v>77</v>
      </c>
      <c r="B368" s="157">
        <f t="shared" si="49"/>
        <v>3.8148416331380113</v>
      </c>
      <c r="C368" s="235">
        <f t="shared" si="43"/>
        <v>207.44879093521186</v>
      </c>
      <c r="D368" s="546">
        <f t="shared" si="44"/>
        <v>691.49596978403952</v>
      </c>
      <c r="E368" s="558">
        <f t="shared" si="45"/>
        <v>18389.317266878752</v>
      </c>
      <c r="F368" s="555">
        <f t="shared" si="46"/>
        <v>1.8389317266878751E-2</v>
      </c>
      <c r="G368" s="558">
        <f t="shared" si="47"/>
        <v>5516.7951800636256</v>
      </c>
      <c r="H368" s="434">
        <f t="shared" si="48"/>
        <v>5.516795180063626E-3</v>
      </c>
    </row>
    <row r="369" spans="1:8">
      <c r="A369" s="150" t="s">
        <v>78</v>
      </c>
      <c r="B369" s="157">
        <f t="shared" si="49"/>
        <v>6.3825895349610784</v>
      </c>
      <c r="C369" s="235">
        <f t="shared" si="43"/>
        <v>207.44879093521186</v>
      </c>
      <c r="D369" s="546">
        <f t="shared" si="44"/>
        <v>691.49596978403952</v>
      </c>
      <c r="E369" s="558">
        <f t="shared" si="45"/>
        <v>30767.060661994503</v>
      </c>
      <c r="F369" s="555">
        <f t="shared" si="46"/>
        <v>3.0767060661994503E-2</v>
      </c>
      <c r="G369" s="558">
        <f t="shared" si="47"/>
        <v>9230.1181985983494</v>
      </c>
      <c r="H369" s="434">
        <f t="shared" si="48"/>
        <v>9.2301181985983503E-3</v>
      </c>
    </row>
    <row r="370" spans="1:8">
      <c r="A370" s="150" t="s">
        <v>79</v>
      </c>
      <c r="B370" s="157">
        <f t="shared" si="49"/>
        <v>1.5224511679381536</v>
      </c>
      <c r="C370" s="235">
        <f t="shared" si="43"/>
        <v>207.44879093521186</v>
      </c>
      <c r="D370" s="546">
        <f t="shared" si="44"/>
        <v>691.49596978403952</v>
      </c>
      <c r="E370" s="558">
        <f t="shared" si="45"/>
        <v>7338.9252406567593</v>
      </c>
      <c r="F370" s="555">
        <f t="shared" si="46"/>
        <v>7.3389252406567598E-3</v>
      </c>
      <c r="G370" s="558">
        <f t="shared" si="47"/>
        <v>2201.677572197028</v>
      </c>
      <c r="H370" s="434">
        <f t="shared" si="48"/>
        <v>2.201677572197028E-3</v>
      </c>
    </row>
    <row r="371" spans="1:8">
      <c r="A371" s="150" t="s">
        <v>80</v>
      </c>
      <c r="B371" s="157">
        <f t="shared" si="49"/>
        <v>2.626948184112547</v>
      </c>
      <c r="C371" s="235">
        <f t="shared" si="43"/>
        <v>207.44879093521186</v>
      </c>
      <c r="D371" s="546">
        <f t="shared" si="44"/>
        <v>691.49596978403952</v>
      </c>
      <c r="E371" s="558">
        <f t="shared" si="45"/>
        <v>12663.116387759361</v>
      </c>
      <c r="F371" s="555">
        <f t="shared" si="46"/>
        <v>1.2663116387759361E-2</v>
      </c>
      <c r="G371" s="558">
        <f t="shared" si="47"/>
        <v>3798.9349163278089</v>
      </c>
      <c r="H371" s="434">
        <f t="shared" si="48"/>
        <v>3.7989349163278087E-3</v>
      </c>
    </row>
    <row r="372" spans="1:8">
      <c r="A372" s="150" t="s">
        <v>81</v>
      </c>
      <c r="B372" s="157">
        <f t="shared" si="49"/>
        <v>0</v>
      </c>
      <c r="C372" s="235">
        <f t="shared" si="43"/>
        <v>207.44879093521186</v>
      </c>
      <c r="D372" s="546">
        <f t="shared" si="44"/>
        <v>691.49596978403952</v>
      </c>
      <c r="E372" s="558">
        <f t="shared" si="45"/>
        <v>0</v>
      </c>
      <c r="F372" s="555">
        <f t="shared" si="46"/>
        <v>0</v>
      </c>
      <c r="G372" s="558">
        <f t="shared" si="47"/>
        <v>0</v>
      </c>
      <c r="H372" s="434">
        <f t="shared" si="48"/>
        <v>0</v>
      </c>
    </row>
    <row r="373" spans="1:8">
      <c r="A373" s="150" t="s">
        <v>82</v>
      </c>
      <c r="B373" s="157">
        <f t="shared" si="49"/>
        <v>1.408134479342011E-2</v>
      </c>
      <c r="C373" s="235">
        <f t="shared" si="43"/>
        <v>207.44879093521186</v>
      </c>
      <c r="D373" s="546">
        <f t="shared" si="44"/>
        <v>691.49596978403952</v>
      </c>
      <c r="E373" s="558">
        <f t="shared" si="45"/>
        <v>67.87865443774912</v>
      </c>
      <c r="F373" s="555">
        <f t="shared" si="46"/>
        <v>6.7878654437749126E-5</v>
      </c>
      <c r="G373" s="558">
        <f t="shared" si="47"/>
        <v>20.363596331324739</v>
      </c>
      <c r="H373" s="434">
        <f t="shared" si="48"/>
        <v>2.0363596331324739E-5</v>
      </c>
    </row>
    <row r="374" spans="1:8">
      <c r="A374" s="150" t="s">
        <v>630</v>
      </c>
      <c r="B374" s="157">
        <f t="shared" si="49"/>
        <v>21.999390000000005</v>
      </c>
      <c r="C374" s="235">
        <f t="shared" si="43"/>
        <v>207.44879093521186</v>
      </c>
      <c r="D374" s="546">
        <f t="shared" si="44"/>
        <v>691.49596978403952</v>
      </c>
      <c r="E374" s="558">
        <f t="shared" si="45"/>
        <v>106047.32811805404</v>
      </c>
      <c r="F374" s="555">
        <f t="shared" si="46"/>
        <v>0.10604732811805404</v>
      </c>
      <c r="G374" s="558">
        <f t="shared" si="47"/>
        <v>31814.198435416212</v>
      </c>
      <c r="H374" s="434">
        <f t="shared" si="48"/>
        <v>3.1814198435416212E-2</v>
      </c>
    </row>
    <row r="375" spans="1:8">
      <c r="A375" s="150" t="s">
        <v>96</v>
      </c>
      <c r="B375" s="157">
        <f t="shared" si="49"/>
        <v>63.275428571428577</v>
      </c>
      <c r="C375" s="235">
        <f t="shared" si="43"/>
        <v>207.44879093521186</v>
      </c>
      <c r="D375" s="546">
        <f t="shared" si="44"/>
        <v>691.49596978403952</v>
      </c>
      <c r="E375" s="558">
        <f t="shared" si="45"/>
        <v>305017.09981616656</v>
      </c>
      <c r="F375" s="555">
        <f t="shared" si="46"/>
        <v>0.30501709981616654</v>
      </c>
      <c r="G375" s="558">
        <f t="shared" si="47"/>
        <v>91505.129944849949</v>
      </c>
      <c r="H375" s="434">
        <f t="shared" si="48"/>
        <v>9.1505129944849953E-2</v>
      </c>
    </row>
    <row r="376" spans="1:8">
      <c r="A376" s="151" t="s">
        <v>274</v>
      </c>
      <c r="B376" s="157">
        <f t="shared" si="49"/>
        <v>85.274818571428582</v>
      </c>
      <c r="C376" s="235">
        <f t="shared" si="43"/>
        <v>207.44879093521186</v>
      </c>
      <c r="D376" s="546">
        <f t="shared" si="44"/>
        <v>691.49596978403952</v>
      </c>
      <c r="E376" s="558">
        <f t="shared" si="45"/>
        <v>411064.42793422053</v>
      </c>
      <c r="F376" s="555">
        <f t="shared" si="46"/>
        <v>0.41106442793422054</v>
      </c>
      <c r="G376" s="558">
        <f t="shared" si="47"/>
        <v>123319.32838026618</v>
      </c>
      <c r="H376" s="434">
        <f t="shared" si="48"/>
        <v>0.12331932838026617</v>
      </c>
    </row>
    <row r="377" spans="1:8">
      <c r="A377" s="151" t="s">
        <v>84</v>
      </c>
      <c r="B377" s="157">
        <f t="shared" si="49"/>
        <v>3.1609037161370299E-3</v>
      </c>
      <c r="C377" s="235">
        <f t="shared" si="43"/>
        <v>207.44879093521186</v>
      </c>
      <c r="D377" s="546">
        <f t="shared" si="44"/>
        <v>691.49596978403952</v>
      </c>
      <c r="E377" s="558">
        <f t="shared" si="45"/>
        <v>15.237031278356348</v>
      </c>
      <c r="F377" s="555">
        <f t="shared" si="46"/>
        <v>1.5237031278356348E-5</v>
      </c>
      <c r="G377" s="558">
        <f t="shared" si="47"/>
        <v>4.5711093835069043</v>
      </c>
      <c r="H377" s="434">
        <f t="shared" si="48"/>
        <v>4.5711093835069043E-6</v>
      </c>
    </row>
    <row r="378" spans="1:8">
      <c r="A378" s="151" t="s">
        <v>248</v>
      </c>
      <c r="B378" s="157">
        <f t="shared" si="49"/>
        <v>15.66376080579907</v>
      </c>
      <c r="C378" s="235">
        <f t="shared" si="43"/>
        <v>207.44879093521186</v>
      </c>
      <c r="D378" s="546">
        <f t="shared" si="44"/>
        <v>691.49596978403952</v>
      </c>
      <c r="E378" s="558">
        <f t="shared" si="45"/>
        <v>75506.638217481857</v>
      </c>
      <c r="F378" s="555">
        <f t="shared" si="46"/>
        <v>7.5506638217481853E-2</v>
      </c>
      <c r="G378" s="558">
        <f t="shared" si="47"/>
        <v>22651.991465244555</v>
      </c>
      <c r="H378" s="434">
        <f t="shared" si="48"/>
        <v>2.2651991465244554E-2</v>
      </c>
    </row>
    <row r="379" spans="1:8" ht="14.65" thickBot="1">
      <c r="A379" s="152" t="s">
        <v>86</v>
      </c>
      <c r="B379" s="158">
        <f>D284</f>
        <v>10.293710515190304</v>
      </c>
      <c r="C379" s="236">
        <f t="shared" si="43"/>
        <v>207.44879093521186</v>
      </c>
      <c r="D379" s="547">
        <f t="shared" si="44"/>
        <v>691.49596978403952</v>
      </c>
      <c r="E379" s="559">
        <f t="shared" si="45"/>
        <v>49620.489320687928</v>
      </c>
      <c r="F379" s="556">
        <f t="shared" si="46"/>
        <v>4.9620489320687924E-2</v>
      </c>
      <c r="G379" s="559">
        <f t="shared" si="47"/>
        <v>14886.14679620638</v>
      </c>
      <c r="H379" s="439">
        <f t="shared" si="48"/>
        <v>1.488614679620638E-2</v>
      </c>
    </row>
    <row r="380" spans="1:8">
      <c r="A380" s="145"/>
      <c r="B380" s="234"/>
      <c r="C380" s="96"/>
      <c r="D380" s="96"/>
      <c r="E380" s="95"/>
      <c r="F380" s="95"/>
    </row>
    <row r="381" spans="1:8">
      <c r="A381" s="1" t="s">
        <v>209</v>
      </c>
      <c r="B381" s="1"/>
    </row>
    <row r="382" spans="1:8" ht="14.65" thickBot="1">
      <c r="A382" s="79" t="s">
        <v>42</v>
      </c>
      <c r="B382" s="79"/>
    </row>
    <row r="383" spans="1:8">
      <c r="A383" s="2"/>
      <c r="B383" s="369" t="s">
        <v>614</v>
      </c>
    </row>
    <row r="384" spans="1:8" ht="14.65" thickBot="1">
      <c r="A384" s="5"/>
      <c r="B384" s="319" t="s">
        <v>35</v>
      </c>
    </row>
    <row r="385" spans="1:3" ht="14.65" thickBot="1">
      <c r="A385" s="9" t="s">
        <v>347</v>
      </c>
      <c r="B385" s="627">
        <f>B9</f>
        <v>17500</v>
      </c>
    </row>
    <row r="387" spans="1:3" ht="14.65" thickBot="1">
      <c r="A387" s="120" t="s">
        <v>641</v>
      </c>
      <c r="B387" s="79"/>
      <c r="C387" s="79"/>
    </row>
    <row r="388" spans="1:3" ht="14.65" thickBot="1">
      <c r="A388" s="519"/>
      <c r="B388" s="103" t="s">
        <v>263</v>
      </c>
      <c r="C388" s="514" t="s">
        <v>262</v>
      </c>
    </row>
    <row r="389" spans="1:3">
      <c r="A389" s="115"/>
      <c r="B389" s="179" t="s">
        <v>614</v>
      </c>
      <c r="C389" s="628" t="s">
        <v>614</v>
      </c>
    </row>
    <row r="390" spans="1:3" ht="14.65" thickBot="1">
      <c r="A390" s="133" t="s">
        <v>18</v>
      </c>
      <c r="B390" s="73" t="s">
        <v>70</v>
      </c>
      <c r="C390" s="645" t="s">
        <v>35</v>
      </c>
    </row>
    <row r="391" spans="1:3">
      <c r="A391" s="231" t="s">
        <v>72</v>
      </c>
      <c r="B391" s="642">
        <v>47700</v>
      </c>
      <c r="C391" s="646">
        <f t="shared" ref="C391:C405" si="50">$B$9*B391/1000000</f>
        <v>834.75</v>
      </c>
    </row>
    <row r="392" spans="1:3">
      <c r="A392" s="232" t="s">
        <v>73</v>
      </c>
      <c r="B392" s="643">
        <v>31</v>
      </c>
      <c r="C392" s="647">
        <f t="shared" si="50"/>
        <v>0.54249999999999998</v>
      </c>
    </row>
    <row r="393" spans="1:3">
      <c r="A393" s="232" t="s">
        <v>74</v>
      </c>
      <c r="B393" s="643">
        <v>85425</v>
      </c>
      <c r="C393" s="647">
        <f t="shared" si="50"/>
        <v>1494.9375</v>
      </c>
    </row>
    <row r="394" spans="1:3">
      <c r="A394" s="232" t="s">
        <v>75</v>
      </c>
      <c r="B394" s="643">
        <v>2.2000000000000002</v>
      </c>
      <c r="C394" s="647">
        <f t="shared" si="50"/>
        <v>3.85E-2</v>
      </c>
    </row>
    <row r="395" spans="1:3">
      <c r="A395" s="232" t="s">
        <v>76</v>
      </c>
      <c r="B395" s="643">
        <v>91</v>
      </c>
      <c r="C395" s="647">
        <f t="shared" si="50"/>
        <v>1.5925</v>
      </c>
    </row>
    <row r="396" spans="1:3">
      <c r="A396" s="232" t="s">
        <v>77</v>
      </c>
      <c r="B396" s="643">
        <v>663</v>
      </c>
      <c r="C396" s="647">
        <f t="shared" si="50"/>
        <v>11.602499999999999</v>
      </c>
    </row>
    <row r="397" spans="1:3">
      <c r="A397" s="232" t="s">
        <v>78</v>
      </c>
      <c r="B397" s="643">
        <v>109000</v>
      </c>
      <c r="C397" s="647">
        <f t="shared" si="50"/>
        <v>1907.5</v>
      </c>
    </row>
    <row r="398" spans="1:3">
      <c r="A398" s="232" t="s">
        <v>79</v>
      </c>
      <c r="B398" s="643">
        <v>9375</v>
      </c>
      <c r="C398" s="647">
        <f t="shared" si="50"/>
        <v>164.0625</v>
      </c>
    </row>
    <row r="399" spans="1:3">
      <c r="A399" s="232" t="s">
        <v>80</v>
      </c>
      <c r="B399" s="643">
        <v>12191.833333333334</v>
      </c>
      <c r="C399" s="647">
        <f t="shared" si="50"/>
        <v>213.35708333333335</v>
      </c>
    </row>
    <row r="400" spans="1:3">
      <c r="A400" s="232" t="s">
        <v>81</v>
      </c>
      <c r="B400" s="643">
        <v>2530</v>
      </c>
      <c r="C400" s="647">
        <f t="shared" si="50"/>
        <v>44.274999999999999</v>
      </c>
    </row>
    <row r="401" spans="1:8">
      <c r="A401" s="232" t="s">
        <v>82</v>
      </c>
      <c r="B401" s="643">
        <v>64.5</v>
      </c>
      <c r="C401" s="647">
        <f t="shared" si="50"/>
        <v>1.1287499999999999</v>
      </c>
    </row>
    <row r="402" spans="1:8">
      <c r="A402" s="232" t="s">
        <v>83</v>
      </c>
      <c r="B402" s="643">
        <v>70700</v>
      </c>
      <c r="C402" s="647">
        <f t="shared" si="50"/>
        <v>1237.25</v>
      </c>
    </row>
    <row r="403" spans="1:8">
      <c r="A403" s="232" t="s">
        <v>84</v>
      </c>
      <c r="B403" s="643">
        <v>117</v>
      </c>
      <c r="C403" s="647">
        <f t="shared" si="50"/>
        <v>2.0474999999999999</v>
      </c>
    </row>
    <row r="404" spans="1:8">
      <c r="A404" s="232" t="s">
        <v>85</v>
      </c>
      <c r="B404" s="643">
        <v>5857.8888888888887</v>
      </c>
      <c r="C404" s="647">
        <f t="shared" si="50"/>
        <v>102.51305555555555</v>
      </c>
    </row>
    <row r="405" spans="1:8" ht="14.65" thickBot="1">
      <c r="A405" s="233" t="s">
        <v>86</v>
      </c>
      <c r="B405" s="644">
        <v>2260</v>
      </c>
      <c r="C405" s="648">
        <f t="shared" si="50"/>
        <v>39.549999999999997</v>
      </c>
    </row>
    <row r="407" spans="1:8" ht="14.65" thickBot="1">
      <c r="A407" s="79" t="s">
        <v>648</v>
      </c>
    </row>
    <row r="408" spans="1:8" ht="14.65" thickBot="1">
      <c r="A408" s="419"/>
      <c r="B408" s="1019" t="s">
        <v>262</v>
      </c>
      <c r="C408" s="1021"/>
      <c r="D408" s="1021"/>
      <c r="E408" s="1021"/>
      <c r="F408" s="1021"/>
      <c r="G408" s="1013" t="s">
        <v>263</v>
      </c>
      <c r="H408" s="1015"/>
    </row>
    <row r="409" spans="1:8">
      <c r="A409" s="315" t="s">
        <v>93</v>
      </c>
      <c r="B409" s="323" t="s">
        <v>208</v>
      </c>
      <c r="C409" s="274" t="s">
        <v>198</v>
      </c>
      <c r="D409" s="274" t="s">
        <v>618</v>
      </c>
      <c r="E409" s="274" t="s">
        <v>142</v>
      </c>
      <c r="F409" s="324" t="s">
        <v>640</v>
      </c>
      <c r="G409" s="1022" t="s">
        <v>459</v>
      </c>
      <c r="H409" s="1023"/>
    </row>
    <row r="410" spans="1:8" ht="14.65" thickBot="1">
      <c r="A410" s="345" t="s">
        <v>297</v>
      </c>
      <c r="B410" s="586" t="s">
        <v>35</v>
      </c>
      <c r="C410" s="349" t="s">
        <v>35</v>
      </c>
      <c r="D410" s="349" t="s">
        <v>35</v>
      </c>
      <c r="E410" s="349" t="s">
        <v>35</v>
      </c>
      <c r="F410" s="522" t="s">
        <v>35</v>
      </c>
      <c r="G410" s="6" t="s">
        <v>70</v>
      </c>
      <c r="H410" s="24" t="s">
        <v>237</v>
      </c>
    </row>
    <row r="411" spans="1:8">
      <c r="A411" s="373" t="s">
        <v>72</v>
      </c>
      <c r="B411" s="590">
        <f>B341</f>
        <v>408.33047920252943</v>
      </c>
      <c r="C411" s="591">
        <f>B167</f>
        <v>762.04750851022629</v>
      </c>
      <c r="D411" s="591">
        <f>C391</f>
        <v>834.75</v>
      </c>
      <c r="E411" s="591">
        <f>B411+C411+D411</f>
        <v>2005.1279877127558</v>
      </c>
      <c r="F411" s="294">
        <f>$C$328+$C$118+$B$385</f>
        <v>53354.731626028923</v>
      </c>
      <c r="G411" s="649">
        <f>E411/F411*1000000</f>
        <v>37581.07156769131</v>
      </c>
      <c r="H411" s="635">
        <f>G411/1000000</f>
        <v>3.7581071567691311E-2</v>
      </c>
    </row>
    <row r="412" spans="1:8">
      <c r="A412" s="374" t="s">
        <v>73</v>
      </c>
      <c r="B412" s="592">
        <f>B342</f>
        <v>2.084550685308717E-2</v>
      </c>
      <c r="C412" s="364">
        <f>B168</f>
        <v>0.2047449314691282</v>
      </c>
      <c r="D412" s="364">
        <f>C392</f>
        <v>0.54249999999999998</v>
      </c>
      <c r="E412" s="364">
        <f t="shared" ref="E412:E427" si="51">B412+C412+D412</f>
        <v>0.76809043832221535</v>
      </c>
      <c r="F412" s="295">
        <f>$C$328+$C$118+$B$385</f>
        <v>53354.731626028923</v>
      </c>
      <c r="G412" s="552">
        <f t="shared" ref="G412:G427" si="52">E412/F412*1000000</f>
        <v>14.395919816556722</v>
      </c>
      <c r="H412" s="434">
        <f t="shared" ref="H412:H427" si="53">G412/1000000</f>
        <v>1.4395919816556721E-5</v>
      </c>
    </row>
    <row r="413" spans="1:8">
      <c r="A413" s="374" t="s">
        <v>74</v>
      </c>
      <c r="B413" s="592">
        <f t="shared" ref="B413:B421" si="54">B343</f>
        <v>634.39650513641982</v>
      </c>
      <c r="C413" s="364">
        <f>B169</f>
        <v>2053.7758948635801</v>
      </c>
      <c r="D413" s="364">
        <f t="shared" ref="D413:D421" si="55">C393</f>
        <v>1494.9375</v>
      </c>
      <c r="E413" s="364">
        <f t="shared" si="51"/>
        <v>4183.1098999999995</v>
      </c>
      <c r="F413" s="295">
        <f>$C$328+$C$118+$B$385</f>
        <v>53354.731626028923</v>
      </c>
      <c r="G413" s="552">
        <f t="shared" si="52"/>
        <v>78401.854390722554</v>
      </c>
      <c r="H413" s="434">
        <f t="shared" si="53"/>
        <v>7.8401854390722558E-2</v>
      </c>
    </row>
    <row r="414" spans="1:8">
      <c r="A414" s="374" t="s">
        <v>75</v>
      </c>
      <c r="B414" s="592">
        <f t="shared" si="54"/>
        <v>3.0576000000000006E-2</v>
      </c>
      <c r="C414" s="364">
        <f>B170</f>
        <v>2.4640000000000002E-2</v>
      </c>
      <c r="D414" s="364">
        <f t="shared" si="55"/>
        <v>3.85E-2</v>
      </c>
      <c r="E414" s="364">
        <f t="shared" si="51"/>
        <v>9.3716000000000008E-2</v>
      </c>
      <c r="F414" s="295">
        <f>$C$328+$C$118+$B$385</f>
        <v>53354.731626028923</v>
      </c>
      <c r="G414" s="552">
        <f t="shared" si="52"/>
        <v>1.7564702725311991</v>
      </c>
      <c r="H414" s="434">
        <f t="shared" si="53"/>
        <v>1.7564702725311991E-6</v>
      </c>
    </row>
    <row r="415" spans="1:8">
      <c r="A415" s="374" t="s">
        <v>76</v>
      </c>
      <c r="B415" s="592">
        <f t="shared" si="54"/>
        <v>0.325825052455463</v>
      </c>
      <c r="C415" s="364">
        <f>B171</f>
        <v>1.6834749475445372</v>
      </c>
      <c r="D415" s="364">
        <f t="shared" si="55"/>
        <v>1.5925</v>
      </c>
      <c r="E415" s="364">
        <f t="shared" si="51"/>
        <v>3.6017999999999999</v>
      </c>
      <c r="F415" s="295">
        <f>$C$328+$C$118+$B$385</f>
        <v>53354.731626028923</v>
      </c>
      <c r="G415" s="552">
        <f t="shared" si="52"/>
        <v>67.506665111644452</v>
      </c>
      <c r="H415" s="434">
        <f t="shared" si="53"/>
        <v>6.7506665111644458E-5</v>
      </c>
    </row>
    <row r="416" spans="1:8">
      <c r="A416" s="375" t="s">
        <v>77</v>
      </c>
      <c r="B416" s="592">
        <f t="shared" si="54"/>
        <v>3.8533753870080734E-2</v>
      </c>
      <c r="C416" s="364">
        <f>B172</f>
        <v>11.711624612991907</v>
      </c>
      <c r="D416" s="364">
        <f t="shared" si="55"/>
        <v>11.602499999999999</v>
      </c>
      <c r="E416" s="364">
        <f t="shared" si="51"/>
        <v>23.352658366861988</v>
      </c>
      <c r="F416" s="295">
        <f>$C$328+$C$118+$B$385</f>
        <v>53354.731626028923</v>
      </c>
      <c r="G416" s="552">
        <f t="shared" si="52"/>
        <v>437.68673658681615</v>
      </c>
      <c r="H416" s="434">
        <f t="shared" si="53"/>
        <v>4.3768673658681613E-4</v>
      </c>
    </row>
    <row r="417" spans="1:8">
      <c r="A417" s="375" t="s">
        <v>78</v>
      </c>
      <c r="B417" s="592">
        <f t="shared" si="54"/>
        <v>248.92099186348204</v>
      </c>
      <c r="C417" s="364">
        <f>B173</f>
        <v>965.82541860155675</v>
      </c>
      <c r="D417" s="364">
        <f t="shared" si="55"/>
        <v>1907.5</v>
      </c>
      <c r="E417" s="364">
        <f t="shared" si="51"/>
        <v>3122.2464104650389</v>
      </c>
      <c r="F417" s="295">
        <f>$C$328+$C$118+$B$385</f>
        <v>53354.731626028923</v>
      </c>
      <c r="G417" s="552">
        <f t="shared" si="52"/>
        <v>58518.641464628075</v>
      </c>
      <c r="H417" s="434">
        <f t="shared" si="53"/>
        <v>5.8518641464628075E-2</v>
      </c>
    </row>
    <row r="418" spans="1:8">
      <c r="A418" s="375" t="s">
        <v>79</v>
      </c>
      <c r="B418" s="592">
        <f t="shared" si="54"/>
        <v>59.375595549587992</v>
      </c>
      <c r="C418" s="364">
        <f>B174</f>
        <v>106.79865328247388</v>
      </c>
      <c r="D418" s="364">
        <f t="shared" si="55"/>
        <v>164.0625</v>
      </c>
      <c r="E418" s="364">
        <f t="shared" si="51"/>
        <v>330.23674883206183</v>
      </c>
      <c r="F418" s="295">
        <f>$C$328+$C$118+$B$385</f>
        <v>53354.731626028923</v>
      </c>
      <c r="G418" s="552">
        <f t="shared" si="52"/>
        <v>6189.4557196302521</v>
      </c>
      <c r="H418" s="434">
        <f t="shared" si="53"/>
        <v>6.189455719630252E-3</v>
      </c>
    </row>
    <row r="419" spans="1:8">
      <c r="A419" s="375" t="s">
        <v>80</v>
      </c>
      <c r="B419" s="592">
        <f t="shared" si="54"/>
        <v>102.45097918038933</v>
      </c>
      <c r="C419" s="364">
        <f>B175</f>
        <v>138.66477263549814</v>
      </c>
      <c r="D419" s="364">
        <f t="shared" si="55"/>
        <v>213.35708333333335</v>
      </c>
      <c r="E419" s="364">
        <f t="shared" si="51"/>
        <v>454.47283514922083</v>
      </c>
      <c r="F419" s="295">
        <f>$C$328+$C$118+$B$385</f>
        <v>53354.731626028923</v>
      </c>
      <c r="G419" s="552">
        <f t="shared" si="52"/>
        <v>8517.9481050469349</v>
      </c>
      <c r="H419" s="434">
        <f t="shared" si="53"/>
        <v>8.5179481050469356E-3</v>
      </c>
    </row>
    <row r="420" spans="1:8">
      <c r="A420" s="375" t="s">
        <v>81</v>
      </c>
      <c r="B420" s="592">
        <f t="shared" si="54"/>
        <v>68.735947614230398</v>
      </c>
      <c r="C420" s="364">
        <f>B176</f>
        <v>74.403408544105773</v>
      </c>
      <c r="D420" s="364">
        <f t="shared" si="55"/>
        <v>44.274999999999999</v>
      </c>
      <c r="E420" s="364">
        <f t="shared" si="51"/>
        <v>187.41435615833618</v>
      </c>
      <c r="F420" s="295">
        <f>$C$328+$C$118+$B$385</f>
        <v>53354.731626028923</v>
      </c>
      <c r="G420" s="552">
        <f t="shared" si="52"/>
        <v>3512.609855709718</v>
      </c>
      <c r="H420" s="434">
        <f t="shared" si="53"/>
        <v>3.5126098557097178E-3</v>
      </c>
    </row>
    <row r="421" spans="1:8">
      <c r="A421" s="375" t="s">
        <v>82</v>
      </c>
      <c r="B421" s="592">
        <f t="shared" si="54"/>
        <v>0.54917244694338418</v>
      </c>
      <c r="C421" s="364">
        <f>B177</f>
        <v>1.2699462082631956</v>
      </c>
      <c r="D421" s="364">
        <f t="shared" si="55"/>
        <v>1.1287499999999999</v>
      </c>
      <c r="E421" s="364">
        <f t="shared" si="51"/>
        <v>2.9478686552065794</v>
      </c>
      <c r="F421" s="295">
        <f>$C$328+$C$118+$B$385</f>
        <v>53354.731626028923</v>
      </c>
      <c r="G421" s="552">
        <f t="shared" si="52"/>
        <v>55.250369842896404</v>
      </c>
      <c r="H421" s="434">
        <f t="shared" si="53"/>
        <v>5.5250369842896402E-5</v>
      </c>
    </row>
    <row r="422" spans="1:8">
      <c r="A422" s="372" t="s">
        <v>630</v>
      </c>
      <c r="B422" s="592">
        <f>B352</f>
        <v>857.97621000000026</v>
      </c>
      <c r="C422" s="364">
        <f>B178</f>
        <v>691.40940000000012</v>
      </c>
      <c r="D422" s="364">
        <f>C402</f>
        <v>1237.25</v>
      </c>
      <c r="E422" s="364">
        <f t="shared" si="51"/>
        <v>2786.6356100000003</v>
      </c>
      <c r="F422" s="295">
        <f>$C$328+$C$118+$B$385</f>
        <v>53354.731626028923</v>
      </c>
      <c r="G422" s="552">
        <f t="shared" si="52"/>
        <v>52228.462688781474</v>
      </c>
      <c r="H422" s="434">
        <f t="shared" si="53"/>
        <v>5.2228462688781473E-2</v>
      </c>
    </row>
    <row r="423" spans="1:8">
      <c r="A423" s="375" t="s">
        <v>96</v>
      </c>
      <c r="B423" s="592">
        <f>B353</f>
        <v>2467.7417142857144</v>
      </c>
      <c r="C423" s="364">
        <f>B179</f>
        <v>1988.6563265306122</v>
      </c>
      <c r="D423" s="364">
        <v>0</v>
      </c>
      <c r="E423" s="364">
        <f t="shared" si="51"/>
        <v>4456.3980408163261</v>
      </c>
      <c r="F423" s="295">
        <f>$C$328+$C$118+$B$385</f>
        <v>53354.731626028923</v>
      </c>
      <c r="G423" s="552">
        <f t="shared" si="52"/>
        <v>83523.951953350057</v>
      </c>
      <c r="H423" s="434">
        <f t="shared" si="53"/>
        <v>8.3523951953350051E-2</v>
      </c>
    </row>
    <row r="424" spans="1:8">
      <c r="A424" s="350" t="s">
        <v>97</v>
      </c>
      <c r="B424" s="592">
        <f>B422+B423</f>
        <v>3325.7179242857146</v>
      </c>
      <c r="C424" s="364">
        <f>C422+C423</f>
        <v>2680.0657265306122</v>
      </c>
      <c r="D424" s="364">
        <f>D422+D423</f>
        <v>1237.25</v>
      </c>
      <c r="E424" s="364">
        <f t="shared" si="51"/>
        <v>7243.0336508163273</v>
      </c>
      <c r="F424" s="295">
        <f>$C$328+$C$118+$B$385</f>
        <v>53354.731626028923</v>
      </c>
      <c r="G424" s="594">
        <f t="shared" si="52"/>
        <v>135752.41464213154</v>
      </c>
      <c r="H424" s="585">
        <f t="shared" si="53"/>
        <v>0.13575241464213153</v>
      </c>
    </row>
    <row r="425" spans="1:8">
      <c r="A425" s="398" t="s">
        <v>84</v>
      </c>
      <c r="B425" s="593">
        <f>B355</f>
        <v>0.12327524492934416</v>
      </c>
      <c r="C425" s="364">
        <f>B181</f>
        <v>1.9229638513545189</v>
      </c>
      <c r="D425" s="364">
        <f>C403</f>
        <v>2.0474999999999999</v>
      </c>
      <c r="E425" s="364">
        <f t="shared" si="51"/>
        <v>4.0937390962838629</v>
      </c>
      <c r="F425" s="295">
        <f>$C$328+$C$118+$B$385</f>
        <v>53354.731626028923</v>
      </c>
      <c r="G425" s="552">
        <f t="shared" si="52"/>
        <v>76.72682387341905</v>
      </c>
      <c r="H425" s="434">
        <f t="shared" si="53"/>
        <v>7.6726823873419055E-5</v>
      </c>
    </row>
    <row r="426" spans="1:8">
      <c r="A426" s="398" t="s">
        <v>85</v>
      </c>
      <c r="B426" s="593">
        <f>B356</f>
        <v>0</v>
      </c>
      <c r="C426" s="44">
        <f>B184</f>
        <v>1120.1877551020409</v>
      </c>
      <c r="D426" s="364">
        <f>C404</f>
        <v>102.51305555555555</v>
      </c>
      <c r="E426" s="364">
        <f t="shared" si="51"/>
        <v>1222.7008106575965</v>
      </c>
      <c r="F426" s="295">
        <f>$C$328+$C$118+$B$385</f>
        <v>53354.731626028923</v>
      </c>
      <c r="G426" s="552">
        <f t="shared" si="52"/>
        <v>22916.445709589254</v>
      </c>
      <c r="H426" s="434">
        <f t="shared" si="53"/>
        <v>2.2916445709589253E-2</v>
      </c>
    </row>
    <row r="427" spans="1:8" ht="14.65" thickBot="1">
      <c r="A427" s="376" t="s">
        <v>86</v>
      </c>
      <c r="B427" s="595">
        <f>B357</f>
        <v>0.54177423764159549</v>
      </c>
      <c r="C427" s="49">
        <f>B187</f>
        <v>31.3235152471681</v>
      </c>
      <c r="D427" s="379">
        <f>C405</f>
        <v>39.549999999999997</v>
      </c>
      <c r="E427" s="379">
        <f t="shared" si="51"/>
        <v>71.415289484809691</v>
      </c>
      <c r="F427" s="380">
        <f>$C$328+$C$118+$B$385</f>
        <v>53354.731626028923</v>
      </c>
      <c r="G427" s="553">
        <f t="shared" si="52"/>
        <v>1338.4996477045343</v>
      </c>
      <c r="H427" s="439">
        <f t="shared" si="53"/>
        <v>1.3384996477045343E-3</v>
      </c>
    </row>
    <row r="429" spans="1:8">
      <c r="A429" s="329" t="s">
        <v>144</v>
      </c>
      <c r="B429" s="329"/>
      <c r="C429" s="329"/>
      <c r="D429" s="329"/>
      <c r="E429" s="329"/>
      <c r="F429" s="329"/>
    </row>
    <row r="430" spans="1:8">
      <c r="A430" s="329" t="s">
        <v>315</v>
      </c>
      <c r="B430" s="329"/>
      <c r="C430" s="329"/>
      <c r="D430" s="329"/>
      <c r="E430" s="329"/>
      <c r="F430" s="329"/>
    </row>
    <row r="431" spans="1:8">
      <c r="D431" s="121"/>
    </row>
    <row r="432" spans="1:8" ht="14.65" thickBot="1">
      <c r="A432" s="79" t="s">
        <v>432</v>
      </c>
      <c r="D432" s="121"/>
    </row>
    <row r="433" spans="1:5">
      <c r="A433" s="388" t="s">
        <v>93</v>
      </c>
      <c r="B433" s="323" t="s">
        <v>146</v>
      </c>
      <c r="C433" s="324" t="s">
        <v>147</v>
      </c>
      <c r="D433" s="1024" t="s">
        <v>459</v>
      </c>
      <c r="E433" s="1025"/>
    </row>
    <row r="434" spans="1:5" ht="14.65" thickBot="1">
      <c r="A434" s="220"/>
      <c r="B434" s="6" t="s">
        <v>35</v>
      </c>
      <c r="C434" s="422" t="s">
        <v>35</v>
      </c>
      <c r="D434" s="403" t="s">
        <v>257</v>
      </c>
      <c r="E434" s="155" t="s">
        <v>237</v>
      </c>
    </row>
    <row r="435" spans="1:5">
      <c r="A435" s="137" t="s">
        <v>211</v>
      </c>
      <c r="B435" s="159">
        <f>B424+C424</f>
        <v>6005.7836508163273</v>
      </c>
      <c r="C435" s="501">
        <f>$C$328+$C$118</f>
        <v>35854.731626028923</v>
      </c>
      <c r="D435" s="227">
        <f>B435/C435*1000000</f>
        <v>167503.23816275335</v>
      </c>
      <c r="E435" s="433">
        <f>D435/1000000</f>
        <v>0.16750323816275334</v>
      </c>
    </row>
    <row r="436" spans="1:5">
      <c r="A436" s="113" t="s">
        <v>620</v>
      </c>
      <c r="B436" s="161">
        <f>$D$422</f>
        <v>1237.25</v>
      </c>
      <c r="C436" s="502">
        <f>$B$385</f>
        <v>17500</v>
      </c>
      <c r="D436" s="229">
        <f>B436/C436*1000000</f>
        <v>70700</v>
      </c>
      <c r="E436" s="434">
        <f t="shared" ref="E436:E438" si="56">D436/1000000</f>
        <v>7.0699999999999999E-2</v>
      </c>
    </row>
    <row r="437" spans="1:5">
      <c r="A437" s="138" t="s">
        <v>96</v>
      </c>
      <c r="B437" s="444">
        <f>C437*31/98</f>
        <v>3395.9683685866626</v>
      </c>
      <c r="C437" s="587">
        <v>10735.641939402998</v>
      </c>
      <c r="D437" s="229">
        <f>B437/C437*1000000</f>
        <v>316326.53061224491</v>
      </c>
      <c r="E437" s="434">
        <f t="shared" si="56"/>
        <v>0.31632653061224492</v>
      </c>
    </row>
    <row r="438" spans="1:5" ht="14.65" thickBot="1">
      <c r="A438" s="330" t="s">
        <v>306</v>
      </c>
      <c r="B438" s="162">
        <f>SUM($B$435:$B$437)</f>
        <v>10639.002019402989</v>
      </c>
      <c r="C438" s="503">
        <f>SUM($C$435:$C$437)</f>
        <v>64090.373565431917</v>
      </c>
      <c r="D438" s="588">
        <f>B438/C438*1000000</f>
        <v>166000.00011766652</v>
      </c>
      <c r="E438" s="589">
        <f t="shared" si="56"/>
        <v>0.16600000011766652</v>
      </c>
    </row>
    <row r="440" spans="1:5" ht="14.65" thickBot="1">
      <c r="A440" s="79" t="s">
        <v>434</v>
      </c>
    </row>
    <row r="441" spans="1:5" ht="14.65" thickBot="1">
      <c r="A441" s="691"/>
      <c r="B441" s="192" t="s">
        <v>18</v>
      </c>
      <c r="C441" s="744" t="s">
        <v>106</v>
      </c>
    </row>
    <row r="442" spans="1:5">
      <c r="A442" s="203" t="s">
        <v>435</v>
      </c>
      <c r="B442" s="692" t="s">
        <v>35</v>
      </c>
      <c r="C442" s="730">
        <f>$C$437</f>
        <v>10735.641939402998</v>
      </c>
    </row>
    <row r="443" spans="1:5">
      <c r="A443" s="186" t="s">
        <v>436</v>
      </c>
      <c r="B443" s="178" t="s">
        <v>35</v>
      </c>
      <c r="C443" s="84">
        <f>C442/75%*25%</f>
        <v>3578.5473131343329</v>
      </c>
    </row>
    <row r="444" spans="1:5" ht="14.65" thickBot="1">
      <c r="A444" s="693" t="s">
        <v>437</v>
      </c>
      <c r="B444" s="694" t="s">
        <v>35</v>
      </c>
      <c r="C444" s="335">
        <f>C442+C443</f>
        <v>14314.189252537331</v>
      </c>
    </row>
    <row r="446" spans="1:5">
      <c r="A446" s="329" t="s">
        <v>316</v>
      </c>
    </row>
    <row r="447" spans="1:5">
      <c r="A447" s="329" t="s">
        <v>317</v>
      </c>
    </row>
    <row r="448" spans="1:5">
      <c r="A448" s="329"/>
    </row>
    <row r="449" spans="1:3" ht="14.65" thickBot="1">
      <c r="A449" s="329" t="s">
        <v>307</v>
      </c>
    </row>
    <row r="450" spans="1:3">
      <c r="A450" s="664" t="s">
        <v>64</v>
      </c>
      <c r="B450" s="665" t="s">
        <v>24</v>
      </c>
      <c r="C450" s="666">
        <v>0.45</v>
      </c>
    </row>
    <row r="451" spans="1:3" ht="14.65" thickBot="1">
      <c r="A451" s="667" t="s">
        <v>66</v>
      </c>
      <c r="B451" s="284" t="s">
        <v>24</v>
      </c>
      <c r="C451" s="663">
        <v>0.55000000000000004</v>
      </c>
    </row>
    <row r="452" spans="1:3">
      <c r="A452" s="329"/>
    </row>
    <row r="453" spans="1:3" ht="14.65" thickBot="1">
      <c r="A453" s="769" t="s">
        <v>363</v>
      </c>
    </row>
    <row r="454" spans="1:3" ht="14.65" thickBot="1">
      <c r="A454" s="191"/>
      <c r="B454" s="192" t="s">
        <v>18</v>
      </c>
      <c r="C454" s="193" t="s">
        <v>106</v>
      </c>
    </row>
    <row r="455" spans="1:3">
      <c r="A455" s="678" t="s">
        <v>374</v>
      </c>
      <c r="B455" s="293" t="s">
        <v>35</v>
      </c>
      <c r="C455" s="294">
        <f>$C$328</f>
        <v>9625.4307781486204</v>
      </c>
    </row>
    <row r="456" spans="1:3">
      <c r="A456" s="679" t="s">
        <v>375</v>
      </c>
      <c r="B456" s="287" t="s">
        <v>35</v>
      </c>
      <c r="C456" s="295">
        <f>$C$118</f>
        <v>26229.300847880302</v>
      </c>
    </row>
    <row r="457" spans="1:3">
      <c r="A457" s="679" t="s">
        <v>607</v>
      </c>
      <c r="B457" s="282" t="s">
        <v>35</v>
      </c>
      <c r="C457" s="370">
        <f>$B$385</f>
        <v>17500</v>
      </c>
    </row>
    <row r="458" spans="1:3">
      <c r="A458" s="375" t="s">
        <v>435</v>
      </c>
      <c r="B458" s="287" t="s">
        <v>35</v>
      </c>
      <c r="C458" s="279">
        <f>$C$442</f>
        <v>10735.641939402998</v>
      </c>
    </row>
    <row r="459" spans="1:3" ht="14.65" thickBot="1">
      <c r="A459" s="683" t="s">
        <v>309</v>
      </c>
      <c r="B459" s="215" t="s">
        <v>35</v>
      </c>
      <c r="C459" s="344">
        <f>C455+C456+C457+C458</f>
        <v>64090.373565431917</v>
      </c>
    </row>
    <row r="460" spans="1:3">
      <c r="A460" s="675" t="s">
        <v>345</v>
      </c>
      <c r="B460" s="676" t="s">
        <v>35</v>
      </c>
      <c r="C460" s="342">
        <f>C459/C450*C451</f>
        <v>78332.678802194569</v>
      </c>
    </row>
    <row r="461" spans="1:3">
      <c r="A461" s="679" t="s">
        <v>376</v>
      </c>
      <c r="B461" s="287" t="s">
        <v>35</v>
      </c>
      <c r="C461" s="279">
        <f>$C$333</f>
        <v>39075.642522355854</v>
      </c>
    </row>
    <row r="462" spans="1:3">
      <c r="A462" s="679" t="s">
        <v>370</v>
      </c>
      <c r="B462" s="287" t="s">
        <v>35</v>
      </c>
      <c r="C462" s="279">
        <f>$C$120</f>
        <v>15011.738221113883</v>
      </c>
    </row>
    <row r="463" spans="1:3">
      <c r="A463" s="679" t="s">
        <v>436</v>
      </c>
      <c r="B463" s="287" t="s">
        <v>35</v>
      </c>
      <c r="C463" s="279">
        <f>$C$443</f>
        <v>3578.5473131343329</v>
      </c>
    </row>
    <row r="464" spans="1:3" ht="14.65" thickBot="1">
      <c r="A464" s="680" t="s">
        <v>363</v>
      </c>
      <c r="B464" s="698" t="s">
        <v>35</v>
      </c>
      <c r="C464" s="671">
        <f>C460-C461-C462-C463</f>
        <v>20666.7507455905</v>
      </c>
    </row>
    <row r="466" spans="1:3" ht="14.65" thickBot="1">
      <c r="A466" s="79" t="s">
        <v>289</v>
      </c>
    </row>
    <row r="467" spans="1:3" ht="14.65" thickBot="1">
      <c r="A467" s="103" t="s">
        <v>53</v>
      </c>
      <c r="B467" s="102" t="s">
        <v>18</v>
      </c>
      <c r="C467" s="17" t="s">
        <v>106</v>
      </c>
    </row>
    <row r="468" spans="1:3">
      <c r="A468" s="369" t="s">
        <v>396</v>
      </c>
      <c r="B468" s="269" t="s">
        <v>35</v>
      </c>
      <c r="C468" s="328">
        <f>$C$316</f>
        <v>48701.073300504497</v>
      </c>
    </row>
    <row r="469" spans="1:3">
      <c r="A469" s="315" t="s">
        <v>286</v>
      </c>
      <c r="B469" s="270" t="s">
        <v>35</v>
      </c>
      <c r="C469" s="316">
        <f>$C$116</f>
        <v>41241.039068994185</v>
      </c>
    </row>
    <row r="470" spans="1:3">
      <c r="A470" s="315" t="s">
        <v>607</v>
      </c>
      <c r="B470" s="270" t="s">
        <v>35</v>
      </c>
      <c r="C470" s="316">
        <f>B385</f>
        <v>17500</v>
      </c>
    </row>
    <row r="471" spans="1:3">
      <c r="A471" s="315" t="s">
        <v>437</v>
      </c>
      <c r="B471" s="270" t="s">
        <v>35</v>
      </c>
      <c r="C471" s="316">
        <f>$C$444</f>
        <v>14314.189252537331</v>
      </c>
    </row>
    <row r="472" spans="1:3" ht="14.65" thickBot="1">
      <c r="A472" s="345" t="s">
        <v>363</v>
      </c>
      <c r="B472" s="271" t="s">
        <v>35</v>
      </c>
      <c r="C472" s="340">
        <f>C464</f>
        <v>20666.7507455905</v>
      </c>
    </row>
    <row r="474" spans="1:3" ht="14.65" thickBot="1">
      <c r="A474" s="79" t="s">
        <v>290</v>
      </c>
    </row>
    <row r="475" spans="1:3" ht="14.65" thickBot="1">
      <c r="A475" s="191" t="s">
        <v>90</v>
      </c>
      <c r="B475" s="192" t="s">
        <v>18</v>
      </c>
      <c r="C475" s="193" t="s">
        <v>91</v>
      </c>
    </row>
    <row r="476" spans="1:3">
      <c r="A476" s="272" t="s">
        <v>191</v>
      </c>
      <c r="B476" s="615" t="s">
        <v>35</v>
      </c>
      <c r="C476" s="614">
        <f>$C$316</f>
        <v>48701.073300504497</v>
      </c>
    </row>
    <row r="477" spans="1:3">
      <c r="A477" s="257" t="s">
        <v>190</v>
      </c>
      <c r="B477" s="346" t="s">
        <v>35</v>
      </c>
      <c r="C477" s="370">
        <f>$C$116</f>
        <v>41241.039068994185</v>
      </c>
    </row>
    <row r="478" spans="1:3">
      <c r="A478" s="257" t="s">
        <v>607</v>
      </c>
      <c r="B478" s="346" t="s">
        <v>35</v>
      </c>
      <c r="C478" s="370">
        <f>B385</f>
        <v>17500</v>
      </c>
    </row>
    <row r="479" spans="1:3">
      <c r="A479" s="348" t="s">
        <v>437</v>
      </c>
      <c r="B479" s="346" t="s">
        <v>35</v>
      </c>
      <c r="C479" s="370">
        <f>$C$444</f>
        <v>14314.189252537331</v>
      </c>
    </row>
    <row r="480" spans="1:3">
      <c r="A480" s="348" t="s">
        <v>363</v>
      </c>
      <c r="B480" s="346" t="s">
        <v>35</v>
      </c>
      <c r="C480" s="370">
        <f>C472</f>
        <v>20666.7507455905</v>
      </c>
    </row>
    <row r="481" spans="1:3" ht="14.65" thickBot="1">
      <c r="A481" s="255" t="s">
        <v>305</v>
      </c>
      <c r="B481" s="271" t="s">
        <v>35</v>
      </c>
      <c r="C481" s="256">
        <f>SUM(C476:C480)</f>
        <v>142423.05236762651</v>
      </c>
    </row>
    <row r="483" spans="1:3" ht="14.65" thickBot="1">
      <c r="A483" s="79" t="s">
        <v>307</v>
      </c>
      <c r="B483" s="79"/>
      <c r="C483" s="79"/>
    </row>
    <row r="484" spans="1:3" ht="14.65" thickBot="1">
      <c r="A484" s="103" t="s">
        <v>90</v>
      </c>
      <c r="B484" s="102" t="s">
        <v>18</v>
      </c>
      <c r="C484" s="17" t="s">
        <v>106</v>
      </c>
    </row>
    <row r="485" spans="1:3">
      <c r="A485" s="276" t="s">
        <v>374</v>
      </c>
      <c r="B485" s="296" t="s">
        <v>35</v>
      </c>
      <c r="C485" s="297">
        <f>$C$328</f>
        <v>9625.4307781486204</v>
      </c>
    </row>
    <row r="486" spans="1:3">
      <c r="A486" s="257" t="s">
        <v>375</v>
      </c>
      <c r="B486" s="278" t="s">
        <v>35</v>
      </c>
      <c r="C486" s="295">
        <f>$C$118</f>
        <v>26229.300847880302</v>
      </c>
    </row>
    <row r="487" spans="1:3">
      <c r="A487" s="257" t="s">
        <v>607</v>
      </c>
      <c r="B487" s="346" t="s">
        <v>35</v>
      </c>
      <c r="C487" s="370">
        <f>B385</f>
        <v>17500</v>
      </c>
    </row>
    <row r="488" spans="1:3">
      <c r="A488" s="348" t="s">
        <v>435</v>
      </c>
      <c r="B488" s="278" t="s">
        <v>35</v>
      </c>
      <c r="C488" s="279">
        <f>$C$442</f>
        <v>10735.641939402998</v>
      </c>
    </row>
    <row r="489" spans="1:3">
      <c r="A489" s="257" t="s">
        <v>309</v>
      </c>
      <c r="B489" s="278" t="s">
        <v>35</v>
      </c>
      <c r="C489" s="279">
        <f>C485+C486+C487+C488</f>
        <v>64090.373565431917</v>
      </c>
    </row>
    <row r="490" spans="1:3">
      <c r="A490" s="257" t="s">
        <v>305</v>
      </c>
      <c r="B490" s="278" t="s">
        <v>35</v>
      </c>
      <c r="C490" s="279">
        <f>$C$481</f>
        <v>142423.05236762651</v>
      </c>
    </row>
    <row r="491" spans="1:3">
      <c r="A491" s="299" t="s">
        <v>389</v>
      </c>
      <c r="B491" s="260" t="s">
        <v>24</v>
      </c>
      <c r="C491" s="371">
        <f>C489/C490</f>
        <v>0.4499999999999999</v>
      </c>
    </row>
    <row r="492" spans="1:3">
      <c r="A492" s="348" t="s">
        <v>437</v>
      </c>
      <c r="B492" s="346" t="s">
        <v>35</v>
      </c>
      <c r="C492" s="370">
        <f>C443</f>
        <v>3578.5473131343329</v>
      </c>
    </row>
    <row r="493" spans="1:3">
      <c r="A493" s="257" t="s">
        <v>376</v>
      </c>
      <c r="B493" s="278" t="s">
        <v>35</v>
      </c>
      <c r="C493" s="279">
        <f>$C$333</f>
        <v>39075.642522355854</v>
      </c>
    </row>
    <row r="494" spans="1:3">
      <c r="A494" s="257" t="s">
        <v>370</v>
      </c>
      <c r="B494" s="278" t="s">
        <v>35</v>
      </c>
      <c r="C494" s="279">
        <f>$C$120</f>
        <v>15011.738221113883</v>
      </c>
    </row>
    <row r="495" spans="1:3">
      <c r="A495" s="257" t="s">
        <v>363</v>
      </c>
      <c r="B495" s="278" t="s">
        <v>35</v>
      </c>
      <c r="C495" s="279">
        <f>C464</f>
        <v>20666.7507455905</v>
      </c>
    </row>
    <row r="496" spans="1:3">
      <c r="A496" s="257" t="s">
        <v>345</v>
      </c>
      <c r="B496" s="278" t="s">
        <v>35</v>
      </c>
      <c r="C496" s="279">
        <f>C492+C493+C494+C495</f>
        <v>78332.678802194569</v>
      </c>
    </row>
    <row r="497" spans="1:9">
      <c r="A497" s="257" t="s">
        <v>305</v>
      </c>
      <c r="B497" s="278" t="s">
        <v>35</v>
      </c>
      <c r="C497" s="279">
        <f>$C$481</f>
        <v>142423.05236762651</v>
      </c>
    </row>
    <row r="498" spans="1:9" ht="14.65" thickBot="1">
      <c r="A498" s="301" t="s">
        <v>321</v>
      </c>
      <c r="B498" s="277" t="s">
        <v>24</v>
      </c>
      <c r="C498" s="303">
        <f>C496/C497</f>
        <v>0.54999999999999993</v>
      </c>
    </row>
    <row r="500" spans="1:9" ht="14.65" thickBot="1">
      <c r="A500" s="79" t="s">
        <v>308</v>
      </c>
    </row>
    <row r="501" spans="1:9" ht="14.65" thickBot="1">
      <c r="A501" s="419"/>
      <c r="B501" s="1019" t="s">
        <v>262</v>
      </c>
      <c r="C501" s="1021"/>
      <c r="D501" s="1021"/>
      <c r="E501" s="1021"/>
      <c r="F501" s="1021"/>
      <c r="G501" s="1021"/>
      <c r="H501" s="1019" t="s">
        <v>263</v>
      </c>
      <c r="I501" s="1020"/>
    </row>
    <row r="502" spans="1:9">
      <c r="A502" s="92" t="s">
        <v>93</v>
      </c>
      <c r="B502" s="323" t="s">
        <v>208</v>
      </c>
      <c r="C502" s="274" t="s">
        <v>198</v>
      </c>
      <c r="D502" s="274" t="s">
        <v>618</v>
      </c>
      <c r="E502" s="274" t="s">
        <v>153</v>
      </c>
      <c r="F502" s="274" t="s">
        <v>142</v>
      </c>
      <c r="G502" s="324" t="s">
        <v>309</v>
      </c>
      <c r="H502" s="1094" t="s">
        <v>459</v>
      </c>
      <c r="I502" s="1095"/>
    </row>
    <row r="503" spans="1:9" ht="14.65" thickBot="1">
      <c r="A503" s="93" t="s">
        <v>297</v>
      </c>
      <c r="B503" s="6" t="s">
        <v>35</v>
      </c>
      <c r="C503" s="7" t="s">
        <v>35</v>
      </c>
      <c r="D503" s="7" t="s">
        <v>35</v>
      </c>
      <c r="E503" s="7" t="s">
        <v>35</v>
      </c>
      <c r="F503" s="7" t="s">
        <v>35</v>
      </c>
      <c r="G503" s="422" t="s">
        <v>35</v>
      </c>
      <c r="H503" s="530" t="s">
        <v>70</v>
      </c>
      <c r="I503" s="155" t="s">
        <v>237</v>
      </c>
    </row>
    <row r="504" spans="1:9">
      <c r="A504" s="111" t="s">
        <v>72</v>
      </c>
      <c r="B504" s="540">
        <f t="shared" ref="B504:D505" si="57">B411</f>
        <v>408.33047920252943</v>
      </c>
      <c r="C504" s="567">
        <f t="shared" si="57"/>
        <v>762.04750851022629</v>
      </c>
      <c r="D504" s="567">
        <f t="shared" si="57"/>
        <v>834.75</v>
      </c>
      <c r="E504" s="428">
        <v>0</v>
      </c>
      <c r="F504" s="428">
        <f>B504+C504+D504+E504</f>
        <v>2005.1279877127558</v>
      </c>
      <c r="G504" s="545">
        <f t="shared" ref="G504:G518" si="58">$C$489</f>
        <v>64090.373565431917</v>
      </c>
      <c r="H504" s="557">
        <f>F504/G504*1000000</f>
        <v>31285.946331170253</v>
      </c>
      <c r="I504" s="433">
        <f>H504/1000000</f>
        <v>3.1285946331170253E-2</v>
      </c>
    </row>
    <row r="505" spans="1:9">
      <c r="A505" s="112" t="s">
        <v>73</v>
      </c>
      <c r="B505" s="543">
        <f t="shared" si="57"/>
        <v>2.084550685308717E-2</v>
      </c>
      <c r="C505" s="484">
        <f t="shared" si="57"/>
        <v>0.2047449314691282</v>
      </c>
      <c r="D505" s="484">
        <f t="shared" si="57"/>
        <v>0.54249999999999998</v>
      </c>
      <c r="E505" s="235">
        <v>0</v>
      </c>
      <c r="F505" s="238">
        <f t="shared" ref="F505:F518" si="59">B505+C505+D505+E505</f>
        <v>0.76809043832221535</v>
      </c>
      <c r="G505" s="596">
        <f t="shared" si="58"/>
        <v>64090.373565431917</v>
      </c>
      <c r="H505" s="558">
        <f t="shared" ref="H505:H518" si="60">F505/G505*1000000</f>
        <v>11.984489956795887</v>
      </c>
      <c r="I505" s="434">
        <f t="shared" ref="I505:I518" si="61">H505/1000000</f>
        <v>1.1984489956795886E-5</v>
      </c>
    </row>
    <row r="506" spans="1:9">
      <c r="A506" s="112" t="s">
        <v>74</v>
      </c>
      <c r="B506" s="543">
        <f t="shared" ref="B506:D514" si="62">B413</f>
        <v>634.39650513641982</v>
      </c>
      <c r="C506" s="484">
        <f t="shared" si="62"/>
        <v>2053.7758948635801</v>
      </c>
      <c r="D506" s="484">
        <f t="shared" si="62"/>
        <v>1494.9375</v>
      </c>
      <c r="E506" s="235">
        <v>0</v>
      </c>
      <c r="F506" s="238">
        <f t="shared" si="59"/>
        <v>4183.1098999999995</v>
      </c>
      <c r="G506" s="596">
        <f t="shared" si="58"/>
        <v>64090.373565431917</v>
      </c>
      <c r="H506" s="558">
        <f t="shared" si="60"/>
        <v>65268.926787098972</v>
      </c>
      <c r="I506" s="434">
        <f t="shared" si="61"/>
        <v>6.5268926787098974E-2</v>
      </c>
    </row>
    <row r="507" spans="1:9">
      <c r="A507" s="112" t="s">
        <v>75</v>
      </c>
      <c r="B507" s="543">
        <f t="shared" si="62"/>
        <v>3.0576000000000006E-2</v>
      </c>
      <c r="C507" s="484">
        <f t="shared" si="62"/>
        <v>2.4640000000000002E-2</v>
      </c>
      <c r="D507" s="484">
        <f t="shared" si="62"/>
        <v>3.85E-2</v>
      </c>
      <c r="E507" s="235">
        <v>0</v>
      </c>
      <c r="F507" s="238">
        <f t="shared" si="59"/>
        <v>9.3716000000000008E-2</v>
      </c>
      <c r="G507" s="596">
        <f t="shared" si="58"/>
        <v>64090.373565431917</v>
      </c>
      <c r="H507" s="558">
        <f t="shared" si="60"/>
        <v>1.4622476791202088</v>
      </c>
      <c r="I507" s="434">
        <f t="shared" si="61"/>
        <v>1.4622476791202088E-6</v>
      </c>
    </row>
    <row r="508" spans="1:9">
      <c r="A508" s="112" t="s">
        <v>76</v>
      </c>
      <c r="B508" s="543">
        <f t="shared" si="62"/>
        <v>0.325825052455463</v>
      </c>
      <c r="C508" s="484">
        <f t="shared" si="62"/>
        <v>1.6834749475445372</v>
      </c>
      <c r="D508" s="484">
        <f t="shared" si="62"/>
        <v>1.5925</v>
      </c>
      <c r="E508" s="235">
        <v>0</v>
      </c>
      <c r="F508" s="238">
        <f t="shared" si="59"/>
        <v>3.6017999999999999</v>
      </c>
      <c r="G508" s="596">
        <f t="shared" si="58"/>
        <v>64090.373565431917</v>
      </c>
      <c r="H508" s="558">
        <f t="shared" si="60"/>
        <v>56.198767453318197</v>
      </c>
      <c r="I508" s="434">
        <f t="shared" si="61"/>
        <v>5.6198767453318194E-5</v>
      </c>
    </row>
    <row r="509" spans="1:9">
      <c r="A509" s="113" t="s">
        <v>77</v>
      </c>
      <c r="B509" s="543">
        <f t="shared" si="62"/>
        <v>3.8533753870080734E-2</v>
      </c>
      <c r="C509" s="484">
        <f t="shared" si="62"/>
        <v>11.711624612991907</v>
      </c>
      <c r="D509" s="484">
        <f t="shared" si="62"/>
        <v>11.602499999999999</v>
      </c>
      <c r="E509" s="235">
        <v>0</v>
      </c>
      <c r="F509" s="238">
        <f t="shared" si="59"/>
        <v>23.352658366861988</v>
      </c>
      <c r="G509" s="596">
        <f t="shared" si="58"/>
        <v>64090.373565431917</v>
      </c>
      <c r="H509" s="558">
        <f t="shared" si="60"/>
        <v>364.37076377812826</v>
      </c>
      <c r="I509" s="434">
        <f t="shared" si="61"/>
        <v>3.6437076377812829E-4</v>
      </c>
    </row>
    <row r="510" spans="1:9">
      <c r="A510" s="113" t="s">
        <v>78</v>
      </c>
      <c r="B510" s="543">
        <f t="shared" si="62"/>
        <v>248.92099186348204</v>
      </c>
      <c r="C510" s="484">
        <f t="shared" si="62"/>
        <v>965.82541860155675</v>
      </c>
      <c r="D510" s="484">
        <f t="shared" si="62"/>
        <v>1907.5</v>
      </c>
      <c r="E510" s="235">
        <v>0</v>
      </c>
      <c r="F510" s="238">
        <f t="shared" si="59"/>
        <v>3122.2464104650389</v>
      </c>
      <c r="G510" s="596">
        <f t="shared" si="58"/>
        <v>64090.373565431917</v>
      </c>
      <c r="H510" s="558">
        <f t="shared" si="60"/>
        <v>48716.308499550832</v>
      </c>
      <c r="I510" s="434">
        <f t="shared" si="61"/>
        <v>4.8716308499550831E-2</v>
      </c>
    </row>
    <row r="511" spans="1:9">
      <c r="A511" s="113" t="s">
        <v>79</v>
      </c>
      <c r="B511" s="543">
        <f t="shared" si="62"/>
        <v>59.375595549587992</v>
      </c>
      <c r="C511" s="484">
        <f t="shared" si="62"/>
        <v>106.79865328247388</v>
      </c>
      <c r="D511" s="484">
        <f t="shared" si="62"/>
        <v>164.0625</v>
      </c>
      <c r="E511" s="235">
        <v>0</v>
      </c>
      <c r="F511" s="238">
        <f t="shared" si="59"/>
        <v>330.23674883206183</v>
      </c>
      <c r="G511" s="596">
        <f t="shared" si="58"/>
        <v>64090.373565431917</v>
      </c>
      <c r="H511" s="558">
        <f t="shared" si="60"/>
        <v>5152.6731778979656</v>
      </c>
      <c r="I511" s="434">
        <f t="shared" si="61"/>
        <v>5.1526731778979654E-3</v>
      </c>
    </row>
    <row r="512" spans="1:9">
      <c r="A512" s="113" t="s">
        <v>80</v>
      </c>
      <c r="B512" s="543">
        <f t="shared" si="62"/>
        <v>102.45097918038933</v>
      </c>
      <c r="C512" s="484">
        <f t="shared" si="62"/>
        <v>138.66477263549814</v>
      </c>
      <c r="D512" s="484">
        <f t="shared" si="62"/>
        <v>213.35708333333335</v>
      </c>
      <c r="E512" s="235">
        <v>0</v>
      </c>
      <c r="F512" s="238">
        <f t="shared" si="59"/>
        <v>454.47283514922083</v>
      </c>
      <c r="G512" s="596">
        <f t="shared" si="58"/>
        <v>64090.373565431917</v>
      </c>
      <c r="H512" s="558">
        <f t="shared" si="60"/>
        <v>7091.1247643959341</v>
      </c>
      <c r="I512" s="434">
        <f t="shared" si="61"/>
        <v>7.0911247643959344E-3</v>
      </c>
    </row>
    <row r="513" spans="1:9">
      <c r="A513" s="113" t="s">
        <v>81</v>
      </c>
      <c r="B513" s="543">
        <f t="shared" si="62"/>
        <v>68.735947614230398</v>
      </c>
      <c r="C513" s="484">
        <f t="shared" si="62"/>
        <v>74.403408544105773</v>
      </c>
      <c r="D513" s="484">
        <f t="shared" si="62"/>
        <v>44.274999999999999</v>
      </c>
      <c r="E513" s="235">
        <v>0</v>
      </c>
      <c r="F513" s="238">
        <f t="shared" si="59"/>
        <v>187.41435615833618</v>
      </c>
      <c r="G513" s="596">
        <f t="shared" si="58"/>
        <v>64090.373565431917</v>
      </c>
      <c r="H513" s="558">
        <f t="shared" si="60"/>
        <v>2924.2200619567129</v>
      </c>
      <c r="I513" s="434">
        <f t="shared" si="61"/>
        <v>2.9242200619567131E-3</v>
      </c>
    </row>
    <row r="514" spans="1:9">
      <c r="A514" s="113" t="s">
        <v>82</v>
      </c>
      <c r="B514" s="543">
        <f t="shared" si="62"/>
        <v>0.54917244694338418</v>
      </c>
      <c r="C514" s="484">
        <f t="shared" si="62"/>
        <v>1.2699462082631956</v>
      </c>
      <c r="D514" s="484">
        <f t="shared" si="62"/>
        <v>1.1287499999999999</v>
      </c>
      <c r="E514" s="235">
        <v>0</v>
      </c>
      <c r="F514" s="238">
        <f t="shared" si="59"/>
        <v>2.9478686552065794</v>
      </c>
      <c r="G514" s="596">
        <f t="shared" si="58"/>
        <v>64090.373565431917</v>
      </c>
      <c r="H514" s="558">
        <f t="shared" si="60"/>
        <v>45.995498094530625</v>
      </c>
      <c r="I514" s="434">
        <f t="shared" si="61"/>
        <v>4.5995498094530623E-5</v>
      </c>
    </row>
    <row r="515" spans="1:9">
      <c r="A515" s="327" t="s">
        <v>154</v>
      </c>
      <c r="B515" s="543">
        <f>B424</f>
        <v>3325.7179242857146</v>
      </c>
      <c r="C515" s="484">
        <f>C424</f>
        <v>2680.0657265306122</v>
      </c>
      <c r="D515" s="484">
        <f>D424</f>
        <v>1237.25</v>
      </c>
      <c r="E515" s="364">
        <f>$B$437</f>
        <v>3395.9683685866626</v>
      </c>
      <c r="F515" s="238">
        <f t="shared" si="59"/>
        <v>10639.002019402989</v>
      </c>
      <c r="G515" s="596">
        <f t="shared" si="58"/>
        <v>64090.373565431917</v>
      </c>
      <c r="H515" s="597">
        <f t="shared" si="60"/>
        <v>166000.00011766652</v>
      </c>
      <c r="I515" s="585">
        <f t="shared" si="61"/>
        <v>0.16600000011766652</v>
      </c>
    </row>
    <row r="516" spans="1:9">
      <c r="A516" s="401" t="s">
        <v>84</v>
      </c>
      <c r="B516" s="543">
        <f t="shared" ref="B516:D518" si="63">B425</f>
        <v>0.12327524492934416</v>
      </c>
      <c r="C516" s="484">
        <f t="shared" si="63"/>
        <v>1.9229638513545189</v>
      </c>
      <c r="D516" s="484">
        <f t="shared" si="63"/>
        <v>2.0474999999999999</v>
      </c>
      <c r="E516" s="577">
        <v>0</v>
      </c>
      <c r="F516" s="238">
        <f t="shared" si="59"/>
        <v>4.0937390962838629</v>
      </c>
      <c r="G516" s="596">
        <f t="shared" si="58"/>
        <v>64090.373565431917</v>
      </c>
      <c r="H516" s="558">
        <f t="shared" si="60"/>
        <v>63.87447706330552</v>
      </c>
      <c r="I516" s="434">
        <f t="shared" si="61"/>
        <v>6.3874477063305518E-5</v>
      </c>
    </row>
    <row r="517" spans="1:9">
      <c r="A517" s="401" t="s">
        <v>85</v>
      </c>
      <c r="B517" s="543">
        <f t="shared" si="63"/>
        <v>0</v>
      </c>
      <c r="C517" s="484">
        <f t="shared" si="63"/>
        <v>1120.1877551020409</v>
      </c>
      <c r="D517" s="484">
        <f t="shared" si="63"/>
        <v>102.51305555555555</v>
      </c>
      <c r="E517" s="577">
        <v>0</v>
      </c>
      <c r="F517" s="238">
        <f t="shared" si="59"/>
        <v>1222.7008106575965</v>
      </c>
      <c r="G517" s="596">
        <f t="shared" si="58"/>
        <v>64090.373565431917</v>
      </c>
      <c r="H517" s="558">
        <f t="shared" si="60"/>
        <v>19077.760709403607</v>
      </c>
      <c r="I517" s="434">
        <f t="shared" si="61"/>
        <v>1.9077760709403608E-2</v>
      </c>
    </row>
    <row r="518" spans="1:9" ht="14.65" thickBot="1">
      <c r="A518" s="343" t="s">
        <v>86</v>
      </c>
      <c r="B518" s="598">
        <f t="shared" si="63"/>
        <v>0.54177423764159549</v>
      </c>
      <c r="C518" s="599">
        <f t="shared" si="63"/>
        <v>31.3235152471681</v>
      </c>
      <c r="D518" s="599">
        <f t="shared" si="63"/>
        <v>39.549999999999997</v>
      </c>
      <c r="E518" s="379">
        <v>0</v>
      </c>
      <c r="F518" s="600">
        <f t="shared" si="59"/>
        <v>71.415289484809691</v>
      </c>
      <c r="G518" s="601">
        <f t="shared" si="58"/>
        <v>64090.373565431917</v>
      </c>
      <c r="H518" s="559">
        <f t="shared" si="60"/>
        <v>1114.2904232240046</v>
      </c>
      <c r="I518" s="439">
        <f t="shared" si="61"/>
        <v>1.1142904232240047E-3</v>
      </c>
    </row>
    <row r="519" spans="1:9">
      <c r="E519" s="146"/>
      <c r="F519" s="96"/>
      <c r="G519" s="95"/>
      <c r="H519" s="95"/>
    </row>
    <row r="520" spans="1:9">
      <c r="A520" s="1" t="s">
        <v>155</v>
      </c>
      <c r="B520" s="1"/>
      <c r="C520" s="1"/>
      <c r="E520" s="146"/>
      <c r="F520" s="96"/>
      <c r="G520" s="95"/>
      <c r="H520" s="95"/>
    </row>
    <row r="521" spans="1:9" ht="14.65" thickBot="1">
      <c r="A521" s="79" t="s">
        <v>156</v>
      </c>
    </row>
    <row r="522" spans="1:9" ht="14.65" thickBot="1">
      <c r="A522" s="103" t="s">
        <v>53</v>
      </c>
      <c r="B522" s="102" t="s">
        <v>18</v>
      </c>
      <c r="C522" s="17" t="s">
        <v>106</v>
      </c>
    </row>
    <row r="523" spans="1:9" ht="14.65" thickBot="1">
      <c r="A523" s="163" t="s">
        <v>305</v>
      </c>
      <c r="B523" s="290" t="s">
        <v>35</v>
      </c>
      <c r="C523" s="384">
        <f>$C$481</f>
        <v>142423.05236762651</v>
      </c>
    </row>
    <row r="524" spans="1:9">
      <c r="A524" s="78"/>
      <c r="B524" s="685"/>
      <c r="C524" s="686"/>
    </row>
    <row r="525" spans="1:9">
      <c r="A525" s="329" t="s">
        <v>319</v>
      </c>
      <c r="B525" s="685"/>
      <c r="C525" s="686"/>
    </row>
    <row r="527" spans="1:9" ht="14.65" thickBot="1">
      <c r="A527" s="79" t="s">
        <v>292</v>
      </c>
    </row>
    <row r="528" spans="1:9" ht="14.65" thickBot="1">
      <c r="A528" s="191" t="s">
        <v>90</v>
      </c>
      <c r="B528" s="192" t="s">
        <v>18</v>
      </c>
      <c r="C528" s="193" t="s">
        <v>91</v>
      </c>
    </row>
    <row r="529" spans="1:5">
      <c r="A529" s="703" t="s">
        <v>314</v>
      </c>
      <c r="B529" s="692" t="s">
        <v>35</v>
      </c>
      <c r="C529" s="730">
        <f>$C$489</f>
        <v>64090.373565431917</v>
      </c>
    </row>
    <row r="530" spans="1:5">
      <c r="A530" s="232" t="s">
        <v>320</v>
      </c>
      <c r="B530" s="178" t="s">
        <v>237</v>
      </c>
      <c r="C530" s="722">
        <v>0.95</v>
      </c>
    </row>
    <row r="531" spans="1:5">
      <c r="A531" s="720" t="s">
        <v>17</v>
      </c>
      <c r="B531" s="724" t="s">
        <v>35</v>
      </c>
      <c r="C531" s="718">
        <f>C529/C530</f>
        <v>67463.551121507291</v>
      </c>
    </row>
    <row r="532" spans="1:5">
      <c r="A532" s="232" t="s">
        <v>321</v>
      </c>
      <c r="B532" s="178" t="s">
        <v>237</v>
      </c>
      <c r="C532" s="722">
        <f>100%-C530</f>
        <v>5.0000000000000044E-2</v>
      </c>
    </row>
    <row r="533" spans="1:5">
      <c r="A533" s="232" t="s">
        <v>318</v>
      </c>
      <c r="B533" s="178" t="s">
        <v>35</v>
      </c>
      <c r="C533" s="84">
        <f>C531*C532</f>
        <v>3373.1775560753676</v>
      </c>
    </row>
    <row r="534" spans="1:5" ht="14.65" thickBot="1">
      <c r="A534" s="680" t="s">
        <v>16</v>
      </c>
      <c r="B534" s="694" t="s">
        <v>35</v>
      </c>
      <c r="C534" s="671">
        <f>$C$496-C533</f>
        <v>74959.501246119195</v>
      </c>
    </row>
    <row r="536" spans="1:5" ht="14.65" thickBot="1">
      <c r="A536" s="1" t="s">
        <v>235</v>
      </c>
      <c r="B536" s="1"/>
      <c r="C536" s="1"/>
      <c r="D536" s="79"/>
      <c r="E536" s="79"/>
    </row>
    <row r="537" spans="1:5" ht="14.65" thickBot="1">
      <c r="A537" s="512"/>
      <c r="B537" s="249" t="s">
        <v>18</v>
      </c>
      <c r="C537" s="249" t="s">
        <v>234</v>
      </c>
    </row>
    <row r="538" spans="1:5">
      <c r="A538" s="134" t="s">
        <v>392</v>
      </c>
      <c r="B538" s="509" t="s">
        <v>24</v>
      </c>
      <c r="C538" s="248">
        <v>0.38</v>
      </c>
    </row>
    <row r="539" spans="1:5">
      <c r="A539" s="68" t="s">
        <v>314</v>
      </c>
      <c r="B539" s="510" t="s">
        <v>35</v>
      </c>
      <c r="C539" s="244">
        <f>C529</f>
        <v>64090.373565431917</v>
      </c>
    </row>
    <row r="540" spans="1:5">
      <c r="A540" s="68" t="s">
        <v>349</v>
      </c>
      <c r="B540" s="510" t="s">
        <v>35</v>
      </c>
      <c r="C540" s="245">
        <f>C539*C538</f>
        <v>24354.341954864129</v>
      </c>
    </row>
    <row r="541" spans="1:5">
      <c r="A541" s="68" t="s">
        <v>350</v>
      </c>
      <c r="B541" s="510" t="s">
        <v>35</v>
      </c>
      <c r="C541" s="246">
        <f>F507</f>
        <v>9.3716000000000008E-2</v>
      </c>
    </row>
    <row r="542" spans="1:5" ht="14.65" thickBot="1">
      <c r="A542" s="73" t="s">
        <v>351</v>
      </c>
      <c r="B542" s="511" t="s">
        <v>240</v>
      </c>
      <c r="C542" s="931">
        <f>C541/C540*1000000</f>
        <v>3.8480202082110764</v>
      </c>
    </row>
    <row r="543" spans="1:5" ht="14.65" thickBot="1"/>
    <row r="544" spans="1:5" ht="14.65" thickBot="1">
      <c r="A544" s="212"/>
      <c r="B544" s="1087" t="s">
        <v>216</v>
      </c>
      <c r="C544" s="1091" t="s">
        <v>165</v>
      </c>
      <c r="D544" s="1012"/>
    </row>
    <row r="545" spans="1:4">
      <c r="A545" s="487" t="s">
        <v>67</v>
      </c>
      <c r="B545" s="1088"/>
      <c r="C545" s="104" t="s">
        <v>166</v>
      </c>
      <c r="D545" s="15" t="s">
        <v>167</v>
      </c>
    </row>
    <row r="546" spans="1:4" ht="14.65" thickBot="1">
      <c r="A546" s="133" t="s">
        <v>18</v>
      </c>
      <c r="B546" s="609" t="s">
        <v>241</v>
      </c>
      <c r="C546" s="23" t="s">
        <v>70</v>
      </c>
      <c r="D546" s="24" t="s">
        <v>70</v>
      </c>
    </row>
    <row r="547" spans="1:4">
      <c r="A547" s="134" t="s">
        <v>222</v>
      </c>
      <c r="B547" s="681">
        <f>H505</f>
        <v>11.984489956795887</v>
      </c>
      <c r="C547" s="484">
        <f>Rohdaten!$F$12</f>
        <v>40</v>
      </c>
      <c r="D547" s="110">
        <f>Rohdaten!$H$12</f>
        <v>40</v>
      </c>
    </row>
    <row r="548" spans="1:4">
      <c r="A548" s="68" t="s">
        <v>223</v>
      </c>
      <c r="B548" s="929">
        <f>C542</f>
        <v>3.8480202082110764</v>
      </c>
      <c r="C548" s="105" t="str">
        <f>Rohdaten!$F$14</f>
        <v>50mg/kgP2O5</v>
      </c>
      <c r="D548" s="80" t="str">
        <f>Rohdaten!$H$14</f>
        <v>60mg/kgP2O5</v>
      </c>
    </row>
    <row r="549" spans="1:4">
      <c r="A549" s="68" t="s">
        <v>224</v>
      </c>
      <c r="B549" s="606">
        <f>H509</f>
        <v>364.37076377812826</v>
      </c>
      <c r="C549" s="485">
        <f>Rohdaten!$F$16</f>
        <v>900</v>
      </c>
      <c r="D549" s="82">
        <f>Rohdaten!$H$16</f>
        <v>600</v>
      </c>
    </row>
    <row r="550" spans="1:4">
      <c r="A550" s="68" t="s">
        <v>225</v>
      </c>
      <c r="B550" s="606">
        <f>H514</f>
        <v>45.995498094530625</v>
      </c>
      <c r="C550" s="485">
        <f>Rohdaten!$F$21</f>
        <v>80</v>
      </c>
      <c r="D550" s="82">
        <f>Rohdaten!$H$21</f>
        <v>100</v>
      </c>
    </row>
    <row r="551" spans="1:4">
      <c r="A551" s="68" t="s">
        <v>226</v>
      </c>
      <c r="B551" s="607">
        <f>H516</f>
        <v>63.87447706330552</v>
      </c>
      <c r="C551" s="485">
        <f>Rohdaten!$F$23</f>
        <v>150</v>
      </c>
      <c r="D551" s="82">
        <f>Rohdaten!$H$23</f>
        <v>120</v>
      </c>
    </row>
    <row r="552" spans="1:4" ht="14.65" thickBot="1">
      <c r="A552" s="73" t="s">
        <v>227</v>
      </c>
      <c r="B552" s="608">
        <f>H518</f>
        <v>1114.2904232240046</v>
      </c>
      <c r="C552" s="486">
        <f>Rohdaten!$F$25</f>
        <v>5000</v>
      </c>
      <c r="D552" s="237">
        <f>Rohdaten!$H$25</f>
        <v>1500</v>
      </c>
    </row>
  </sheetData>
  <mergeCells count="51">
    <mergeCell ref="B75:F75"/>
    <mergeCell ref="G75:L75"/>
    <mergeCell ref="B76:B77"/>
    <mergeCell ref="C76:C77"/>
    <mergeCell ref="D76:D77"/>
    <mergeCell ref="E76:E77"/>
    <mergeCell ref="F76:F77"/>
    <mergeCell ref="G76:H77"/>
    <mergeCell ref="I76:L76"/>
    <mergeCell ref="B209:C209"/>
    <mergeCell ref="I77:J77"/>
    <mergeCell ref="K77:L77"/>
    <mergeCell ref="B138:D138"/>
    <mergeCell ref="E138:H138"/>
    <mergeCell ref="E139:F139"/>
    <mergeCell ref="G139:H139"/>
    <mergeCell ref="B164:D164"/>
    <mergeCell ref="E164:H164"/>
    <mergeCell ref="E165:F165"/>
    <mergeCell ref="G165:H165"/>
    <mergeCell ref="B208:C208"/>
    <mergeCell ref="E338:H338"/>
    <mergeCell ref="E339:F339"/>
    <mergeCell ref="G339:H339"/>
    <mergeCell ref="H502:I502"/>
    <mergeCell ref="B264:F264"/>
    <mergeCell ref="G264:L264"/>
    <mergeCell ref="B265:B266"/>
    <mergeCell ref="C265:C266"/>
    <mergeCell ref="D265:D266"/>
    <mergeCell ref="E265:E266"/>
    <mergeCell ref="F265:F266"/>
    <mergeCell ref="G265:H266"/>
    <mergeCell ref="I265:L265"/>
    <mergeCell ref="I266:J266"/>
    <mergeCell ref="K266:L266"/>
    <mergeCell ref="B544:B545"/>
    <mergeCell ref="C544:D544"/>
    <mergeCell ref="C34:D34"/>
    <mergeCell ref="E34:I34"/>
    <mergeCell ref="B408:F408"/>
    <mergeCell ref="G408:H408"/>
    <mergeCell ref="G409:H409"/>
    <mergeCell ref="D433:E433"/>
    <mergeCell ref="B501:G501"/>
    <mergeCell ref="H501:I501"/>
    <mergeCell ref="E361:F361"/>
    <mergeCell ref="G361:H361"/>
    <mergeCell ref="B360:D360"/>
    <mergeCell ref="E360:H360"/>
    <mergeCell ref="B338:D338"/>
  </mergeCell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1F9-A54F-4D2C-B145-DF31B0E89F9C}">
  <sheetPr codeName="Tabelle29"/>
  <dimension ref="A1:L666"/>
  <sheetViews>
    <sheetView topLeftCell="A613" zoomScale="60" zoomScaleNormal="60" workbookViewId="0">
      <selection activeCell="D646" sqref="D646"/>
    </sheetView>
  </sheetViews>
  <sheetFormatPr baseColWidth="10" defaultColWidth="8.86328125" defaultRowHeight="14.25"/>
  <cols>
    <col min="1" max="1" width="44.53125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7.6640625" customWidth="1"/>
    <col min="7" max="7" width="31.1328125" customWidth="1"/>
    <col min="8" max="8" width="29" customWidth="1"/>
    <col min="9" max="9" width="26.7304687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599</v>
      </c>
    </row>
    <row r="3" spans="1:4">
      <c r="A3" s="91"/>
      <c r="B3" t="s">
        <v>247</v>
      </c>
    </row>
    <row r="4" spans="1:4">
      <c r="A4" s="853"/>
      <c r="B4" t="s">
        <v>613</v>
      </c>
    </row>
    <row r="6" spans="1:4">
      <c r="A6" s="1" t="s">
        <v>194</v>
      </c>
      <c r="B6" s="13"/>
      <c r="C6" s="13"/>
      <c r="D6" s="13"/>
    </row>
    <row r="7" spans="1:4" ht="14.65" thickBot="1">
      <c r="A7" s="79" t="s">
        <v>358</v>
      </c>
      <c r="B7" s="79"/>
      <c r="C7" s="79"/>
      <c r="D7" s="79"/>
    </row>
    <row r="8" spans="1:4">
      <c r="A8" s="2"/>
      <c r="B8" s="166" t="s">
        <v>614</v>
      </c>
      <c r="C8" s="189" t="s">
        <v>632</v>
      </c>
      <c r="D8" s="190" t="s">
        <v>622</v>
      </c>
    </row>
    <row r="9" spans="1:4" ht="14.65" thickBot="1">
      <c r="A9" s="5"/>
      <c r="B9" s="6" t="s">
        <v>35</v>
      </c>
      <c r="C9" s="7" t="s">
        <v>35</v>
      </c>
      <c r="D9" s="24" t="s">
        <v>35</v>
      </c>
    </row>
    <row r="10" spans="1:4" ht="14.65" thickBot="1">
      <c r="A10" s="513" t="s">
        <v>347</v>
      </c>
      <c r="B10" s="263">
        <v>17500</v>
      </c>
      <c r="C10" s="603">
        <v>7000</v>
      </c>
      <c r="D10" s="604">
        <v>12000</v>
      </c>
    </row>
    <row r="11" spans="1:4">
      <c r="A11" s="79"/>
    </row>
    <row r="12" spans="1:4" ht="14.65" thickBot="1">
      <c r="A12" s="79" t="s">
        <v>359</v>
      </c>
    </row>
    <row r="13" spans="1:4" ht="14.65" thickBot="1">
      <c r="A13" s="164"/>
      <c r="B13" s="192" t="s">
        <v>18</v>
      </c>
      <c r="C13" s="193" t="s">
        <v>48</v>
      </c>
    </row>
    <row r="14" spans="1:4">
      <c r="A14" s="528" t="s">
        <v>49</v>
      </c>
      <c r="B14" s="173" t="s">
        <v>21</v>
      </c>
      <c r="C14" s="518">
        <v>0.14399999999999999</v>
      </c>
    </row>
    <row r="15" spans="1:4">
      <c r="A15" s="415" t="s">
        <v>50</v>
      </c>
      <c r="B15" s="37" t="s">
        <v>22</v>
      </c>
      <c r="C15" s="529">
        <v>0.752</v>
      </c>
    </row>
    <row r="16" spans="1:4">
      <c r="A16" s="415" t="s">
        <v>51</v>
      </c>
      <c r="B16" s="37" t="s">
        <v>19</v>
      </c>
      <c r="C16" s="529">
        <v>2.8340000000000001</v>
      </c>
    </row>
    <row r="17" spans="1:3" ht="14.65" thickBot="1">
      <c r="A17" s="417" t="s">
        <v>23</v>
      </c>
      <c r="B17" s="215" t="s">
        <v>237</v>
      </c>
      <c r="C17" s="416">
        <v>1.8</v>
      </c>
    </row>
    <row r="19" spans="1:3">
      <c r="A19" s="329" t="s">
        <v>470</v>
      </c>
    </row>
    <row r="21" spans="1:3" ht="14.65" thickBot="1">
      <c r="A21" s="79" t="s">
        <v>195</v>
      </c>
    </row>
    <row r="22" spans="1:3" ht="14.65" thickBot="1">
      <c r="A22" s="191" t="s">
        <v>53</v>
      </c>
      <c r="B22" s="192" t="s">
        <v>18</v>
      </c>
      <c r="C22" s="193" t="s">
        <v>54</v>
      </c>
    </row>
    <row r="23" spans="1:3">
      <c r="A23" s="763" t="s">
        <v>627</v>
      </c>
      <c r="B23" s="735" t="s">
        <v>35</v>
      </c>
      <c r="C23" s="736">
        <f>SEF+ISH</f>
        <v>19000</v>
      </c>
    </row>
    <row r="24" spans="1:3">
      <c r="A24" s="68" t="s">
        <v>366</v>
      </c>
      <c r="B24" s="178" t="s">
        <v>35</v>
      </c>
      <c r="C24" s="84">
        <f>C23*WK</f>
        <v>53846</v>
      </c>
    </row>
    <row r="25" spans="1:3">
      <c r="A25" s="68" t="s">
        <v>329</v>
      </c>
      <c r="B25" s="178" t="s">
        <v>35</v>
      </c>
      <c r="C25" s="84">
        <f>C23*SSK</f>
        <v>2736</v>
      </c>
    </row>
    <row r="26" spans="1:3" ht="14.25" customHeight="1">
      <c r="A26" s="68" t="s">
        <v>327</v>
      </c>
      <c r="B26" s="37" t="s">
        <v>237</v>
      </c>
      <c r="C26" s="732">
        <f>C25/(C25+C27)</f>
        <v>7.7837837837837834E-2</v>
      </c>
    </row>
    <row r="27" spans="1:3">
      <c r="A27" s="68" t="s">
        <v>367</v>
      </c>
      <c r="B27" s="178" t="s">
        <v>35</v>
      </c>
      <c r="C27" s="764">
        <f>C24-C31</f>
        <v>32414</v>
      </c>
    </row>
    <row r="28" spans="1:3">
      <c r="A28" s="762" t="s">
        <v>331</v>
      </c>
      <c r="B28" s="724" t="s">
        <v>35</v>
      </c>
      <c r="C28" s="754">
        <f>C25+C27</f>
        <v>35150</v>
      </c>
    </row>
    <row r="29" spans="1:3">
      <c r="A29" s="68" t="s">
        <v>428</v>
      </c>
      <c r="B29" s="178" t="s">
        <v>35</v>
      </c>
      <c r="C29" s="84">
        <f>C23*PSK</f>
        <v>14288</v>
      </c>
    </row>
    <row r="30" spans="1:3">
      <c r="A30" s="68" t="s">
        <v>326</v>
      </c>
      <c r="B30" s="178" t="s">
        <v>237</v>
      </c>
      <c r="C30" s="752">
        <v>0.4</v>
      </c>
    </row>
    <row r="31" spans="1:3" ht="14.25" customHeight="1">
      <c r="A31" s="68" t="s">
        <v>426</v>
      </c>
      <c r="B31" s="178" t="s">
        <v>35</v>
      </c>
      <c r="C31" s="764">
        <f>C29/C30*(1-C30)</f>
        <v>21432</v>
      </c>
    </row>
    <row r="32" spans="1:3" ht="14.65" thickBot="1">
      <c r="A32" s="670" t="s">
        <v>427</v>
      </c>
      <c r="B32" s="694" t="s">
        <v>35</v>
      </c>
      <c r="C32" s="765">
        <f>C29+C31</f>
        <v>35720</v>
      </c>
    </row>
    <row r="33" spans="1:11">
      <c r="A33" s="83"/>
      <c r="B33" s="77"/>
      <c r="C33" s="95"/>
    </row>
    <row r="34" spans="1:11" ht="14.65" thickBot="1">
      <c r="A34" s="183" t="s">
        <v>644</v>
      </c>
    </row>
    <row r="35" spans="1:11" ht="14.65" thickBot="1">
      <c r="A35" s="773"/>
      <c r="B35" s="177"/>
      <c r="C35" s="846"/>
      <c r="D35" s="217"/>
      <c r="E35" s="1019" t="s">
        <v>263</v>
      </c>
      <c r="F35" s="1020"/>
      <c r="G35" s="1074" t="s">
        <v>262</v>
      </c>
      <c r="H35" s="1075"/>
      <c r="I35" s="1075"/>
      <c r="J35" s="1075"/>
      <c r="K35" s="1076"/>
    </row>
    <row r="36" spans="1:11">
      <c r="A36" s="879"/>
      <c r="B36" s="848" t="s">
        <v>453</v>
      </c>
      <c r="C36" s="854" t="s">
        <v>454</v>
      </c>
      <c r="D36" s="867" t="s">
        <v>455</v>
      </c>
      <c r="E36" s="188" t="s">
        <v>622</v>
      </c>
      <c r="F36" s="167" t="s">
        <v>632</v>
      </c>
      <c r="G36" s="617" t="s">
        <v>624</v>
      </c>
      <c r="H36" s="267" t="s">
        <v>632</v>
      </c>
      <c r="I36" s="268" t="s">
        <v>623</v>
      </c>
      <c r="J36" s="266" t="s">
        <v>625</v>
      </c>
      <c r="K36" s="275" t="s">
        <v>634</v>
      </c>
    </row>
    <row r="37" spans="1:11" ht="14.65" thickBot="1">
      <c r="A37" s="220" t="s">
        <v>93</v>
      </c>
      <c r="B37" s="847" t="s">
        <v>24</v>
      </c>
      <c r="C37" s="852" t="s">
        <v>24</v>
      </c>
      <c r="D37" s="871" t="s">
        <v>24</v>
      </c>
      <c r="E37" s="23" t="s">
        <v>71</v>
      </c>
      <c r="F37" s="422" t="s">
        <v>71</v>
      </c>
      <c r="G37" s="403" t="s">
        <v>35</v>
      </c>
      <c r="H37" s="349" t="s">
        <v>35</v>
      </c>
      <c r="I37" s="368" t="s">
        <v>35</v>
      </c>
      <c r="J37" s="153" t="s">
        <v>35</v>
      </c>
      <c r="K37" s="155" t="s">
        <v>35</v>
      </c>
    </row>
    <row r="38" spans="1:11">
      <c r="A38" s="184" t="s">
        <v>72</v>
      </c>
      <c r="B38" s="886">
        <v>0.35466079587700855</v>
      </c>
      <c r="C38" s="865">
        <v>0.9</v>
      </c>
      <c r="D38" s="887">
        <f>B38*C38</f>
        <v>0.31919471628930768</v>
      </c>
      <c r="E38" s="638">
        <v>39002</v>
      </c>
      <c r="F38" s="616">
        <v>101832</v>
      </c>
      <c r="G38" s="227">
        <f t="shared" ref="G38:G52" si="0">$D$10*E38/1000000</f>
        <v>468.024</v>
      </c>
      <c r="H38" s="226">
        <f t="shared" ref="H38:H52" si="1">$C$10*F38/1000000</f>
        <v>712.82399999999996</v>
      </c>
      <c r="I38" s="639">
        <f>G38+H38</f>
        <v>1180.848</v>
      </c>
      <c r="J38" s="459">
        <f>D38*I38</f>
        <v>376.9204423407964</v>
      </c>
      <c r="K38" s="467">
        <f>I38*(1-D38)</f>
        <v>803.92755765920367</v>
      </c>
    </row>
    <row r="39" spans="1:11">
      <c r="A39" s="185" t="s">
        <v>73</v>
      </c>
      <c r="B39" s="881">
        <v>0.50448951725767621</v>
      </c>
      <c r="C39" s="856">
        <v>0.9</v>
      </c>
      <c r="D39" s="882">
        <f t="shared" ref="D39:D52" si="2">B39*C39</f>
        <v>0.45404056553190858</v>
      </c>
      <c r="E39" s="535">
        <v>28.6</v>
      </c>
      <c r="F39" s="357">
        <v>10</v>
      </c>
      <c r="G39" s="229">
        <f t="shared" si="0"/>
        <v>0.34320000000000001</v>
      </c>
      <c r="H39" s="224">
        <f t="shared" si="1"/>
        <v>7.0000000000000007E-2</v>
      </c>
      <c r="I39" s="640">
        <f t="shared" ref="I39:I52" si="3">G39+H39</f>
        <v>0.41320000000000001</v>
      </c>
      <c r="J39" s="461">
        <f t="shared" ref="J39:J52" si="4">D39*I39</f>
        <v>0.18760956167778464</v>
      </c>
      <c r="K39" s="468">
        <f t="shared" ref="K39:K52" si="5">I39*(1-D39)</f>
        <v>0.22559043832221537</v>
      </c>
    </row>
    <row r="40" spans="1:11">
      <c r="A40" s="186" t="s">
        <v>74</v>
      </c>
      <c r="B40" s="881">
        <v>0.23599546857054995</v>
      </c>
      <c r="C40" s="856">
        <v>0.9</v>
      </c>
      <c r="D40" s="882">
        <f t="shared" si="2"/>
        <v>0.21239592171349497</v>
      </c>
      <c r="E40" s="535">
        <v>159000</v>
      </c>
      <c r="F40" s="357">
        <v>111453.2</v>
      </c>
      <c r="G40" s="229">
        <f t="shared" si="0"/>
        <v>1908</v>
      </c>
      <c r="H40" s="224">
        <f t="shared" si="1"/>
        <v>780.17240000000004</v>
      </c>
      <c r="I40" s="640">
        <f t="shared" si="3"/>
        <v>2688.1723999999999</v>
      </c>
      <c r="J40" s="461">
        <f t="shared" si="4"/>
        <v>570.95685462277788</v>
      </c>
      <c r="K40" s="468">
        <f t="shared" si="5"/>
        <v>2117.215545377222</v>
      </c>
    </row>
    <row r="41" spans="1:11">
      <c r="A41" s="186" t="s">
        <v>75</v>
      </c>
      <c r="B41" s="881" t="s">
        <v>89</v>
      </c>
      <c r="C41" s="856">
        <v>0.9</v>
      </c>
      <c r="D41" s="882" t="s">
        <v>89</v>
      </c>
      <c r="E41" s="535">
        <v>3.5</v>
      </c>
      <c r="F41" s="357">
        <v>2</v>
      </c>
      <c r="G41" s="229">
        <f t="shared" si="0"/>
        <v>4.2000000000000003E-2</v>
      </c>
      <c r="H41" s="224">
        <f t="shared" si="1"/>
        <v>1.4E-2</v>
      </c>
      <c r="I41" s="640">
        <f t="shared" si="3"/>
        <v>5.6000000000000001E-2</v>
      </c>
      <c r="J41" s="123" t="s">
        <v>89</v>
      </c>
      <c r="K41" s="72" t="s">
        <v>89</v>
      </c>
    </row>
    <row r="42" spans="1:11">
      <c r="A42" s="186" t="s">
        <v>76</v>
      </c>
      <c r="B42" s="881">
        <v>0.1621584892527064</v>
      </c>
      <c r="C42" s="856">
        <v>0.9</v>
      </c>
      <c r="D42" s="882">
        <f t="shared" si="2"/>
        <v>0.14594264032743576</v>
      </c>
      <c r="E42" s="535">
        <v>136</v>
      </c>
      <c r="F42" s="357">
        <v>53.9</v>
      </c>
      <c r="G42" s="229">
        <f t="shared" si="0"/>
        <v>1.6319999999999999</v>
      </c>
      <c r="H42" s="224">
        <f t="shared" si="1"/>
        <v>0.37730000000000002</v>
      </c>
      <c r="I42" s="640">
        <f t="shared" si="3"/>
        <v>2.0093000000000001</v>
      </c>
      <c r="J42" s="461">
        <f t="shared" si="4"/>
        <v>0.29324254720991666</v>
      </c>
      <c r="K42" s="468">
        <f t="shared" si="5"/>
        <v>1.7160574527900834</v>
      </c>
    </row>
    <row r="43" spans="1:11">
      <c r="A43" s="186" t="s">
        <v>77</v>
      </c>
      <c r="B43" s="881">
        <v>0.24756668082287775</v>
      </c>
      <c r="C43" s="856">
        <v>0.9</v>
      </c>
      <c r="D43" s="882">
        <f t="shared" si="2"/>
        <v>0.22281001274058998</v>
      </c>
      <c r="E43" s="535">
        <v>656</v>
      </c>
      <c r="F43" s="357">
        <v>1099</v>
      </c>
      <c r="G43" s="229">
        <f t="shared" si="0"/>
        <v>7.8719999999999999</v>
      </c>
      <c r="H43" s="224">
        <f t="shared" si="1"/>
        <v>7.6929999999999996</v>
      </c>
      <c r="I43" s="640">
        <f t="shared" si="3"/>
        <v>15.565</v>
      </c>
      <c r="J43" s="461">
        <f t="shared" si="4"/>
        <v>3.4680378483072829</v>
      </c>
      <c r="K43" s="468">
        <f t="shared" si="5"/>
        <v>12.096962151692717</v>
      </c>
    </row>
    <row r="44" spans="1:11">
      <c r="A44" s="186" t="s">
        <v>78</v>
      </c>
      <c r="B44" s="881">
        <v>0.20907175359723923</v>
      </c>
      <c r="C44" s="856">
        <v>0.9</v>
      </c>
      <c r="D44" s="882">
        <f t="shared" si="2"/>
        <v>0.18816457823751531</v>
      </c>
      <c r="E44" s="535">
        <v>87577</v>
      </c>
      <c r="F44" s="357">
        <v>24315</v>
      </c>
      <c r="G44" s="229">
        <f t="shared" si="0"/>
        <v>1050.924</v>
      </c>
      <c r="H44" s="224">
        <f t="shared" si="1"/>
        <v>170.20500000000001</v>
      </c>
      <c r="I44" s="640">
        <f t="shared" si="3"/>
        <v>1221.1289999999999</v>
      </c>
      <c r="J44" s="461">
        <f t="shared" si="4"/>
        <v>229.77322325859882</v>
      </c>
      <c r="K44" s="468">
        <f t="shared" si="5"/>
        <v>991.35577674140109</v>
      </c>
    </row>
    <row r="45" spans="1:11">
      <c r="A45" s="186" t="s">
        <v>79</v>
      </c>
      <c r="B45" s="881">
        <v>0.36314397789298258</v>
      </c>
      <c r="C45" s="856">
        <v>0.9</v>
      </c>
      <c r="D45" s="882">
        <f t="shared" si="2"/>
        <v>0.32682958010368435</v>
      </c>
      <c r="E45" s="535">
        <v>8230</v>
      </c>
      <c r="F45" s="357">
        <v>9848.1</v>
      </c>
      <c r="G45" s="229">
        <f t="shared" si="0"/>
        <v>98.76</v>
      </c>
      <c r="H45" s="224">
        <f t="shared" si="1"/>
        <v>68.936700000000002</v>
      </c>
      <c r="I45" s="640">
        <f t="shared" si="3"/>
        <v>167.69670000000002</v>
      </c>
      <c r="J45" s="461">
        <f t="shared" si="4"/>
        <v>54.808242045773532</v>
      </c>
      <c r="K45" s="468">
        <f t="shared" si="5"/>
        <v>112.8884579542265</v>
      </c>
    </row>
    <row r="46" spans="1:11">
      <c r="A46" s="186" t="s">
        <v>80</v>
      </c>
      <c r="B46" s="881">
        <v>0.43110184372496846</v>
      </c>
      <c r="C46" s="856">
        <v>0.9</v>
      </c>
      <c r="D46" s="882">
        <f t="shared" si="2"/>
        <v>0.3879916593524716</v>
      </c>
      <c r="E46" s="535">
        <v>12900</v>
      </c>
      <c r="F46" s="357">
        <v>12706.1</v>
      </c>
      <c r="G46" s="229">
        <f t="shared" si="0"/>
        <v>154.80000000000001</v>
      </c>
      <c r="H46" s="224">
        <f t="shared" si="1"/>
        <v>88.942700000000002</v>
      </c>
      <c r="I46" s="640">
        <f t="shared" si="3"/>
        <v>243.74270000000001</v>
      </c>
      <c r="J46" s="461">
        <f t="shared" si="4"/>
        <v>94.57013462805169</v>
      </c>
      <c r="K46" s="468">
        <f t="shared" si="5"/>
        <v>149.17256537194834</v>
      </c>
    </row>
    <row r="47" spans="1:11">
      <c r="A47" s="186" t="s">
        <v>81</v>
      </c>
      <c r="B47" s="881">
        <v>0.38317241660064177</v>
      </c>
      <c r="C47" s="856">
        <v>0.9</v>
      </c>
      <c r="D47" s="882">
        <f t="shared" si="2"/>
        <v>0.3448551749405776</v>
      </c>
      <c r="E47" s="535">
        <v>8100</v>
      </c>
      <c r="F47" s="357">
        <v>3346.1</v>
      </c>
      <c r="G47" s="229">
        <f t="shared" si="0"/>
        <v>97.2</v>
      </c>
      <c r="H47" s="224">
        <f t="shared" si="1"/>
        <v>23.422699999999999</v>
      </c>
      <c r="I47" s="640">
        <f t="shared" si="3"/>
        <v>120.62270000000001</v>
      </c>
      <c r="J47" s="461">
        <f t="shared" si="4"/>
        <v>41.59736231030481</v>
      </c>
      <c r="K47" s="468">
        <f t="shared" si="5"/>
        <v>79.025337689695192</v>
      </c>
    </row>
    <row r="48" spans="1:11">
      <c r="A48" s="186" t="s">
        <v>82</v>
      </c>
      <c r="B48" s="881">
        <v>0.30725168652454959</v>
      </c>
      <c r="C48" s="856">
        <v>0.9</v>
      </c>
      <c r="D48" s="882">
        <f t="shared" si="2"/>
        <v>0.27652651787209465</v>
      </c>
      <c r="E48" s="535">
        <v>125</v>
      </c>
      <c r="F48" s="357">
        <v>47.6</v>
      </c>
      <c r="G48" s="229">
        <f t="shared" si="0"/>
        <v>1.5</v>
      </c>
      <c r="H48" s="224">
        <f t="shared" si="1"/>
        <v>0.3332</v>
      </c>
      <c r="I48" s="640">
        <f t="shared" si="3"/>
        <v>1.8331999999999999</v>
      </c>
      <c r="J48" s="461">
        <f t="shared" si="4"/>
        <v>0.50692841256312393</v>
      </c>
      <c r="K48" s="468">
        <f t="shared" si="5"/>
        <v>1.3262715874368762</v>
      </c>
    </row>
    <row r="49" spans="1:11">
      <c r="A49" s="186" t="s">
        <v>83</v>
      </c>
      <c r="B49" s="881" t="s">
        <v>89</v>
      </c>
      <c r="C49" s="856">
        <v>0.9</v>
      </c>
      <c r="D49" s="882" t="s">
        <v>89</v>
      </c>
      <c r="E49" s="535">
        <v>81618</v>
      </c>
      <c r="F49" s="357">
        <v>84567</v>
      </c>
      <c r="G49" s="229">
        <f t="shared" si="0"/>
        <v>979.41600000000005</v>
      </c>
      <c r="H49" s="224">
        <f t="shared" si="1"/>
        <v>591.96900000000005</v>
      </c>
      <c r="I49" s="640">
        <f t="shared" si="3"/>
        <v>1571.3850000000002</v>
      </c>
      <c r="J49" s="123" t="s">
        <v>89</v>
      </c>
      <c r="K49" s="72" t="s">
        <v>89</v>
      </c>
    </row>
    <row r="50" spans="1:11">
      <c r="A50" s="186" t="s">
        <v>84</v>
      </c>
      <c r="B50" s="881">
        <v>6.169422691786923E-2</v>
      </c>
      <c r="C50" s="856">
        <v>0.9</v>
      </c>
      <c r="D50" s="882">
        <f t="shared" si="2"/>
        <v>5.552480422608231E-2</v>
      </c>
      <c r="E50" s="535">
        <v>124</v>
      </c>
      <c r="F50" s="357">
        <v>80.2</v>
      </c>
      <c r="G50" s="229">
        <f t="shared" si="0"/>
        <v>1.488</v>
      </c>
      <c r="H50" s="224">
        <f t="shared" si="1"/>
        <v>0.56140000000000001</v>
      </c>
      <c r="I50" s="640">
        <f t="shared" si="3"/>
        <v>2.0493999999999999</v>
      </c>
      <c r="J50" s="461">
        <f t="shared" si="4"/>
        <v>0.11379253378093308</v>
      </c>
      <c r="K50" s="468">
        <f t="shared" si="5"/>
        <v>1.9356074662190668</v>
      </c>
    </row>
    <row r="51" spans="1:11">
      <c r="A51" s="186" t="s">
        <v>85</v>
      </c>
      <c r="B51" s="881" t="s">
        <v>89</v>
      </c>
      <c r="C51" s="856">
        <v>0.9</v>
      </c>
      <c r="D51" s="882" t="s">
        <v>89</v>
      </c>
      <c r="E51" s="535">
        <v>18900</v>
      </c>
      <c r="F51" s="357">
        <v>3113.7</v>
      </c>
      <c r="G51" s="229">
        <f t="shared" si="0"/>
        <v>226.8</v>
      </c>
      <c r="H51" s="224">
        <f t="shared" si="1"/>
        <v>21.7959</v>
      </c>
      <c r="I51" s="640">
        <f t="shared" si="3"/>
        <v>248.5959</v>
      </c>
      <c r="J51" s="123" t="s">
        <v>89</v>
      </c>
      <c r="K51" s="72" t="s">
        <v>89</v>
      </c>
    </row>
    <row r="52" spans="1:11" ht="14.65" thickBot="1">
      <c r="A52" s="187" t="s">
        <v>86</v>
      </c>
      <c r="B52" s="883">
        <v>0.25701474780786782</v>
      </c>
      <c r="C52" s="857">
        <v>0.9</v>
      </c>
      <c r="D52" s="884">
        <f t="shared" si="2"/>
        <v>0.23131327302708105</v>
      </c>
      <c r="E52" s="536">
        <v>2353</v>
      </c>
      <c r="F52" s="359">
        <v>1989</v>
      </c>
      <c r="G52" s="230">
        <f t="shared" si="0"/>
        <v>28.236000000000001</v>
      </c>
      <c r="H52" s="225">
        <f t="shared" si="1"/>
        <v>13.923</v>
      </c>
      <c r="I52" s="641">
        <f t="shared" si="3"/>
        <v>42.158999999999999</v>
      </c>
      <c r="J52" s="463">
        <f t="shared" si="4"/>
        <v>9.75193627754871</v>
      </c>
      <c r="K52" s="469">
        <f t="shared" si="5"/>
        <v>32.407063722451291</v>
      </c>
    </row>
    <row r="54" spans="1:11" ht="14.65" thickBot="1">
      <c r="A54" s="79" t="s">
        <v>285</v>
      </c>
    </row>
    <row r="55" spans="1:11" ht="14.65" thickBot="1">
      <c r="A55" s="103" t="s">
        <v>90</v>
      </c>
      <c r="B55" s="102" t="s">
        <v>18</v>
      </c>
      <c r="C55" s="17" t="s">
        <v>91</v>
      </c>
    </row>
    <row r="56" spans="1:11">
      <c r="A56" s="272" t="s">
        <v>623</v>
      </c>
      <c r="B56" s="298" t="s">
        <v>35</v>
      </c>
      <c r="C56" s="294">
        <f>C23</f>
        <v>19000</v>
      </c>
    </row>
    <row r="57" spans="1:11">
      <c r="A57" s="815" t="s">
        <v>366</v>
      </c>
      <c r="B57" s="278" t="s">
        <v>35</v>
      </c>
      <c r="C57" s="297">
        <f>C24</f>
        <v>53846</v>
      </c>
    </row>
    <row r="58" spans="1:11">
      <c r="A58" s="257" t="s">
        <v>329</v>
      </c>
      <c r="B58" s="278" t="s">
        <v>35</v>
      </c>
      <c r="C58" s="289">
        <f>C25</f>
        <v>2736</v>
      </c>
    </row>
    <row r="59" spans="1:11">
      <c r="A59" s="257" t="s">
        <v>428</v>
      </c>
      <c r="B59" s="278" t="s">
        <v>35</v>
      </c>
      <c r="C59" s="289">
        <f>C29</f>
        <v>14288</v>
      </c>
    </row>
    <row r="60" spans="1:11" ht="14.65" thickBot="1">
      <c r="A60" s="255" t="s">
        <v>266</v>
      </c>
      <c r="B60" s="271" t="s">
        <v>35</v>
      </c>
      <c r="C60" s="256">
        <f>C56+C57+C58+C59</f>
        <v>89870</v>
      </c>
    </row>
    <row r="62" spans="1:11" ht="14.65" thickBot="1">
      <c r="A62" s="79" t="s">
        <v>278</v>
      </c>
      <c r="B62" s="79"/>
      <c r="C62" s="79"/>
    </row>
    <row r="63" spans="1:11" ht="14.65" thickBot="1">
      <c r="A63" s="103" t="s">
        <v>90</v>
      </c>
      <c r="B63" s="102" t="s">
        <v>18</v>
      </c>
      <c r="C63" s="17" t="s">
        <v>91</v>
      </c>
    </row>
    <row r="64" spans="1:11">
      <c r="A64" s="272" t="s">
        <v>623</v>
      </c>
      <c r="B64" s="298" t="s">
        <v>35</v>
      </c>
      <c r="C64" s="294">
        <f>C23</f>
        <v>19000</v>
      </c>
    </row>
    <row r="65" spans="1:12">
      <c r="A65" s="257" t="s">
        <v>329</v>
      </c>
      <c r="B65" s="278" t="s">
        <v>35</v>
      </c>
      <c r="C65" s="295">
        <f>C25</f>
        <v>2736</v>
      </c>
    </row>
    <row r="66" spans="1:12">
      <c r="A66" s="257" t="s">
        <v>428</v>
      </c>
      <c r="B66" s="278" t="s">
        <v>35</v>
      </c>
      <c r="C66" s="295">
        <f>C29</f>
        <v>14288</v>
      </c>
    </row>
    <row r="67" spans="1:12">
      <c r="A67" s="257" t="s">
        <v>336</v>
      </c>
      <c r="B67" s="278" t="s">
        <v>35</v>
      </c>
      <c r="C67" s="279">
        <f>C64+C65+C66</f>
        <v>36024</v>
      </c>
    </row>
    <row r="68" spans="1:12">
      <c r="A68" s="257" t="s">
        <v>266</v>
      </c>
      <c r="B68" s="278" t="s">
        <v>35</v>
      </c>
      <c r="C68" s="279">
        <f>C60</f>
        <v>89870</v>
      </c>
    </row>
    <row r="69" spans="1:12">
      <c r="A69" s="299" t="s">
        <v>389</v>
      </c>
      <c r="B69" s="260" t="s">
        <v>24</v>
      </c>
      <c r="C69" s="300">
        <f>C67/C68</f>
        <v>0.40084566596194504</v>
      </c>
    </row>
    <row r="70" spans="1:12">
      <c r="A70" s="257" t="s">
        <v>366</v>
      </c>
      <c r="B70" s="278" t="s">
        <v>35</v>
      </c>
      <c r="C70" s="279">
        <f>C24</f>
        <v>53846</v>
      </c>
    </row>
    <row r="71" spans="1:12">
      <c r="A71" s="257" t="s">
        <v>333</v>
      </c>
      <c r="B71" s="278" t="s">
        <v>35</v>
      </c>
      <c r="C71" s="279">
        <f>C70</f>
        <v>53846</v>
      </c>
    </row>
    <row r="72" spans="1:12">
      <c r="A72" s="257" t="s">
        <v>266</v>
      </c>
      <c r="B72" s="278" t="s">
        <v>35</v>
      </c>
      <c r="C72" s="279">
        <f>C60</f>
        <v>89870</v>
      </c>
    </row>
    <row r="73" spans="1:12" ht="14.65" thickBot="1">
      <c r="A73" s="301" t="s">
        <v>321</v>
      </c>
      <c r="B73" s="277" t="s">
        <v>24</v>
      </c>
      <c r="C73" s="303">
        <f>C71/C72</f>
        <v>0.59915433403805496</v>
      </c>
    </row>
    <row r="74" spans="1:12">
      <c r="A74" s="83"/>
      <c r="B74" s="77"/>
      <c r="C74" s="96"/>
    </row>
    <row r="75" spans="1:12" ht="14.65" thickBot="1">
      <c r="A75" s="79" t="s">
        <v>92</v>
      </c>
    </row>
    <row r="76" spans="1:12" ht="14.65" thickBot="1">
      <c r="A76" s="419"/>
      <c r="B76" s="1062" t="s">
        <v>262</v>
      </c>
      <c r="C76" s="1063"/>
      <c r="D76" s="1063"/>
      <c r="E76" s="1063"/>
      <c r="F76" s="1064"/>
      <c r="G76" s="1062" t="s">
        <v>263</v>
      </c>
      <c r="H76" s="1063"/>
      <c r="I76" s="1063"/>
      <c r="J76" s="1063"/>
      <c r="K76" s="1063"/>
      <c r="L76" s="1066"/>
    </row>
    <row r="77" spans="1:12">
      <c r="A77" s="452"/>
      <c r="B77" s="1024" t="s">
        <v>270</v>
      </c>
      <c r="C77" s="1041" t="s">
        <v>243</v>
      </c>
      <c r="D77" s="1041" t="s">
        <v>256</v>
      </c>
      <c r="E77" s="1041" t="s">
        <v>336</v>
      </c>
      <c r="F77" s="1083" t="s">
        <v>266</v>
      </c>
      <c r="G77" s="1022" t="s">
        <v>269</v>
      </c>
      <c r="H77" s="1023"/>
      <c r="I77" s="1085" t="s">
        <v>267</v>
      </c>
      <c r="J77" s="1032"/>
      <c r="K77" s="1032"/>
      <c r="L77" s="1023"/>
    </row>
    <row r="78" spans="1:12">
      <c r="A78" s="219" t="s">
        <v>93</v>
      </c>
      <c r="B78" s="1067"/>
      <c r="C78" s="1042"/>
      <c r="D78" s="1042"/>
      <c r="E78" s="1042"/>
      <c r="F78" s="1084"/>
      <c r="G78" s="1033"/>
      <c r="H78" s="1035"/>
      <c r="I78" s="1086" t="s">
        <v>243</v>
      </c>
      <c r="J78" s="1034"/>
      <c r="K78" s="1034" t="s">
        <v>256</v>
      </c>
      <c r="L78" s="1035"/>
    </row>
    <row r="79" spans="1:12" ht="14.65" thickBot="1">
      <c r="A79" s="220" t="s">
        <v>18</v>
      </c>
      <c r="B79" s="403" t="s">
        <v>35</v>
      </c>
      <c r="C79" s="154" t="s">
        <v>35</v>
      </c>
      <c r="D79" s="154" t="s">
        <v>35</v>
      </c>
      <c r="E79" s="154" t="s">
        <v>35</v>
      </c>
      <c r="F79" s="423" t="s">
        <v>35</v>
      </c>
      <c r="G79" s="403" t="s">
        <v>257</v>
      </c>
      <c r="H79" s="155" t="s">
        <v>237</v>
      </c>
      <c r="I79" s="153" t="s">
        <v>70</v>
      </c>
      <c r="J79" s="154" t="s">
        <v>237</v>
      </c>
      <c r="K79" s="154" t="s">
        <v>70</v>
      </c>
      <c r="L79" s="155" t="s">
        <v>237</v>
      </c>
    </row>
    <row r="80" spans="1:12">
      <c r="A80" s="148" t="s">
        <v>72</v>
      </c>
      <c r="B80" s="540">
        <f>I38</f>
        <v>1180.848</v>
      </c>
      <c r="C80" s="428">
        <f>J38</f>
        <v>376.9204423407964</v>
      </c>
      <c r="D80" s="428">
        <f>K38</f>
        <v>803.92755765920367</v>
      </c>
      <c r="E80" s="428">
        <f>$C$67</f>
        <v>36024</v>
      </c>
      <c r="F80" s="382">
        <f>$C$60</f>
        <v>89870</v>
      </c>
      <c r="G80" s="766">
        <f t="shared" ref="G80:G100" si="6">B80/E80*1000000</f>
        <v>32779.480346435703</v>
      </c>
      <c r="H80" s="433">
        <f>G80/1000000</f>
        <v>3.2779480346435706E-2</v>
      </c>
      <c r="I80" s="551">
        <f t="shared" ref="I80:I100" si="7">C80/F80*1000000</f>
        <v>4194.0630059062687</v>
      </c>
      <c r="J80" s="432">
        <f>I80/1000000</f>
        <v>4.194063005906269E-3</v>
      </c>
      <c r="K80" s="431">
        <f t="shared" ref="K80:K100" si="8">D80/F80*1000000</f>
        <v>8945.4496234472426</v>
      </c>
      <c r="L80" s="433">
        <f>K80/1000000</f>
        <v>8.9454496234472429E-3</v>
      </c>
    </row>
    <row r="81" spans="1:12">
      <c r="A81" s="149" t="s">
        <v>73</v>
      </c>
      <c r="B81" s="541">
        <f>I39</f>
        <v>0.41320000000000001</v>
      </c>
      <c r="C81" s="235">
        <f>J39</f>
        <v>0.18760956167778464</v>
      </c>
      <c r="D81" s="235">
        <f>K39</f>
        <v>0.22559043832221537</v>
      </c>
      <c r="E81" s="235">
        <f t="shared" ref="E81:E100" si="9">$C$67</f>
        <v>36024</v>
      </c>
      <c r="F81" s="82">
        <f t="shared" ref="F81:F100" si="10">$C$60</f>
        <v>89870</v>
      </c>
      <c r="G81" s="767">
        <f t="shared" si="6"/>
        <v>11.470131023761937</v>
      </c>
      <c r="H81" s="434">
        <f t="shared" ref="H81:H100" si="11">G81/1000000</f>
        <v>1.1470131023761938E-5</v>
      </c>
      <c r="I81" s="552">
        <f t="shared" si="7"/>
        <v>2.0875660585043359</v>
      </c>
      <c r="J81" s="427">
        <f t="shared" ref="J81:J100" si="12">I81/1000000</f>
        <v>2.0875660585043357E-6</v>
      </c>
      <c r="K81" s="426">
        <f t="shared" si="8"/>
        <v>2.5101862503862842</v>
      </c>
      <c r="L81" s="434">
        <f t="shared" ref="L81:L100" si="13">K81/1000000</f>
        <v>2.5101862503862843E-6</v>
      </c>
    </row>
    <row r="82" spans="1:12">
      <c r="A82" s="149" t="s">
        <v>74</v>
      </c>
      <c r="B82" s="541">
        <f>I40</f>
        <v>2688.1723999999999</v>
      </c>
      <c r="C82" s="235">
        <f>J40</f>
        <v>570.95685462277788</v>
      </c>
      <c r="D82" s="235">
        <f>K40</f>
        <v>2117.215545377222</v>
      </c>
      <c r="E82" s="235">
        <f t="shared" si="9"/>
        <v>36024</v>
      </c>
      <c r="F82" s="82">
        <f t="shared" si="10"/>
        <v>89870</v>
      </c>
      <c r="G82" s="767">
        <f t="shared" si="6"/>
        <v>74621.707750388625</v>
      </c>
      <c r="H82" s="434">
        <f t="shared" si="11"/>
        <v>7.4621707750388622E-2</v>
      </c>
      <c r="I82" s="552">
        <f t="shared" si="7"/>
        <v>6353.1418117589619</v>
      </c>
      <c r="J82" s="427">
        <f t="shared" si="12"/>
        <v>6.3531418117589618E-3</v>
      </c>
      <c r="K82" s="426">
        <f t="shared" si="8"/>
        <v>23558.646326663202</v>
      </c>
      <c r="L82" s="434">
        <f t="shared" si="13"/>
        <v>2.3558646326663202E-2</v>
      </c>
    </row>
    <row r="83" spans="1:12">
      <c r="A83" s="149" t="s">
        <v>75</v>
      </c>
      <c r="B83" s="541">
        <f>I41</f>
        <v>5.6000000000000001E-2</v>
      </c>
      <c r="C83" s="235" t="s">
        <v>89</v>
      </c>
      <c r="D83" s="235" t="s">
        <v>89</v>
      </c>
      <c r="E83" s="235">
        <f t="shared" si="9"/>
        <v>36024</v>
      </c>
      <c r="F83" s="82">
        <f t="shared" si="10"/>
        <v>89870</v>
      </c>
      <c r="G83" s="767">
        <f t="shared" si="6"/>
        <v>1.5545192094159448</v>
      </c>
      <c r="H83" s="434">
        <f t="shared" si="11"/>
        <v>1.5545192094159449E-6</v>
      </c>
      <c r="I83" s="552" t="s">
        <v>89</v>
      </c>
      <c r="J83" s="427" t="s">
        <v>89</v>
      </c>
      <c r="K83" s="426" t="s">
        <v>89</v>
      </c>
      <c r="L83" s="434" t="s">
        <v>89</v>
      </c>
    </row>
    <row r="84" spans="1:12">
      <c r="A84" s="149" t="s">
        <v>76</v>
      </c>
      <c r="B84" s="541">
        <f>I42</f>
        <v>2.0093000000000001</v>
      </c>
      <c r="C84" s="235">
        <f>J42</f>
        <v>0.29324254720991666</v>
      </c>
      <c r="D84" s="235">
        <f>K42</f>
        <v>1.7160574527900834</v>
      </c>
      <c r="E84" s="235">
        <f t="shared" si="9"/>
        <v>36024</v>
      </c>
      <c r="F84" s="82">
        <f t="shared" si="10"/>
        <v>89870</v>
      </c>
      <c r="G84" s="767">
        <f t="shared" si="6"/>
        <v>55.776704419276037</v>
      </c>
      <c r="H84" s="434">
        <f t="shared" si="11"/>
        <v>5.5776704419276039E-5</v>
      </c>
      <c r="I84" s="552">
        <f t="shared" si="7"/>
        <v>3.2629636943353364</v>
      </c>
      <c r="J84" s="427">
        <f t="shared" si="12"/>
        <v>3.2629636943353363E-6</v>
      </c>
      <c r="K84" s="426">
        <f t="shared" si="8"/>
        <v>19.09488653377193</v>
      </c>
      <c r="L84" s="434">
        <f t="shared" si="13"/>
        <v>1.9094886533771931E-5</v>
      </c>
    </row>
    <row r="85" spans="1:12">
      <c r="A85" s="150" t="s">
        <v>77</v>
      </c>
      <c r="B85" s="541">
        <f>I43</f>
        <v>15.565</v>
      </c>
      <c r="C85" s="235">
        <f>J43</f>
        <v>3.4680378483072829</v>
      </c>
      <c r="D85" s="235">
        <f>K43</f>
        <v>12.096962151692717</v>
      </c>
      <c r="E85" s="235">
        <f t="shared" si="9"/>
        <v>36024</v>
      </c>
      <c r="F85" s="82">
        <f t="shared" si="10"/>
        <v>89870</v>
      </c>
      <c r="G85" s="767">
        <f t="shared" si="6"/>
        <v>432.07306240284254</v>
      </c>
      <c r="H85" s="434">
        <f t="shared" si="11"/>
        <v>4.3207306240284255E-4</v>
      </c>
      <c r="I85" s="552">
        <f t="shared" si="7"/>
        <v>38.589494250665219</v>
      </c>
      <c r="J85" s="427">
        <f t="shared" si="12"/>
        <v>3.8589494250665215E-5</v>
      </c>
      <c r="K85" s="426">
        <f t="shared" si="8"/>
        <v>134.60512019241924</v>
      </c>
      <c r="L85" s="434">
        <f t="shared" si="13"/>
        <v>1.3460512019241924E-4</v>
      </c>
    </row>
    <row r="86" spans="1:12">
      <c r="A86" s="150" t="s">
        <v>78</v>
      </c>
      <c r="B86" s="541">
        <f>I44</f>
        <v>1221.1289999999999</v>
      </c>
      <c r="C86" s="235">
        <f>J44</f>
        <v>229.77322325859882</v>
      </c>
      <c r="D86" s="235">
        <f>K44</f>
        <v>991.35577674140109</v>
      </c>
      <c r="E86" s="235">
        <f t="shared" si="9"/>
        <v>36024</v>
      </c>
      <c r="F86" s="82">
        <f t="shared" si="10"/>
        <v>89870</v>
      </c>
      <c r="G86" s="767">
        <f t="shared" si="6"/>
        <v>33897.651565622917</v>
      </c>
      <c r="H86" s="434">
        <f t="shared" si="11"/>
        <v>3.3897651565622917E-2</v>
      </c>
      <c r="I86" s="552">
        <f t="shared" si="7"/>
        <v>2556.7288667920197</v>
      </c>
      <c r="J86" s="427">
        <f t="shared" si="12"/>
        <v>2.5567288667920195E-3</v>
      </c>
      <c r="K86" s="426">
        <f t="shared" si="8"/>
        <v>11030.997849576066</v>
      </c>
      <c r="L86" s="434">
        <f t="shared" si="13"/>
        <v>1.1030997849576066E-2</v>
      </c>
    </row>
    <row r="87" spans="1:12">
      <c r="A87" s="150" t="s">
        <v>79</v>
      </c>
      <c r="B87" s="541">
        <f>I45</f>
        <v>167.69670000000002</v>
      </c>
      <c r="C87" s="235">
        <f>J45</f>
        <v>54.808242045773532</v>
      </c>
      <c r="D87" s="235">
        <f>K45</f>
        <v>112.8884579542265</v>
      </c>
      <c r="E87" s="235">
        <f t="shared" si="9"/>
        <v>36024</v>
      </c>
      <c r="F87" s="82">
        <f t="shared" si="10"/>
        <v>89870</v>
      </c>
      <c r="G87" s="767">
        <f t="shared" si="6"/>
        <v>4655.1382411725517</v>
      </c>
      <c r="H87" s="434">
        <f t="shared" si="11"/>
        <v>4.6551382411725521E-3</v>
      </c>
      <c r="I87" s="552">
        <f t="shared" si="7"/>
        <v>609.86137805467376</v>
      </c>
      <c r="J87" s="427">
        <f t="shared" si="12"/>
        <v>6.0986137805467378E-4</v>
      </c>
      <c r="K87" s="426">
        <f t="shared" si="8"/>
        <v>1256.1306103730556</v>
      </c>
      <c r="L87" s="434">
        <f t="shared" si="13"/>
        <v>1.2561306103730555E-3</v>
      </c>
    </row>
    <row r="88" spans="1:12">
      <c r="A88" s="150" t="s">
        <v>80</v>
      </c>
      <c r="B88" s="541">
        <f>I46</f>
        <v>243.74270000000001</v>
      </c>
      <c r="C88" s="235">
        <f>J46</f>
        <v>94.57013462805169</v>
      </c>
      <c r="D88" s="235">
        <f>K46</f>
        <v>149.17256537194834</v>
      </c>
      <c r="E88" s="235">
        <f t="shared" si="9"/>
        <v>36024</v>
      </c>
      <c r="F88" s="82">
        <f t="shared" si="10"/>
        <v>89870</v>
      </c>
      <c r="G88" s="767">
        <f t="shared" si="6"/>
        <v>6766.1198090162115</v>
      </c>
      <c r="H88" s="434">
        <f t="shared" si="11"/>
        <v>6.7661198090162118E-3</v>
      </c>
      <c r="I88" s="552">
        <f t="shared" si="7"/>
        <v>1052.299261467138</v>
      </c>
      <c r="J88" s="427">
        <f t="shared" si="12"/>
        <v>1.0522992614671379E-3</v>
      </c>
      <c r="K88" s="426">
        <f t="shared" si="8"/>
        <v>1659.8705393562739</v>
      </c>
      <c r="L88" s="434">
        <f t="shared" si="13"/>
        <v>1.659870539356274E-3</v>
      </c>
    </row>
    <row r="89" spans="1:12">
      <c r="A89" s="150" t="s">
        <v>81</v>
      </c>
      <c r="B89" s="541">
        <f>I47</f>
        <v>120.62270000000001</v>
      </c>
      <c r="C89" s="235">
        <f>J47</f>
        <v>41.59736231030481</v>
      </c>
      <c r="D89" s="235">
        <f>K47</f>
        <v>79.025337689695192</v>
      </c>
      <c r="E89" s="235">
        <f t="shared" si="9"/>
        <v>36024</v>
      </c>
      <c r="F89" s="82">
        <f t="shared" si="10"/>
        <v>89870</v>
      </c>
      <c r="G89" s="767">
        <f t="shared" si="6"/>
        <v>3348.3982900288702</v>
      </c>
      <c r="H89" s="434">
        <f t="shared" si="11"/>
        <v>3.3483982900288701E-3</v>
      </c>
      <c r="I89" s="552">
        <f t="shared" si="7"/>
        <v>462.86149226999896</v>
      </c>
      <c r="J89" s="427">
        <f t="shared" si="12"/>
        <v>4.6286149226999897E-4</v>
      </c>
      <c r="K89" s="426">
        <f t="shared" si="8"/>
        <v>879.3294502024612</v>
      </c>
      <c r="L89" s="434">
        <f t="shared" si="13"/>
        <v>8.7932945020246123E-4</v>
      </c>
    </row>
    <row r="90" spans="1:12">
      <c r="A90" s="150" t="s">
        <v>82</v>
      </c>
      <c r="B90" s="541">
        <f>I48</f>
        <v>1.8331999999999999</v>
      </c>
      <c r="C90" s="235">
        <f>J48</f>
        <v>0.50692841256312393</v>
      </c>
      <c r="D90" s="235">
        <f>K48</f>
        <v>1.3262715874368762</v>
      </c>
      <c r="E90" s="235">
        <f t="shared" si="9"/>
        <v>36024</v>
      </c>
      <c r="F90" s="82">
        <f t="shared" si="10"/>
        <v>89870</v>
      </c>
      <c r="G90" s="767">
        <f t="shared" si="6"/>
        <v>50.88829669109483</v>
      </c>
      <c r="H90" s="434">
        <f t="shared" si="11"/>
        <v>5.0888296691094826E-5</v>
      </c>
      <c r="I90" s="552">
        <f t="shared" si="7"/>
        <v>5.6406855743087121</v>
      </c>
      <c r="J90" s="427">
        <f t="shared" si="12"/>
        <v>5.6406855743087118E-6</v>
      </c>
      <c r="K90" s="426">
        <f t="shared" si="8"/>
        <v>14.75766760250224</v>
      </c>
      <c r="L90" s="434">
        <f t="shared" si="13"/>
        <v>1.4757667602502239E-5</v>
      </c>
    </row>
    <row r="91" spans="1:12">
      <c r="A91" s="150" t="s">
        <v>630</v>
      </c>
      <c r="B91" s="541">
        <f>I49</f>
        <v>1571.3850000000002</v>
      </c>
      <c r="C91" s="235" t="s">
        <v>89</v>
      </c>
      <c r="D91" s="235" t="s">
        <v>89</v>
      </c>
      <c r="E91" s="235">
        <f t="shared" si="9"/>
        <v>36024</v>
      </c>
      <c r="F91" s="82">
        <f t="shared" si="10"/>
        <v>89870</v>
      </c>
      <c r="G91" s="767">
        <f t="shared" si="6"/>
        <v>43620.502998001342</v>
      </c>
      <c r="H91" s="434">
        <f t="shared" si="11"/>
        <v>4.362050299800134E-2</v>
      </c>
      <c r="I91" s="552" t="s">
        <v>89</v>
      </c>
      <c r="J91" s="427" t="s">
        <v>89</v>
      </c>
      <c r="K91" s="426" t="s">
        <v>89</v>
      </c>
      <c r="L91" s="434" t="s">
        <v>89</v>
      </c>
    </row>
    <row r="92" spans="1:12">
      <c r="A92" s="150" t="s">
        <v>96</v>
      </c>
      <c r="B92" s="541">
        <f>$C$29*31/98</f>
        <v>4519.6734693877552</v>
      </c>
      <c r="C92" s="235">
        <f>B92</f>
        <v>4519.6734693877552</v>
      </c>
      <c r="D92" s="235">
        <v>0</v>
      </c>
      <c r="E92" s="235">
        <f t="shared" si="9"/>
        <v>36024</v>
      </c>
      <c r="F92" s="82">
        <f t="shared" si="10"/>
        <v>89870</v>
      </c>
      <c r="G92" s="767">
        <f t="shared" si="6"/>
        <v>125462.84336519417</v>
      </c>
      <c r="H92" s="434">
        <f t="shared" si="11"/>
        <v>0.12546284336519417</v>
      </c>
      <c r="I92" s="552">
        <f t="shared" si="7"/>
        <v>50291.237002200454</v>
      </c>
      <c r="J92" s="427">
        <f t="shared" si="12"/>
        <v>5.0291237002200458E-2</v>
      </c>
      <c r="K92" s="426">
        <f t="shared" si="8"/>
        <v>0</v>
      </c>
      <c r="L92" s="434">
        <f t="shared" si="13"/>
        <v>0</v>
      </c>
    </row>
    <row r="93" spans="1:12">
      <c r="A93" s="150" t="s">
        <v>97</v>
      </c>
      <c r="B93" s="541">
        <f>B91+B92</f>
        <v>6091.0584693877554</v>
      </c>
      <c r="C93" s="235" t="s">
        <v>89</v>
      </c>
      <c r="D93" s="235" t="s">
        <v>89</v>
      </c>
      <c r="E93" s="235">
        <f t="shared" si="9"/>
        <v>36024</v>
      </c>
      <c r="F93" s="82">
        <f t="shared" si="10"/>
        <v>89870</v>
      </c>
      <c r="G93" s="767">
        <f t="shared" si="6"/>
        <v>169083.34636319554</v>
      </c>
      <c r="H93" s="434">
        <f t="shared" si="11"/>
        <v>0.16908334636319552</v>
      </c>
      <c r="I93" s="552" t="s">
        <v>89</v>
      </c>
      <c r="J93" s="427" t="s">
        <v>89</v>
      </c>
      <c r="K93" s="426" t="s">
        <v>89</v>
      </c>
      <c r="L93" s="434" t="s">
        <v>89</v>
      </c>
    </row>
    <row r="94" spans="1:12">
      <c r="A94" s="151" t="s">
        <v>84</v>
      </c>
      <c r="B94" s="541">
        <f>I50</f>
        <v>2.0493999999999999</v>
      </c>
      <c r="C94" s="235">
        <f>J50</f>
        <v>0.11379253378093308</v>
      </c>
      <c r="D94" s="235">
        <f>K50</f>
        <v>1.9356074662190668</v>
      </c>
      <c r="E94" s="235">
        <f t="shared" si="9"/>
        <v>36024</v>
      </c>
      <c r="F94" s="82">
        <f t="shared" si="10"/>
        <v>89870</v>
      </c>
      <c r="G94" s="767">
        <f t="shared" si="6"/>
        <v>56.889851210304236</v>
      </c>
      <c r="H94" s="434">
        <f t="shared" si="11"/>
        <v>5.6889851210304239E-5</v>
      </c>
      <c r="I94" s="552">
        <f t="shared" si="7"/>
        <v>1.2661904281844119</v>
      </c>
      <c r="J94" s="427">
        <f t="shared" si="12"/>
        <v>1.2661904281844118E-6</v>
      </c>
      <c r="K94" s="426">
        <f t="shared" si="8"/>
        <v>21.537859866685956</v>
      </c>
      <c r="L94" s="434">
        <f t="shared" si="13"/>
        <v>2.1537859866685955E-5</v>
      </c>
    </row>
    <row r="95" spans="1:12">
      <c r="A95" s="151" t="s">
        <v>631</v>
      </c>
      <c r="B95" s="541">
        <f>I51</f>
        <v>248.5959</v>
      </c>
      <c r="C95" s="235">
        <v>0</v>
      </c>
      <c r="D95" s="235">
        <f>G51</f>
        <v>226.8</v>
      </c>
      <c r="E95" s="235">
        <f t="shared" si="9"/>
        <v>36024</v>
      </c>
      <c r="F95" s="82">
        <f t="shared" si="10"/>
        <v>89870</v>
      </c>
      <c r="G95" s="767">
        <f t="shared" si="6"/>
        <v>6900.8411059293803</v>
      </c>
      <c r="H95" s="434">
        <f t="shared" si="11"/>
        <v>6.9008411059293803E-3</v>
      </c>
      <c r="I95" s="552">
        <f t="shared" si="7"/>
        <v>0</v>
      </c>
      <c r="J95" s="427">
        <f t="shared" si="12"/>
        <v>0</v>
      </c>
      <c r="K95" s="426">
        <f t="shared" si="8"/>
        <v>2523.6452653833317</v>
      </c>
      <c r="L95" s="434">
        <f t="shared" si="13"/>
        <v>2.5236452653833318E-3</v>
      </c>
    </row>
    <row r="96" spans="1:12">
      <c r="A96" s="151" t="s">
        <v>250</v>
      </c>
      <c r="B96" s="541">
        <f>C25*32/98</f>
        <v>893.38775510204084</v>
      </c>
      <c r="C96" s="235">
        <v>0</v>
      </c>
      <c r="D96" s="235">
        <f>B96</f>
        <v>893.38775510204084</v>
      </c>
      <c r="E96" s="235">
        <f t="shared" si="9"/>
        <v>36024</v>
      </c>
      <c r="F96" s="82">
        <f t="shared" si="10"/>
        <v>89870</v>
      </c>
      <c r="G96" s="767">
        <f t="shared" si="6"/>
        <v>24799.793335055543</v>
      </c>
      <c r="H96" s="434">
        <f t="shared" si="11"/>
        <v>2.4799793335055543E-2</v>
      </c>
      <c r="I96" s="552">
        <f t="shared" si="7"/>
        <v>0</v>
      </c>
      <c r="J96" s="427">
        <f t="shared" si="12"/>
        <v>0</v>
      </c>
      <c r="K96" s="426">
        <f t="shared" si="8"/>
        <v>9940.8896751089433</v>
      </c>
      <c r="L96" s="434">
        <f t="shared" si="13"/>
        <v>9.9408896751089441E-3</v>
      </c>
    </row>
    <row r="97" spans="1:12">
      <c r="A97" s="151" t="s">
        <v>251</v>
      </c>
      <c r="B97" s="541">
        <f>B95+B96</f>
        <v>1141.9836551020408</v>
      </c>
      <c r="C97" s="235">
        <v>0</v>
      </c>
      <c r="D97" s="235">
        <f>D95+D96</f>
        <v>1120.1877551020409</v>
      </c>
      <c r="E97" s="235">
        <f t="shared" si="9"/>
        <v>36024</v>
      </c>
      <c r="F97" s="82">
        <f t="shared" si="10"/>
        <v>89870</v>
      </c>
      <c r="G97" s="767">
        <f t="shared" si="6"/>
        <v>31700.634440984919</v>
      </c>
      <c r="H97" s="434">
        <f t="shared" si="11"/>
        <v>3.1700634440984921E-2</v>
      </c>
      <c r="I97" s="552">
        <f t="shared" si="7"/>
        <v>0</v>
      </c>
      <c r="J97" s="427">
        <f t="shared" si="12"/>
        <v>0</v>
      </c>
      <c r="K97" s="426">
        <f t="shared" si="8"/>
        <v>12464.534940492276</v>
      </c>
      <c r="L97" s="434">
        <f t="shared" si="13"/>
        <v>1.2464534940492277E-2</v>
      </c>
    </row>
    <row r="98" spans="1:12">
      <c r="A98" s="151" t="s">
        <v>238</v>
      </c>
      <c r="B98" s="541">
        <f>B97/32*96</f>
        <v>3425.9509653061223</v>
      </c>
      <c r="C98" s="235">
        <v>0</v>
      </c>
      <c r="D98" s="235">
        <f>D97/32*96</f>
        <v>3360.563265306123</v>
      </c>
      <c r="E98" s="235">
        <f t="shared" si="9"/>
        <v>36024</v>
      </c>
      <c r="F98" s="82">
        <f t="shared" si="10"/>
        <v>89870</v>
      </c>
      <c r="G98" s="767">
        <f t="shared" si="6"/>
        <v>95101.903322954764</v>
      </c>
      <c r="H98" s="434">
        <f t="shared" si="11"/>
        <v>9.5101903322954762E-2</v>
      </c>
      <c r="I98" s="552">
        <f t="shared" si="7"/>
        <v>0</v>
      </c>
      <c r="J98" s="427">
        <f t="shared" si="12"/>
        <v>0</v>
      </c>
      <c r="K98" s="426">
        <f t="shared" si="8"/>
        <v>37393.604821476838</v>
      </c>
      <c r="L98" s="434">
        <f t="shared" si="13"/>
        <v>3.7393604821476835E-2</v>
      </c>
    </row>
    <row r="99" spans="1:12">
      <c r="A99" s="151" t="s">
        <v>239</v>
      </c>
      <c r="B99" s="541">
        <f>B97/32*136</f>
        <v>4853.4305341836734</v>
      </c>
      <c r="C99" s="235">
        <v>0</v>
      </c>
      <c r="D99" s="235">
        <f>D97/32*136</f>
        <v>4760.7979591836738</v>
      </c>
      <c r="E99" s="235">
        <f t="shared" si="9"/>
        <v>36024</v>
      </c>
      <c r="F99" s="82">
        <f t="shared" si="10"/>
        <v>89870</v>
      </c>
      <c r="G99" s="767">
        <f t="shared" si="6"/>
        <v>134727.69637418591</v>
      </c>
      <c r="H99" s="434">
        <f t="shared" si="11"/>
        <v>0.13472769637418591</v>
      </c>
      <c r="I99" s="552">
        <f t="shared" si="7"/>
        <v>0</v>
      </c>
      <c r="J99" s="427">
        <f t="shared" si="12"/>
        <v>0</v>
      </c>
      <c r="K99" s="426">
        <f t="shared" si="8"/>
        <v>52974.273497092174</v>
      </c>
      <c r="L99" s="434">
        <f t="shared" si="13"/>
        <v>5.2974273497092175E-2</v>
      </c>
    </row>
    <row r="100" spans="1:12" ht="14.65" thickBot="1">
      <c r="A100" s="152" t="s">
        <v>86</v>
      </c>
      <c r="B100" s="542">
        <f>I52</f>
        <v>42.158999999999999</v>
      </c>
      <c r="C100" s="236">
        <f>J52</f>
        <v>9.75193627754871</v>
      </c>
      <c r="D100" s="236">
        <f>K52</f>
        <v>32.407063722451291</v>
      </c>
      <c r="E100" s="236">
        <f t="shared" si="9"/>
        <v>36024</v>
      </c>
      <c r="F100" s="237">
        <f t="shared" si="10"/>
        <v>89870</v>
      </c>
      <c r="G100" s="768">
        <f t="shared" si="6"/>
        <v>1170.3031312458361</v>
      </c>
      <c r="H100" s="439">
        <f t="shared" si="11"/>
        <v>1.1703031312458362E-3</v>
      </c>
      <c r="I100" s="552">
        <f t="shared" si="7"/>
        <v>108.5115864865774</v>
      </c>
      <c r="J100" s="427">
        <f t="shared" si="12"/>
        <v>1.0851158648657739E-4</v>
      </c>
      <c r="K100" s="437">
        <f t="shared" si="8"/>
        <v>360.59935153500936</v>
      </c>
      <c r="L100" s="439">
        <f t="shared" si="13"/>
        <v>3.6059935153500935E-4</v>
      </c>
    </row>
    <row r="101" spans="1:12">
      <c r="A101" s="145"/>
      <c r="B101" s="146"/>
      <c r="C101" s="95"/>
    </row>
    <row r="102" spans="1:12">
      <c r="A102" s="1" t="s">
        <v>196</v>
      </c>
      <c r="B102" s="1"/>
      <c r="C102" s="1"/>
    </row>
    <row r="103" spans="1:12" ht="14.65" thickBot="1">
      <c r="A103" s="816" t="s">
        <v>444</v>
      </c>
    </row>
    <row r="104" spans="1:12" ht="14.65" thickBot="1">
      <c r="A104" s="918" t="s">
        <v>444</v>
      </c>
      <c r="B104" s="101" t="s">
        <v>237</v>
      </c>
      <c r="C104" s="914">
        <f>'P-Ex(Sze.1 SEFoV mit F HS)'!C274</f>
        <v>1.2790628421965582E-2</v>
      </c>
    </row>
    <row r="106" spans="1:12" ht="14.65" thickBot="1">
      <c r="A106" s="816" t="s">
        <v>466</v>
      </c>
    </row>
    <row r="107" spans="1:12" ht="14.65" thickBot="1">
      <c r="A107" s="453" t="s">
        <v>26</v>
      </c>
      <c r="B107" s="454" t="s">
        <v>27</v>
      </c>
      <c r="C107" s="455" t="s">
        <v>28</v>
      </c>
    </row>
    <row r="108" spans="1:12" ht="14.65" thickBot="1">
      <c r="A108" s="456">
        <v>0.54110338189613694</v>
      </c>
      <c r="B108" s="457">
        <v>0.45889661810386317</v>
      </c>
      <c r="C108" s="458">
        <v>0.63600000000000001</v>
      </c>
    </row>
    <row r="110" spans="1:12" ht="14.65" thickBot="1">
      <c r="A110" s="329" t="s">
        <v>647</v>
      </c>
    </row>
    <row r="111" spans="1:12" ht="14.65" thickBot="1">
      <c r="A111" s="913" t="s">
        <v>647</v>
      </c>
      <c r="B111" s="516" t="s">
        <v>237</v>
      </c>
      <c r="C111" s="914">
        <v>1.0435000000000001</v>
      </c>
    </row>
    <row r="113" spans="1:3" ht="14.65" thickBot="1">
      <c r="A113" s="823" t="s">
        <v>577</v>
      </c>
      <c r="B113" s="824"/>
      <c r="C113" s="824"/>
    </row>
    <row r="114" spans="1:3" ht="14.65" thickBot="1">
      <c r="A114" s="891" t="s">
        <v>578</v>
      </c>
      <c r="B114" s="892" t="s">
        <v>579</v>
      </c>
      <c r="C114" s="915" t="s">
        <v>580</v>
      </c>
    </row>
    <row r="115" spans="1:3" ht="14.65" thickBot="1">
      <c r="A115" s="893">
        <f>C170</f>
        <v>0.56023323612471188</v>
      </c>
      <c r="B115" s="894">
        <f>C172</f>
        <v>0.43976676387528807</v>
      </c>
      <c r="C115" s="916">
        <f>TSFE*C111</f>
        <v>0.66366600000000009</v>
      </c>
    </row>
    <row r="117" spans="1:3" ht="14.65" thickBot="1">
      <c r="A117" s="79" t="s">
        <v>127</v>
      </c>
    </row>
    <row r="118" spans="1:3">
      <c r="A118" s="18" t="s">
        <v>53</v>
      </c>
      <c r="B118" s="104" t="s">
        <v>18</v>
      </c>
      <c r="C118" s="15" t="s">
        <v>106</v>
      </c>
    </row>
    <row r="119" spans="1:3" ht="14.65" thickBot="1">
      <c r="A119" s="93" t="s">
        <v>4</v>
      </c>
      <c r="B119" s="271" t="s">
        <v>35</v>
      </c>
      <c r="C119" s="384">
        <f>$C$60</f>
        <v>89870</v>
      </c>
    </row>
    <row r="120" spans="1:3" hidden="1">
      <c r="A120" s="83"/>
      <c r="B120" s="77"/>
      <c r="C120" s="95"/>
    </row>
    <row r="121" spans="1:3" hidden="1">
      <c r="A121" s="79" t="s">
        <v>56</v>
      </c>
      <c r="B121" s="79"/>
      <c r="C121" s="79"/>
    </row>
    <row r="122" spans="1:3" ht="14.65" hidden="1" thickBot="1">
      <c r="A122" s="103" t="s">
        <v>53</v>
      </c>
      <c r="B122" s="102" t="s">
        <v>18</v>
      </c>
      <c r="C122" s="17" t="s">
        <v>91</v>
      </c>
    </row>
    <row r="123" spans="1:3" hidden="1">
      <c r="A123" s="272" t="s">
        <v>627</v>
      </c>
      <c r="B123" s="298" t="s">
        <v>35</v>
      </c>
      <c r="C123" s="294">
        <f>$C$23</f>
        <v>19000</v>
      </c>
    </row>
    <row r="124" spans="1:3" hidden="1">
      <c r="A124" s="257" t="s">
        <v>87</v>
      </c>
      <c r="B124" s="278" t="s">
        <v>35</v>
      </c>
      <c r="C124" s="295">
        <f>SUM($J$38:$J$52)</f>
        <v>1382.947806387391</v>
      </c>
    </row>
    <row r="125" spans="1:3" hidden="1">
      <c r="A125" s="257" t="s">
        <v>57</v>
      </c>
      <c r="B125" s="278" t="s">
        <v>35</v>
      </c>
      <c r="C125" s="279">
        <f>C123-C124</f>
        <v>17617.05219361261</v>
      </c>
    </row>
    <row r="126" spans="1:3" hidden="1">
      <c r="A126" s="257" t="s">
        <v>4</v>
      </c>
      <c r="B126" s="278" t="s">
        <v>35</v>
      </c>
      <c r="C126" s="279">
        <f>$C$60</f>
        <v>89870</v>
      </c>
    </row>
    <row r="127" spans="1:3" hidden="1">
      <c r="A127" s="299" t="s">
        <v>59</v>
      </c>
      <c r="B127" s="260" t="s">
        <v>24</v>
      </c>
      <c r="C127" s="300">
        <f>C125/C126</f>
        <v>0.19602817618351631</v>
      </c>
    </row>
    <row r="128" spans="1:3" hidden="1">
      <c r="A128" s="257" t="s">
        <v>628</v>
      </c>
      <c r="B128" s="278" t="s">
        <v>35</v>
      </c>
      <c r="C128" s="279">
        <f>$C$24</f>
        <v>53846</v>
      </c>
    </row>
    <row r="129" spans="1:3" hidden="1">
      <c r="A129" s="257" t="s">
        <v>32</v>
      </c>
      <c r="B129" s="278" t="s">
        <v>35</v>
      </c>
      <c r="C129" s="295">
        <f>$C$25</f>
        <v>2736</v>
      </c>
    </row>
    <row r="130" spans="1:3" hidden="1">
      <c r="A130" s="257" t="s">
        <v>629</v>
      </c>
      <c r="B130" s="278" t="s">
        <v>35</v>
      </c>
      <c r="C130" s="295">
        <f>$C$29</f>
        <v>14288</v>
      </c>
    </row>
    <row r="131" spans="1:3" hidden="1">
      <c r="A131" s="257" t="s">
        <v>87</v>
      </c>
      <c r="B131" s="278" t="s">
        <v>35</v>
      </c>
      <c r="C131" s="295">
        <f>SUM($J$38:$J$52)</f>
        <v>1382.947806387391</v>
      </c>
    </row>
    <row r="132" spans="1:3" hidden="1">
      <c r="A132" s="257" t="s">
        <v>60</v>
      </c>
      <c r="B132" s="278" t="s">
        <v>35</v>
      </c>
      <c r="C132" s="279">
        <f>SUM(C128:C131)</f>
        <v>72252.947806387398</v>
      </c>
    </row>
    <row r="133" spans="1:3" hidden="1">
      <c r="A133" s="257" t="s">
        <v>4</v>
      </c>
      <c r="B133" s="278" t="s">
        <v>35</v>
      </c>
      <c r="C133" s="279">
        <f>$C$60</f>
        <v>89870</v>
      </c>
    </row>
    <row r="134" spans="1:3" ht="14.65" hidden="1" thickBot="1">
      <c r="A134" s="301" t="s">
        <v>61</v>
      </c>
      <c r="B134" s="277" t="s">
        <v>24</v>
      </c>
      <c r="C134" s="303">
        <f>C132/C133</f>
        <v>0.8039718238164838</v>
      </c>
    </row>
    <row r="135" spans="1:3" hidden="1"/>
    <row r="136" spans="1:3" hidden="1">
      <c r="A136" s="79" t="s">
        <v>47</v>
      </c>
      <c r="B136" s="79"/>
      <c r="C136" s="79"/>
    </row>
    <row r="137" spans="1:3" ht="14.65" hidden="1" thickBot="1">
      <c r="A137" s="103" t="s">
        <v>53</v>
      </c>
      <c r="B137" s="102" t="s">
        <v>18</v>
      </c>
      <c r="C137" s="17" t="s">
        <v>91</v>
      </c>
    </row>
    <row r="138" spans="1:3" hidden="1">
      <c r="A138" s="272" t="s">
        <v>627</v>
      </c>
      <c r="B138" s="298" t="s">
        <v>35</v>
      </c>
      <c r="C138" s="294">
        <f>$C$23</f>
        <v>19000</v>
      </c>
    </row>
    <row r="139" spans="1:3" hidden="1">
      <c r="A139" s="257" t="s">
        <v>32</v>
      </c>
      <c r="B139" s="278" t="s">
        <v>35</v>
      </c>
      <c r="C139" s="295">
        <f>$C$25</f>
        <v>2736</v>
      </c>
    </row>
    <row r="140" spans="1:3" hidden="1">
      <c r="A140" s="257" t="s">
        <v>629</v>
      </c>
      <c r="B140" s="278" t="s">
        <v>35</v>
      </c>
      <c r="C140" s="295">
        <f>$C$29</f>
        <v>14288</v>
      </c>
    </row>
    <row r="141" spans="1:3" hidden="1">
      <c r="A141" s="257" t="s">
        <v>430</v>
      </c>
      <c r="B141" s="278" t="s">
        <v>35</v>
      </c>
      <c r="C141" s="279">
        <f>C138+C139+C140</f>
        <v>36024</v>
      </c>
    </row>
    <row r="142" spans="1:3" hidden="1">
      <c r="A142" s="257" t="s">
        <v>4</v>
      </c>
      <c r="B142" s="278" t="s">
        <v>35</v>
      </c>
      <c r="C142" s="279">
        <f>$C$60</f>
        <v>89870</v>
      </c>
    </row>
    <row r="143" spans="1:3" hidden="1">
      <c r="A143" s="299" t="s">
        <v>64</v>
      </c>
      <c r="B143" s="260" t="s">
        <v>24</v>
      </c>
      <c r="C143" s="300">
        <f>C141/C142</f>
        <v>0.40084566596194504</v>
      </c>
    </row>
    <row r="144" spans="1:3" hidden="1">
      <c r="A144" s="257" t="s">
        <v>628</v>
      </c>
      <c r="B144" s="278" t="s">
        <v>35</v>
      </c>
      <c r="C144" s="279">
        <f>$C$24</f>
        <v>53846</v>
      </c>
    </row>
    <row r="145" spans="1:3" hidden="1">
      <c r="A145" s="257" t="s">
        <v>65</v>
      </c>
      <c r="B145" s="278" t="s">
        <v>35</v>
      </c>
      <c r="C145" s="279">
        <f>C144</f>
        <v>53846</v>
      </c>
    </row>
    <row r="146" spans="1:3" hidden="1">
      <c r="A146" s="257" t="s">
        <v>4</v>
      </c>
      <c r="B146" s="278" t="s">
        <v>35</v>
      </c>
      <c r="C146" s="279">
        <f>$C$60</f>
        <v>89870</v>
      </c>
    </row>
    <row r="147" spans="1:3" ht="14.65" hidden="1" thickBot="1">
      <c r="A147" s="301" t="s">
        <v>66</v>
      </c>
      <c r="B147" s="277" t="s">
        <v>24</v>
      </c>
      <c r="C147" s="303">
        <f>C145/C146</f>
        <v>0.59915433403805496</v>
      </c>
    </row>
    <row r="148" spans="1:3">
      <c r="A148" s="83"/>
      <c r="B148" s="77"/>
      <c r="C148" s="96"/>
    </row>
    <row r="149" spans="1:3" ht="14.65" thickBot="1">
      <c r="A149" s="79" t="s">
        <v>129</v>
      </c>
    </row>
    <row r="150" spans="1:3" ht="14.65" thickBot="1">
      <c r="A150" s="191" t="s">
        <v>90</v>
      </c>
      <c r="B150" s="192" t="s">
        <v>18</v>
      </c>
      <c r="C150" s="193" t="s">
        <v>91</v>
      </c>
    </row>
    <row r="151" spans="1:3">
      <c r="A151" s="272" t="s">
        <v>4</v>
      </c>
      <c r="B151" s="298" t="s">
        <v>35</v>
      </c>
      <c r="C151" s="730">
        <f>$C$60</f>
        <v>89870</v>
      </c>
    </row>
    <row r="152" spans="1:3">
      <c r="A152" s="655" t="s">
        <v>444</v>
      </c>
      <c r="B152" s="831" t="s">
        <v>237</v>
      </c>
      <c r="C152" s="476">
        <f>C104</f>
        <v>1.2790628421965582E-2</v>
      </c>
    </row>
    <row r="153" spans="1:3">
      <c r="A153" s="655" t="s">
        <v>443</v>
      </c>
      <c r="B153" s="831" t="s">
        <v>35</v>
      </c>
      <c r="C153" s="84">
        <f>C151*C152</f>
        <v>1149.4937762820468</v>
      </c>
    </row>
    <row r="154" spans="1:3">
      <c r="A154" s="655" t="s">
        <v>445</v>
      </c>
      <c r="B154" s="831" t="s">
        <v>35</v>
      </c>
      <c r="C154" s="84">
        <f>C151-C153</f>
        <v>88720.506223717952</v>
      </c>
    </row>
    <row r="155" spans="1:3">
      <c r="A155" s="257" t="s">
        <v>461</v>
      </c>
      <c r="B155" s="278" t="s">
        <v>24</v>
      </c>
      <c r="C155" s="221">
        <f>A108</f>
        <v>0.54110338189613694</v>
      </c>
    </row>
    <row r="156" spans="1:3">
      <c r="A156" s="92" t="s">
        <v>9</v>
      </c>
      <c r="B156" s="270" t="s">
        <v>35</v>
      </c>
      <c r="C156" s="383">
        <f>C154*C155</f>
        <v>48006.965961191047</v>
      </c>
    </row>
    <row r="157" spans="1:3">
      <c r="A157" s="815" t="s">
        <v>462</v>
      </c>
      <c r="B157" s="278" t="s">
        <v>24</v>
      </c>
      <c r="C157" s="221">
        <f>B108</f>
        <v>0.45889661810386317</v>
      </c>
    </row>
    <row r="158" spans="1:3">
      <c r="A158" s="92" t="s">
        <v>190</v>
      </c>
      <c r="B158" s="270" t="s">
        <v>35</v>
      </c>
      <c r="C158" s="901">
        <f>C154*C157</f>
        <v>40713.540262526913</v>
      </c>
    </row>
    <row r="159" spans="1:3">
      <c r="A159" s="281" t="s">
        <v>463</v>
      </c>
      <c r="B159" s="278" t="s">
        <v>24</v>
      </c>
      <c r="C159" s="100">
        <f>C108</f>
        <v>0.63600000000000001</v>
      </c>
    </row>
    <row r="160" spans="1:3">
      <c r="A160" s="281" t="s">
        <v>375</v>
      </c>
      <c r="B160" s="278" t="s">
        <v>35</v>
      </c>
      <c r="C160" s="86">
        <f>C158*C159</f>
        <v>25893.811606967116</v>
      </c>
    </row>
    <row r="161" spans="1:3">
      <c r="A161" s="281" t="s">
        <v>369</v>
      </c>
      <c r="B161" s="278" t="s">
        <v>24</v>
      </c>
      <c r="C161" s="100">
        <f>1-C159</f>
        <v>0.36399999999999999</v>
      </c>
    </row>
    <row r="162" spans="1:3" ht="14.65" thickBot="1">
      <c r="A162" s="319" t="s">
        <v>370</v>
      </c>
      <c r="B162" s="320" t="s">
        <v>35</v>
      </c>
      <c r="C162" s="321">
        <f>C158*C161</f>
        <v>14819.728655559797</v>
      </c>
    </row>
    <row r="163" spans="1:3">
      <c r="A163" s="77"/>
      <c r="B163" s="77"/>
      <c r="C163" s="117"/>
    </row>
    <row r="164" spans="1:3" ht="14.65" thickBot="1">
      <c r="A164" s="79" t="s">
        <v>465</v>
      </c>
    </row>
    <row r="165" spans="1:3" ht="14.65" thickBot="1">
      <c r="A165" s="191" t="s">
        <v>90</v>
      </c>
      <c r="B165" s="192" t="s">
        <v>18</v>
      </c>
      <c r="C165" s="193" t="s">
        <v>91</v>
      </c>
    </row>
    <row r="166" spans="1:3">
      <c r="A166" s="272" t="s">
        <v>4</v>
      </c>
      <c r="B166" s="298" t="s">
        <v>35</v>
      </c>
      <c r="C166" s="313">
        <f>$C$60</f>
        <v>89870</v>
      </c>
    </row>
    <row r="167" spans="1:3">
      <c r="A167" s="655" t="s">
        <v>444</v>
      </c>
      <c r="B167" s="831" t="s">
        <v>237</v>
      </c>
      <c r="C167" s="873">
        <f>C104</f>
        <v>1.2790628421965582E-2</v>
      </c>
    </row>
    <row r="168" spans="1:3">
      <c r="A168" s="655" t="s">
        <v>443</v>
      </c>
      <c r="B168" s="831" t="s">
        <v>35</v>
      </c>
      <c r="C168" s="279">
        <f>C166*C167</f>
        <v>1149.4937762820468</v>
      </c>
    </row>
    <row r="169" spans="1:3">
      <c r="A169" s="655" t="s">
        <v>445</v>
      </c>
      <c r="B169" s="831" t="s">
        <v>35</v>
      </c>
      <c r="C169" s="279">
        <f>C166-C168</f>
        <v>88720.506223717952</v>
      </c>
    </row>
    <row r="170" spans="1:3">
      <c r="A170" s="257" t="s">
        <v>578</v>
      </c>
      <c r="B170" s="278" t="s">
        <v>24</v>
      </c>
      <c r="C170" s="314">
        <f>C171/C169</f>
        <v>0.56023323612471188</v>
      </c>
    </row>
    <row r="171" spans="1:3">
      <c r="A171" s="253" t="s">
        <v>9</v>
      </c>
      <c r="B171" s="270" t="s">
        <v>35</v>
      </c>
      <c r="C171" s="254">
        <f>C169-C173</f>
        <v>49704.176312336152</v>
      </c>
    </row>
    <row r="172" spans="1:3">
      <c r="A172" s="257" t="s">
        <v>579</v>
      </c>
      <c r="B172" s="278" t="s">
        <v>24</v>
      </c>
      <c r="C172" s="314">
        <f>C173/C169</f>
        <v>0.43976676387528807</v>
      </c>
    </row>
    <row r="173" spans="1:3">
      <c r="A173" s="253" t="s">
        <v>190</v>
      </c>
      <c r="B173" s="270" t="s">
        <v>35</v>
      </c>
      <c r="C173" s="322">
        <f>C175/C174</f>
        <v>39016.329911381799</v>
      </c>
    </row>
    <row r="174" spans="1:3">
      <c r="A174" s="281" t="s">
        <v>580</v>
      </c>
      <c r="B174" s="278" t="s">
        <v>24</v>
      </c>
      <c r="C174" s="318">
        <f>C115</f>
        <v>0.66366600000000009</v>
      </c>
    </row>
    <row r="175" spans="1:3">
      <c r="A175" s="281" t="s">
        <v>375</v>
      </c>
      <c r="B175" s="278" t="s">
        <v>35</v>
      </c>
      <c r="C175" s="289">
        <f>C160</f>
        <v>25893.811606967116</v>
      </c>
    </row>
    <row r="176" spans="1:3">
      <c r="A176" s="281" t="s">
        <v>369</v>
      </c>
      <c r="B176" s="278" t="s">
        <v>24</v>
      </c>
      <c r="C176" s="318">
        <f>1-C174</f>
        <v>0.33633399999999991</v>
      </c>
    </row>
    <row r="177" spans="1:3" ht="14.65" thickBot="1">
      <c r="A177" s="319" t="s">
        <v>370</v>
      </c>
      <c r="B177" s="320" t="s">
        <v>35</v>
      </c>
      <c r="C177" s="321">
        <f>C173*C176</f>
        <v>13122.518304414683</v>
      </c>
    </row>
    <row r="178" spans="1:3">
      <c r="A178" s="77"/>
      <c r="B178" s="77"/>
      <c r="C178" s="117"/>
    </row>
    <row r="179" spans="1:3" ht="14.65" thickBot="1">
      <c r="A179" s="79" t="s">
        <v>133</v>
      </c>
      <c r="B179" s="79"/>
      <c r="C179" s="79"/>
    </row>
    <row r="180" spans="1:3" ht="14.65" thickBot="1">
      <c r="A180" s="103" t="s">
        <v>90</v>
      </c>
      <c r="B180" s="102" t="s">
        <v>18</v>
      </c>
      <c r="C180" s="17" t="s">
        <v>106</v>
      </c>
    </row>
    <row r="181" spans="1:3">
      <c r="A181" s="276" t="s">
        <v>623</v>
      </c>
      <c r="B181" s="296" t="s">
        <v>35</v>
      </c>
      <c r="C181" s="297">
        <f>$C$23</f>
        <v>19000</v>
      </c>
    </row>
    <row r="182" spans="1:3">
      <c r="A182" s="257" t="s">
        <v>329</v>
      </c>
      <c r="B182" s="278" t="s">
        <v>35</v>
      </c>
      <c r="C182" s="295">
        <f>$C$25</f>
        <v>2736</v>
      </c>
    </row>
    <row r="183" spans="1:3">
      <c r="A183" s="257" t="s">
        <v>428</v>
      </c>
      <c r="B183" s="278" t="s">
        <v>35</v>
      </c>
      <c r="C183" s="295">
        <f>$C$29</f>
        <v>14288</v>
      </c>
    </row>
    <row r="184" spans="1:3">
      <c r="A184" s="281" t="s">
        <v>375</v>
      </c>
      <c r="B184" s="278" t="s">
        <v>35</v>
      </c>
      <c r="C184" s="289">
        <f>C175</f>
        <v>25893.811606967116</v>
      </c>
    </row>
    <row r="185" spans="1:3">
      <c r="A185" s="281" t="s">
        <v>448</v>
      </c>
      <c r="B185" s="278" t="s">
        <v>237</v>
      </c>
      <c r="C185" s="840">
        <f>C115</f>
        <v>0.66366600000000009</v>
      </c>
    </row>
    <row r="186" spans="1:3">
      <c r="A186" s="281" t="s">
        <v>446</v>
      </c>
      <c r="B186" s="278" t="s">
        <v>35</v>
      </c>
      <c r="C186" s="289">
        <f>C153*C185</f>
        <v>762.87993653000103</v>
      </c>
    </row>
    <row r="187" spans="1:3">
      <c r="A187" s="257" t="s">
        <v>341</v>
      </c>
      <c r="B187" s="278" t="s">
        <v>35</v>
      </c>
      <c r="C187" s="279">
        <f>C181+C182+C183-C184-C186</f>
        <v>9367.3084565028839</v>
      </c>
    </row>
    <row r="188" spans="1:3">
      <c r="A188" s="257" t="s">
        <v>387</v>
      </c>
      <c r="B188" s="278" t="s">
        <v>35</v>
      </c>
      <c r="C188" s="279">
        <f>C171</f>
        <v>49704.176312336152</v>
      </c>
    </row>
    <row r="189" spans="1:3">
      <c r="A189" s="299" t="s">
        <v>389</v>
      </c>
      <c r="B189" s="260" t="s">
        <v>24</v>
      </c>
      <c r="C189" s="300">
        <f>C187/C188</f>
        <v>0.18846119484285664</v>
      </c>
    </row>
    <row r="190" spans="1:3">
      <c r="A190" s="257" t="s">
        <v>366</v>
      </c>
      <c r="B190" s="278" t="s">
        <v>35</v>
      </c>
      <c r="C190" s="279">
        <f>$C$24</f>
        <v>53846</v>
      </c>
    </row>
    <row r="191" spans="1:3">
      <c r="A191" s="281" t="s">
        <v>370</v>
      </c>
      <c r="B191" s="278" t="s">
        <v>35</v>
      </c>
      <c r="C191" s="289">
        <f>C177</f>
        <v>13122.518304414683</v>
      </c>
    </row>
    <row r="192" spans="1:3">
      <c r="A192" s="281" t="s">
        <v>449</v>
      </c>
      <c r="B192" s="278" t="s">
        <v>237</v>
      </c>
      <c r="C192" s="840">
        <f>1-C185</f>
        <v>0.33633399999999991</v>
      </c>
    </row>
    <row r="193" spans="1:8">
      <c r="A193" s="281" t="s">
        <v>447</v>
      </c>
      <c r="B193" s="278" t="s">
        <v>35</v>
      </c>
      <c r="C193" s="289">
        <f>C153*C192</f>
        <v>386.61383975204586</v>
      </c>
    </row>
    <row r="194" spans="1:8">
      <c r="A194" s="257" t="s">
        <v>342</v>
      </c>
      <c r="B194" s="278" t="s">
        <v>35</v>
      </c>
      <c r="C194" s="279">
        <f>C190-C191-C193</f>
        <v>40336.867855833269</v>
      </c>
    </row>
    <row r="195" spans="1:8">
      <c r="A195" s="257" t="s">
        <v>387</v>
      </c>
      <c r="B195" s="278" t="s">
        <v>35</v>
      </c>
      <c r="C195" s="279">
        <f>C171</f>
        <v>49704.176312336152</v>
      </c>
    </row>
    <row r="196" spans="1:8" ht="14.65" thickBot="1">
      <c r="A196" s="301" t="s">
        <v>321</v>
      </c>
      <c r="B196" s="277" t="s">
        <v>24</v>
      </c>
      <c r="C196" s="303">
        <f>C194/C195</f>
        <v>0.81153880515714338</v>
      </c>
    </row>
    <row r="197" spans="1:8">
      <c r="A197" s="77"/>
      <c r="B197" s="77"/>
      <c r="C197" s="117"/>
    </row>
    <row r="198" spans="1:8" ht="14.65" thickBot="1">
      <c r="A198" s="79" t="s">
        <v>135</v>
      </c>
    </row>
    <row r="199" spans="1:8" ht="14.65" thickBot="1">
      <c r="A199" s="419"/>
      <c r="B199" s="1028" t="s">
        <v>262</v>
      </c>
      <c r="C199" s="1029"/>
      <c r="D199" s="1031"/>
      <c r="E199" s="1036" t="s">
        <v>263</v>
      </c>
      <c r="F199" s="1037"/>
      <c r="G199" s="1037"/>
      <c r="H199" s="1038"/>
    </row>
    <row r="200" spans="1:8">
      <c r="A200" s="92" t="s">
        <v>93</v>
      </c>
      <c r="B200" s="377" t="s">
        <v>243</v>
      </c>
      <c r="C200" s="491" t="s">
        <v>341</v>
      </c>
      <c r="D200" s="492" t="s">
        <v>281</v>
      </c>
      <c r="E200" s="1039" t="s">
        <v>269</v>
      </c>
      <c r="F200" s="1040"/>
      <c r="G200" s="1022" t="s">
        <v>282</v>
      </c>
      <c r="H200" s="1023"/>
    </row>
    <row r="201" spans="1:8" ht="14.65" thickBot="1">
      <c r="A201" s="93" t="s">
        <v>18</v>
      </c>
      <c r="B201" s="403" t="s">
        <v>35</v>
      </c>
      <c r="C201" s="154" t="s">
        <v>35</v>
      </c>
      <c r="D201" s="155" t="s">
        <v>35</v>
      </c>
      <c r="E201" s="153" t="s">
        <v>257</v>
      </c>
      <c r="F201" s="423" t="s">
        <v>237</v>
      </c>
      <c r="G201" s="403" t="s">
        <v>71</v>
      </c>
      <c r="H201" s="155" t="s">
        <v>237</v>
      </c>
    </row>
    <row r="202" spans="1:8">
      <c r="A202" s="148" t="s">
        <v>72</v>
      </c>
      <c r="B202" s="540">
        <f>C80*(1-$C$104)</f>
        <v>372.09939301817241</v>
      </c>
      <c r="C202" s="428">
        <f>$C$187</f>
        <v>9367.3084565028839</v>
      </c>
      <c r="D202" s="382">
        <f>$C$171</f>
        <v>49704.176312336152</v>
      </c>
      <c r="E202" s="551">
        <f>B202/C202*1000000</f>
        <v>39723.19207230302</v>
      </c>
      <c r="F202" s="554">
        <f>E202/1000000</f>
        <v>3.9723192072303022E-2</v>
      </c>
      <c r="G202" s="557">
        <f>B202/D202*1000000</f>
        <v>7486.2802409185188</v>
      </c>
      <c r="H202" s="433">
        <f>G202/1000000</f>
        <v>7.4862802409185192E-3</v>
      </c>
    </row>
    <row r="203" spans="1:8">
      <c r="A203" s="149" t="s">
        <v>73</v>
      </c>
      <c r="B203" s="541">
        <f>C81*(1-$C$104)</f>
        <v>0.18520991748595628</v>
      </c>
      <c r="C203" s="235">
        <f t="shared" ref="C203:C222" si="14">$C$187</f>
        <v>9367.3084565028839</v>
      </c>
      <c r="D203" s="82">
        <f t="shared" ref="D203:D222" si="15">$C$171</f>
        <v>49704.176312336152</v>
      </c>
      <c r="E203" s="552">
        <f t="shared" ref="E203:E222" si="16">B203/C203*1000000</f>
        <v>19.771946055366801</v>
      </c>
      <c r="F203" s="555">
        <f t="shared" ref="F203:H222" si="17">E203/1000000</f>
        <v>1.9771946055366802E-5</v>
      </c>
      <c r="G203" s="558">
        <f t="shared" ref="G203:G222" si="18">B203/D203*1000000</f>
        <v>3.7262445779629338</v>
      </c>
      <c r="H203" s="434">
        <f t="shared" si="17"/>
        <v>3.726244577962934E-6</v>
      </c>
    </row>
    <row r="204" spans="1:8">
      <c r="A204" s="149" t="s">
        <v>74</v>
      </c>
      <c r="B204" s="541">
        <f>C82*(1-$C$104)</f>
        <v>563.65395765032372</v>
      </c>
      <c r="C204" s="235">
        <f t="shared" si="14"/>
        <v>9367.3084565028839</v>
      </c>
      <c r="D204" s="82">
        <f t="shared" si="15"/>
        <v>49704.176312336152</v>
      </c>
      <c r="E204" s="552">
        <f t="shared" si="16"/>
        <v>60172.45618286747</v>
      </c>
      <c r="F204" s="555">
        <f t="shared" si="17"/>
        <v>6.017245618286747E-2</v>
      </c>
      <c r="G204" s="558">
        <f t="shared" si="18"/>
        <v>11340.172988852641</v>
      </c>
      <c r="H204" s="434">
        <f t="shared" si="17"/>
        <v>1.1340172988852641E-2</v>
      </c>
    </row>
    <row r="205" spans="1:8">
      <c r="A205" s="149" t="s">
        <v>75</v>
      </c>
      <c r="B205" s="541">
        <f>B83*0.56*(1-$C$104)</f>
        <v>3.0958885892687166E-2</v>
      </c>
      <c r="C205" s="235">
        <f t="shared" si="14"/>
        <v>9367.3084565028839</v>
      </c>
      <c r="D205" s="82">
        <f t="shared" si="15"/>
        <v>49704.176312336152</v>
      </c>
      <c r="E205" s="552">
        <f t="shared" si="16"/>
        <v>3.3049926813496975</v>
      </c>
      <c r="F205" s="555">
        <f t="shared" si="17"/>
        <v>3.3049926813496973E-6</v>
      </c>
      <c r="G205" s="558">
        <f t="shared" si="18"/>
        <v>0.62286286967406068</v>
      </c>
      <c r="H205" s="434">
        <f t="shared" si="17"/>
        <v>6.2286286967406065E-7</v>
      </c>
    </row>
    <row r="206" spans="1:8">
      <c r="A206" s="149" t="s">
        <v>76</v>
      </c>
      <c r="B206" s="541">
        <f t="shared" ref="B206:B212" si="19">C84*(1-$C$104)</f>
        <v>0.28949179075104392</v>
      </c>
      <c r="C206" s="235">
        <f t="shared" si="14"/>
        <v>9367.3084565028839</v>
      </c>
      <c r="D206" s="82">
        <f t="shared" si="15"/>
        <v>49704.176312336152</v>
      </c>
      <c r="E206" s="552">
        <f t="shared" si="16"/>
        <v>30.904479349142782</v>
      </c>
      <c r="F206" s="555">
        <f t="shared" si="17"/>
        <v>3.0904479349142784E-5</v>
      </c>
      <c r="G206" s="558">
        <f t="shared" si="18"/>
        <v>5.8242951041358371</v>
      </c>
      <c r="H206" s="434">
        <f t="shared" si="17"/>
        <v>5.8242951041358373E-6</v>
      </c>
    </row>
    <row r="207" spans="1:8">
      <c r="A207" s="150" t="s">
        <v>77</v>
      </c>
      <c r="B207" s="541">
        <f t="shared" si="19"/>
        <v>3.4236794648362716</v>
      </c>
      <c r="C207" s="235">
        <f t="shared" si="14"/>
        <v>9367.3084565028839</v>
      </c>
      <c r="D207" s="82">
        <f t="shared" si="15"/>
        <v>49704.176312336152</v>
      </c>
      <c r="E207" s="552">
        <f t="shared" si="16"/>
        <v>365.49233760520798</v>
      </c>
      <c r="F207" s="555">
        <f t="shared" si="17"/>
        <v>3.6549233760520798E-4</v>
      </c>
      <c r="G207" s="558">
        <f t="shared" si="18"/>
        <v>68.881122650986242</v>
      </c>
      <c r="H207" s="434">
        <f t="shared" si="17"/>
        <v>6.8881122650986244E-5</v>
      </c>
    </row>
    <row r="208" spans="1:8">
      <c r="A208" s="150" t="s">
        <v>78</v>
      </c>
      <c r="B208" s="541">
        <f t="shared" si="19"/>
        <v>226.83427933858076</v>
      </c>
      <c r="C208" s="235">
        <f t="shared" si="14"/>
        <v>9367.3084565028839</v>
      </c>
      <c r="D208" s="82">
        <f t="shared" si="15"/>
        <v>49704.176312336152</v>
      </c>
      <c r="E208" s="552">
        <f t="shared" si="16"/>
        <v>24215.523636473186</v>
      </c>
      <c r="F208" s="555">
        <f t="shared" si="17"/>
        <v>2.4215523636473186E-2</v>
      </c>
      <c r="G208" s="558">
        <f t="shared" si="18"/>
        <v>4563.6865182751744</v>
      </c>
      <c r="H208" s="434">
        <f t="shared" si="17"/>
        <v>4.5636865182751745E-3</v>
      </c>
    </row>
    <row r="209" spans="1:8">
      <c r="A209" s="150" t="s">
        <v>79</v>
      </c>
      <c r="B209" s="541">
        <f t="shared" si="19"/>
        <v>54.107210187304894</v>
      </c>
      <c r="C209" s="235">
        <f t="shared" si="14"/>
        <v>9367.3084565028839</v>
      </c>
      <c r="D209" s="82">
        <f t="shared" si="15"/>
        <v>49704.176312336152</v>
      </c>
      <c r="E209" s="552">
        <f t="shared" si="16"/>
        <v>5776.1747078738617</v>
      </c>
      <c r="F209" s="555">
        <f t="shared" si="17"/>
        <v>5.7761747078738613E-3</v>
      </c>
      <c r="G209" s="558">
        <f t="shared" si="18"/>
        <v>1088.5847870669963</v>
      </c>
      <c r="H209" s="434">
        <f t="shared" si="17"/>
        <v>1.0885847870669963E-3</v>
      </c>
    </row>
    <row r="210" spans="1:8">
      <c r="A210" s="150" t="s">
        <v>80</v>
      </c>
      <c r="B210" s="541">
        <f t="shared" si="19"/>
        <v>93.360523176209028</v>
      </c>
      <c r="C210" s="235">
        <f t="shared" si="14"/>
        <v>9367.3084565028839</v>
      </c>
      <c r="D210" s="82">
        <f t="shared" si="15"/>
        <v>49704.176312336152</v>
      </c>
      <c r="E210" s="552">
        <f t="shared" si="16"/>
        <v>9966.6327429836238</v>
      </c>
      <c r="F210" s="555">
        <f t="shared" si="17"/>
        <v>9.9666327429836239E-3</v>
      </c>
      <c r="G210" s="558">
        <f t="shared" si="18"/>
        <v>1878.3235153026314</v>
      </c>
      <c r="H210" s="434">
        <f t="shared" si="17"/>
        <v>1.8783235153026314E-3</v>
      </c>
    </row>
    <row r="211" spans="1:8">
      <c r="A211" s="150" t="s">
        <v>81</v>
      </c>
      <c r="B211" s="541">
        <f t="shared" si="19"/>
        <v>41.065305905659827</v>
      </c>
      <c r="C211" s="235">
        <f t="shared" si="14"/>
        <v>9367.3084565028839</v>
      </c>
      <c r="D211" s="82">
        <f t="shared" si="15"/>
        <v>49704.176312336152</v>
      </c>
      <c r="E211" s="552">
        <f t="shared" si="16"/>
        <v>4383.8959821112612</v>
      </c>
      <c r="F211" s="555">
        <f t="shared" si="17"/>
        <v>4.3838959821112609E-3</v>
      </c>
      <c r="G211" s="558">
        <f t="shared" si="18"/>
        <v>826.1942748554867</v>
      </c>
      <c r="H211" s="434">
        <f t="shared" si="17"/>
        <v>8.2619427485548672E-4</v>
      </c>
    </row>
    <row r="212" spans="1:8">
      <c r="A212" s="150" t="s">
        <v>82</v>
      </c>
      <c r="B212" s="541">
        <f t="shared" si="19"/>
        <v>0.50044447960149219</v>
      </c>
      <c r="C212" s="235">
        <f t="shared" si="14"/>
        <v>9367.3084565028839</v>
      </c>
      <c r="D212" s="82">
        <f t="shared" si="15"/>
        <v>49704.176312336152</v>
      </c>
      <c r="E212" s="552">
        <f t="shared" si="16"/>
        <v>53.424575685246957</v>
      </c>
      <c r="F212" s="555">
        <f t="shared" si="17"/>
        <v>5.3424575685246959E-5</v>
      </c>
      <c r="G212" s="558">
        <f t="shared" si="18"/>
        <v>10.068459367614269</v>
      </c>
      <c r="H212" s="434">
        <f t="shared" si="17"/>
        <v>1.0068459367614269E-5</v>
      </c>
    </row>
    <row r="213" spans="1:8">
      <c r="A213" s="150" t="s">
        <v>630</v>
      </c>
      <c r="B213" s="541">
        <f>B91*0.56*(1-$C$104)</f>
        <v>868.72015908000401</v>
      </c>
      <c r="C213" s="235">
        <f t="shared" si="14"/>
        <v>9367.3084565028839</v>
      </c>
      <c r="D213" s="82">
        <f t="shared" si="15"/>
        <v>49704.176312336152</v>
      </c>
      <c r="E213" s="552">
        <f t="shared" si="16"/>
        <v>92739.570081833837</v>
      </c>
      <c r="F213" s="555">
        <f t="shared" si="17"/>
        <v>9.2739570081833839E-2</v>
      </c>
      <c r="G213" s="558">
        <f t="shared" si="18"/>
        <v>17477.81018683525</v>
      </c>
      <c r="H213" s="434">
        <f t="shared" si="17"/>
        <v>1.7477810186835249E-2</v>
      </c>
    </row>
    <row r="214" spans="1:8">
      <c r="A214" s="151" t="s">
        <v>96</v>
      </c>
      <c r="B214" s="541">
        <f>B92*0.56*(1-$C$104)</f>
        <v>2498.6438430532326</v>
      </c>
      <c r="C214" s="235">
        <f t="shared" si="14"/>
        <v>9367.3084565028839</v>
      </c>
      <c r="D214" s="82">
        <f t="shared" si="15"/>
        <v>49704.176312336152</v>
      </c>
      <c r="E214" s="552">
        <f t="shared" si="16"/>
        <v>266740.85247173085</v>
      </c>
      <c r="F214" s="555">
        <f t="shared" si="17"/>
        <v>0.26674085247173085</v>
      </c>
      <c r="G214" s="558">
        <f t="shared" si="18"/>
        <v>50270.299770224548</v>
      </c>
      <c r="H214" s="434">
        <f t="shared" si="17"/>
        <v>5.0270299770224548E-2</v>
      </c>
    </row>
    <row r="215" spans="1:8">
      <c r="A215" s="150" t="s">
        <v>97</v>
      </c>
      <c r="B215" s="541">
        <f>B213+B214</f>
        <v>3367.3640021332367</v>
      </c>
      <c r="C215" s="235">
        <f t="shared" si="14"/>
        <v>9367.3084565028839</v>
      </c>
      <c r="D215" s="82">
        <f t="shared" si="15"/>
        <v>49704.176312336152</v>
      </c>
      <c r="E215" s="552">
        <f t="shared" si="16"/>
        <v>359480.42255356471</v>
      </c>
      <c r="F215" s="555">
        <f t="shared" si="17"/>
        <v>0.35948042255356472</v>
      </c>
      <c r="G215" s="558">
        <f t="shared" si="18"/>
        <v>67748.109957059787</v>
      </c>
      <c r="H215" s="434">
        <f t="shared" si="17"/>
        <v>6.7748109957059793E-2</v>
      </c>
    </row>
    <row r="216" spans="1:8">
      <c r="A216" s="151" t="s">
        <v>84</v>
      </c>
      <c r="B216" s="541">
        <f t="shared" ref="B216:B222" si="20">C94*(1-$C$104)</f>
        <v>0.11233705576414721</v>
      </c>
      <c r="C216" s="235">
        <f t="shared" si="14"/>
        <v>9367.3084565028839</v>
      </c>
      <c r="D216" s="82">
        <f t="shared" si="15"/>
        <v>49704.176312336152</v>
      </c>
      <c r="E216" s="552">
        <f t="shared" si="16"/>
        <v>11.992458269713712</v>
      </c>
      <c r="F216" s="555">
        <f t="shared" si="17"/>
        <v>1.1992458269713713E-5</v>
      </c>
      <c r="G216" s="558">
        <f t="shared" si="18"/>
        <v>2.2601130146133435</v>
      </c>
      <c r="H216" s="434">
        <f t="shared" si="17"/>
        <v>2.2601130146133435E-6</v>
      </c>
    </row>
    <row r="217" spans="1:8">
      <c r="A217" s="151" t="s">
        <v>631</v>
      </c>
      <c r="B217" s="541">
        <f t="shared" si="20"/>
        <v>0</v>
      </c>
      <c r="C217" s="235">
        <f t="shared" si="14"/>
        <v>9367.3084565028839</v>
      </c>
      <c r="D217" s="82">
        <f t="shared" si="15"/>
        <v>49704.176312336152</v>
      </c>
      <c r="E217" s="552">
        <f t="shared" si="16"/>
        <v>0</v>
      </c>
      <c r="F217" s="555">
        <f t="shared" si="17"/>
        <v>0</v>
      </c>
      <c r="G217" s="558">
        <f t="shared" si="18"/>
        <v>0</v>
      </c>
      <c r="H217" s="434">
        <f t="shared" si="17"/>
        <v>0</v>
      </c>
    </row>
    <row r="218" spans="1:8">
      <c r="A218" s="151" t="s">
        <v>250</v>
      </c>
      <c r="B218" s="541">
        <f t="shared" si="20"/>
        <v>0</v>
      </c>
      <c r="C218" s="235">
        <f t="shared" si="14"/>
        <v>9367.3084565028839</v>
      </c>
      <c r="D218" s="82">
        <f t="shared" si="15"/>
        <v>49704.176312336152</v>
      </c>
      <c r="E218" s="552">
        <f t="shared" si="16"/>
        <v>0</v>
      </c>
      <c r="F218" s="555">
        <f t="shared" si="17"/>
        <v>0</v>
      </c>
      <c r="G218" s="558">
        <f t="shared" si="18"/>
        <v>0</v>
      </c>
      <c r="H218" s="434">
        <f t="shared" si="17"/>
        <v>0</v>
      </c>
    </row>
    <row r="219" spans="1:8">
      <c r="A219" s="151" t="s">
        <v>251</v>
      </c>
      <c r="B219" s="541">
        <f t="shared" si="20"/>
        <v>0</v>
      </c>
      <c r="C219" s="235">
        <f t="shared" si="14"/>
        <v>9367.3084565028839</v>
      </c>
      <c r="D219" s="82">
        <f t="shared" si="15"/>
        <v>49704.176312336152</v>
      </c>
      <c r="E219" s="552">
        <f t="shared" si="16"/>
        <v>0</v>
      </c>
      <c r="F219" s="555">
        <f t="shared" si="17"/>
        <v>0</v>
      </c>
      <c r="G219" s="558">
        <f t="shared" si="18"/>
        <v>0</v>
      </c>
      <c r="H219" s="434">
        <f t="shared" si="17"/>
        <v>0</v>
      </c>
    </row>
    <row r="220" spans="1:8">
      <c r="A220" s="151" t="s">
        <v>238</v>
      </c>
      <c r="B220" s="541">
        <f t="shared" si="20"/>
        <v>0</v>
      </c>
      <c r="C220" s="235">
        <f t="shared" si="14"/>
        <v>9367.3084565028839</v>
      </c>
      <c r="D220" s="82">
        <f t="shared" si="15"/>
        <v>49704.176312336152</v>
      </c>
      <c r="E220" s="552">
        <f t="shared" si="16"/>
        <v>0</v>
      </c>
      <c r="F220" s="555">
        <f t="shared" si="17"/>
        <v>0</v>
      </c>
      <c r="G220" s="558">
        <f t="shared" si="18"/>
        <v>0</v>
      </c>
      <c r="H220" s="434">
        <f t="shared" si="17"/>
        <v>0</v>
      </c>
    </row>
    <row r="221" spans="1:8">
      <c r="A221" s="151" t="s">
        <v>239</v>
      </c>
      <c r="B221" s="541">
        <f t="shared" si="20"/>
        <v>0</v>
      </c>
      <c r="C221" s="235">
        <f t="shared" si="14"/>
        <v>9367.3084565028839</v>
      </c>
      <c r="D221" s="82">
        <f t="shared" si="15"/>
        <v>49704.176312336152</v>
      </c>
      <c r="E221" s="552">
        <f t="shared" si="16"/>
        <v>0</v>
      </c>
      <c r="F221" s="555">
        <f t="shared" si="17"/>
        <v>0</v>
      </c>
      <c r="G221" s="558">
        <f t="shared" si="18"/>
        <v>0</v>
      </c>
      <c r="H221" s="434">
        <f t="shared" si="17"/>
        <v>0</v>
      </c>
    </row>
    <row r="222" spans="1:8" ht="14.65" thickBot="1">
      <c r="A222" s="152" t="s">
        <v>86</v>
      </c>
      <c r="B222" s="542">
        <f t="shared" si="20"/>
        <v>9.6272028842278985</v>
      </c>
      <c r="C222" s="236">
        <f t="shared" si="14"/>
        <v>9367.3084565028839</v>
      </c>
      <c r="D222" s="237">
        <f t="shared" si="15"/>
        <v>49704.176312336152</v>
      </c>
      <c r="E222" s="552">
        <f t="shared" si="16"/>
        <v>1027.7448350219101</v>
      </c>
      <c r="F222" s="555">
        <f t="shared" si="17"/>
        <v>1.02774483502191E-3</v>
      </c>
      <c r="G222" s="558">
        <f t="shared" si="18"/>
        <v>193.69001960180373</v>
      </c>
      <c r="H222" s="434">
        <f t="shared" si="17"/>
        <v>1.9369001960180374E-4</v>
      </c>
    </row>
    <row r="223" spans="1:8">
      <c r="A223" s="145"/>
      <c r="B223" s="146"/>
      <c r="C223" s="95"/>
    </row>
    <row r="224" spans="1:8" ht="14.65" thickBot="1">
      <c r="A224" s="79" t="s">
        <v>197</v>
      </c>
    </row>
    <row r="225" spans="1:8" ht="14.65" thickBot="1">
      <c r="A225" s="419"/>
      <c r="B225" s="1028" t="s">
        <v>262</v>
      </c>
      <c r="C225" s="1029"/>
      <c r="D225" s="1031"/>
      <c r="E225" s="1036" t="s">
        <v>263</v>
      </c>
      <c r="F225" s="1037"/>
      <c r="G225" s="1037"/>
      <c r="H225" s="1038"/>
    </row>
    <row r="226" spans="1:8">
      <c r="A226" s="92" t="s">
        <v>93</v>
      </c>
      <c r="B226" s="377" t="s">
        <v>256</v>
      </c>
      <c r="C226" s="491" t="s">
        <v>375</v>
      </c>
      <c r="D226" s="492" t="s">
        <v>286</v>
      </c>
      <c r="E226" s="1039" t="s">
        <v>269</v>
      </c>
      <c r="F226" s="1040"/>
      <c r="G226" s="1022" t="s">
        <v>258</v>
      </c>
      <c r="H226" s="1023"/>
    </row>
    <row r="227" spans="1:8" ht="14.65" thickBot="1">
      <c r="A227" s="93" t="s">
        <v>18</v>
      </c>
      <c r="B227" s="403" t="s">
        <v>35</v>
      </c>
      <c r="C227" s="154" t="s">
        <v>35</v>
      </c>
      <c r="D227" s="155" t="s">
        <v>35</v>
      </c>
      <c r="E227" s="153" t="s">
        <v>257</v>
      </c>
      <c r="F227" s="423" t="s">
        <v>237</v>
      </c>
      <c r="G227" s="403" t="s">
        <v>71</v>
      </c>
      <c r="H227" s="155" t="s">
        <v>237</v>
      </c>
    </row>
    <row r="228" spans="1:8">
      <c r="A228" s="222" t="s">
        <v>72</v>
      </c>
      <c r="B228" s="540">
        <f>D80*(1-$C$104)</f>
        <v>793.64481899100656</v>
      </c>
      <c r="C228" s="428">
        <f>$C$175</f>
        <v>25893.811606967116</v>
      </c>
      <c r="D228" s="382">
        <f>$C$173</f>
        <v>39016.329911381799</v>
      </c>
      <c r="E228" s="551">
        <f>B228/C228*1000000</f>
        <v>30649.980429202806</v>
      </c>
      <c r="F228" s="554">
        <f>E228/1000000</f>
        <v>3.0649980429202806E-2</v>
      </c>
      <c r="G228" s="557">
        <f>B228/D228*1000000</f>
        <v>20341.349911527312</v>
      </c>
      <c r="H228" s="433">
        <f>G228/1000000</f>
        <v>2.034134991152731E-2</v>
      </c>
    </row>
    <row r="229" spans="1:8">
      <c r="A229" s="149" t="s">
        <v>73</v>
      </c>
      <c r="B229" s="541">
        <f>D81*(1-$C$104)</f>
        <v>0.22270499485008757</v>
      </c>
      <c r="C229" s="235">
        <f t="shared" ref="C229:C248" si="21">$C$175</f>
        <v>25893.811606967116</v>
      </c>
      <c r="D229" s="82">
        <f t="shared" ref="D229:D248" si="22">$C$173</f>
        <v>39016.329911381799</v>
      </c>
      <c r="E229" s="552">
        <f t="shared" ref="E229:E248" si="23">B229/C229*1000000</f>
        <v>8.6007034510966118</v>
      </c>
      <c r="F229" s="555">
        <f t="shared" ref="F229:H248" si="24">E229/1000000</f>
        <v>8.6007034510966122E-6</v>
      </c>
      <c r="G229" s="558">
        <f t="shared" ref="G229:G248" si="25">B229/D229*1000000</f>
        <v>5.7079944565754852</v>
      </c>
      <c r="H229" s="434">
        <f t="shared" si="24"/>
        <v>5.7079944565754848E-6</v>
      </c>
    </row>
    <row r="230" spans="1:8">
      <c r="A230" s="149" t="s">
        <v>74</v>
      </c>
      <c r="B230" s="541">
        <f>D82*(1-$C$104)</f>
        <v>2090.1350280470929</v>
      </c>
      <c r="C230" s="235">
        <f t="shared" si="21"/>
        <v>25893.811606967116</v>
      </c>
      <c r="D230" s="82">
        <f t="shared" si="22"/>
        <v>39016.329911381799</v>
      </c>
      <c r="E230" s="552">
        <f t="shared" si="23"/>
        <v>80719.480769092756</v>
      </c>
      <c r="F230" s="555">
        <f t="shared" si="24"/>
        <v>8.0719480769092758E-2</v>
      </c>
      <c r="G230" s="558">
        <f t="shared" si="25"/>
        <v>53570.774924100719</v>
      </c>
      <c r="H230" s="434">
        <f t="shared" si="24"/>
        <v>5.3570774924100721E-2</v>
      </c>
    </row>
    <row r="231" spans="1:8">
      <c r="A231" s="149" t="s">
        <v>75</v>
      </c>
      <c r="B231" s="541">
        <f>B83*0.44*(1-$C$104)</f>
        <v>2.4324838915682771E-2</v>
      </c>
      <c r="C231" s="235">
        <f t="shared" si="21"/>
        <v>25893.811606967116</v>
      </c>
      <c r="D231" s="82">
        <f t="shared" si="22"/>
        <v>39016.329911381799</v>
      </c>
      <c r="E231" s="552">
        <f t="shared" si="23"/>
        <v>0.93940742617969042</v>
      </c>
      <c r="F231" s="555">
        <f t="shared" si="24"/>
        <v>9.3940742617969042E-7</v>
      </c>
      <c r="G231" s="558">
        <f t="shared" si="25"/>
        <v>0.62345276890297052</v>
      </c>
      <c r="H231" s="434">
        <f t="shared" si="24"/>
        <v>6.234527689029705E-7</v>
      </c>
    </row>
    <row r="232" spans="1:8">
      <c r="A232" s="149" t="s">
        <v>76</v>
      </c>
      <c r="B232" s="541">
        <f t="shared" ref="B232:B238" si="26">D84*(1-$C$104)</f>
        <v>1.6941079995607007</v>
      </c>
      <c r="C232" s="235">
        <f t="shared" si="21"/>
        <v>25893.811606967116</v>
      </c>
      <c r="D232" s="82">
        <f t="shared" si="22"/>
        <v>39016.329911381799</v>
      </c>
      <c r="E232" s="552">
        <f t="shared" si="23"/>
        <v>65.42520758530874</v>
      </c>
      <c r="F232" s="555">
        <f t="shared" si="24"/>
        <v>6.5425207585308743E-5</v>
      </c>
      <c r="G232" s="558">
        <f t="shared" si="25"/>
        <v>43.420485817311516</v>
      </c>
      <c r="H232" s="434">
        <f t="shared" si="24"/>
        <v>4.3420485817311518E-5</v>
      </c>
    </row>
    <row r="233" spans="1:8">
      <c r="A233" s="150" t="s">
        <v>77</v>
      </c>
      <c r="B233" s="541">
        <f t="shared" si="26"/>
        <v>11.942234403775835</v>
      </c>
      <c r="C233" s="235">
        <f t="shared" si="21"/>
        <v>25893.811606967116</v>
      </c>
      <c r="D233" s="82">
        <f t="shared" si="22"/>
        <v>39016.329911381799</v>
      </c>
      <c r="E233" s="552">
        <f t="shared" si="23"/>
        <v>461.20032790238571</v>
      </c>
      <c r="F233" s="555">
        <f t="shared" si="24"/>
        <v>4.6120032790238573E-4</v>
      </c>
      <c r="G233" s="558">
        <f t="shared" si="25"/>
        <v>306.08297681766476</v>
      </c>
      <c r="H233" s="434">
        <f t="shared" si="24"/>
        <v>3.0608297681766473E-4</v>
      </c>
    </row>
    <row r="234" spans="1:8">
      <c r="A234" s="150" t="s">
        <v>78</v>
      </c>
      <c r="B234" s="541">
        <f t="shared" si="26"/>
        <v>978.67571336713274</v>
      </c>
      <c r="C234" s="235">
        <f t="shared" si="21"/>
        <v>25893.811606967116</v>
      </c>
      <c r="D234" s="82">
        <f t="shared" si="22"/>
        <v>39016.329911381799</v>
      </c>
      <c r="E234" s="552">
        <f t="shared" si="23"/>
        <v>37795.737770170752</v>
      </c>
      <c r="F234" s="555">
        <f t="shared" si="24"/>
        <v>3.7795737770170749E-2</v>
      </c>
      <c r="G234" s="558">
        <f t="shared" si="25"/>
        <v>25083.746102978144</v>
      </c>
      <c r="H234" s="434">
        <f t="shared" si="24"/>
        <v>2.5083746102978144E-2</v>
      </c>
    </row>
    <row r="235" spans="1:8">
      <c r="A235" s="150" t="s">
        <v>79</v>
      </c>
      <c r="B235" s="541">
        <f t="shared" si="26"/>
        <v>111.44454363540531</v>
      </c>
      <c r="C235" s="235">
        <f t="shared" si="21"/>
        <v>25893.811606967116</v>
      </c>
      <c r="D235" s="82">
        <f t="shared" si="22"/>
        <v>39016.329911381799</v>
      </c>
      <c r="E235" s="552">
        <f t="shared" si="23"/>
        <v>4303.9064826369358</v>
      </c>
      <c r="F235" s="555">
        <f t="shared" si="24"/>
        <v>4.3039064826369362E-3</v>
      </c>
      <c r="G235" s="558">
        <f t="shared" si="25"/>
        <v>2856.3563997057249</v>
      </c>
      <c r="H235" s="434">
        <f t="shared" si="24"/>
        <v>2.8563563997057251E-3</v>
      </c>
    </row>
    <row r="236" spans="1:8">
      <c r="A236" s="150" t="s">
        <v>80</v>
      </c>
      <c r="B236" s="541">
        <f t="shared" si="26"/>
        <v>147.26455451752437</v>
      </c>
      <c r="C236" s="235">
        <f t="shared" si="21"/>
        <v>25893.811606967116</v>
      </c>
      <c r="D236" s="82">
        <f t="shared" si="22"/>
        <v>39016.329911381799</v>
      </c>
      <c r="E236" s="552">
        <f t="shared" si="23"/>
        <v>5687.2490135017688</v>
      </c>
      <c r="F236" s="555">
        <f t="shared" si="24"/>
        <v>5.6872490135017684E-3</v>
      </c>
      <c r="G236" s="558">
        <f t="shared" si="25"/>
        <v>3774.433803794665</v>
      </c>
      <c r="H236" s="434">
        <f t="shared" si="24"/>
        <v>3.7744338037946652E-3</v>
      </c>
    </row>
    <row r="237" spans="1:8">
      <c r="A237" s="150" t="s">
        <v>81</v>
      </c>
      <c r="B237" s="541">
        <f t="shared" si="26"/>
        <v>78.01455395938595</v>
      </c>
      <c r="C237" s="235">
        <f t="shared" si="21"/>
        <v>25893.811606967116</v>
      </c>
      <c r="D237" s="82">
        <f t="shared" si="22"/>
        <v>39016.329911381799</v>
      </c>
      <c r="E237" s="552">
        <f t="shared" si="23"/>
        <v>3012.8648166419412</v>
      </c>
      <c r="F237" s="555">
        <f t="shared" si="24"/>
        <v>3.0128648166419412E-3</v>
      </c>
      <c r="G237" s="558">
        <f t="shared" si="25"/>
        <v>1999.5359414014908</v>
      </c>
      <c r="H237" s="434">
        <f t="shared" si="24"/>
        <v>1.9995359414014908E-3</v>
      </c>
    </row>
    <row r="238" spans="1:8">
      <c r="A238" s="150" t="s">
        <v>82</v>
      </c>
      <c r="B238" s="541">
        <f t="shared" si="26"/>
        <v>1.3093077403753608</v>
      </c>
      <c r="C238" s="235">
        <f t="shared" si="21"/>
        <v>25893.811606967116</v>
      </c>
      <c r="D238" s="82">
        <f t="shared" si="22"/>
        <v>39016.329911381799</v>
      </c>
      <c r="E238" s="552">
        <f t="shared" si="23"/>
        <v>50.564503992261685</v>
      </c>
      <c r="F238" s="555">
        <f t="shared" si="24"/>
        <v>5.0564503992261688E-5</v>
      </c>
      <c r="G238" s="558">
        <f t="shared" si="25"/>
        <v>33.557942106528344</v>
      </c>
      <c r="H238" s="434">
        <f t="shared" si="24"/>
        <v>3.3557942106528346E-5</v>
      </c>
    </row>
    <row r="239" spans="1:8">
      <c r="A239" s="150" t="s">
        <v>630</v>
      </c>
      <c r="B239" s="541">
        <f>B91*0.44*(1-$C$104)</f>
        <v>682.56583927714598</v>
      </c>
      <c r="C239" s="235">
        <f t="shared" si="21"/>
        <v>25893.811606967116</v>
      </c>
      <c r="D239" s="82">
        <f t="shared" si="22"/>
        <v>39016.329911381799</v>
      </c>
      <c r="E239" s="552">
        <f t="shared" si="23"/>
        <v>26360.191756917375</v>
      </c>
      <c r="F239" s="555">
        <f t="shared" si="24"/>
        <v>2.6360191756917374E-2</v>
      </c>
      <c r="G239" s="558">
        <f t="shared" si="25"/>
        <v>17494.363022546328</v>
      </c>
      <c r="H239" s="434">
        <f t="shared" si="24"/>
        <v>1.7494363022546328E-2</v>
      </c>
    </row>
    <row r="240" spans="1:8">
      <c r="A240" s="151" t="s">
        <v>96</v>
      </c>
      <c r="B240" s="541">
        <f>B92*0.44*(1-$C$104)</f>
        <v>1963.2201623989681</v>
      </c>
      <c r="C240" s="235">
        <f t="shared" si="21"/>
        <v>25893.811606967116</v>
      </c>
      <c r="D240" s="82">
        <f t="shared" si="22"/>
        <v>39016.329911381799</v>
      </c>
      <c r="E240" s="552">
        <f t="shared" si="23"/>
        <v>75818.121804467533</v>
      </c>
      <c r="F240" s="555">
        <f t="shared" si="24"/>
        <v>7.5818121804467536E-2</v>
      </c>
      <c r="G240" s="558">
        <f t="shared" si="25"/>
        <v>50317.909625483757</v>
      </c>
      <c r="H240" s="434">
        <f t="shared" si="24"/>
        <v>5.0317909625483756E-2</v>
      </c>
    </row>
    <row r="241" spans="1:8">
      <c r="A241" s="150" t="s">
        <v>97</v>
      </c>
      <c r="B241" s="541">
        <f>B239+B240</f>
        <v>2645.7860016761142</v>
      </c>
      <c r="C241" s="235">
        <f t="shared" si="21"/>
        <v>25893.811606967116</v>
      </c>
      <c r="D241" s="82">
        <f t="shared" si="22"/>
        <v>39016.329911381799</v>
      </c>
      <c r="E241" s="552">
        <f t="shared" si="23"/>
        <v>102178.31356138492</v>
      </c>
      <c r="F241" s="555">
        <f t="shared" si="24"/>
        <v>0.10217831356138492</v>
      </c>
      <c r="G241" s="558">
        <f t="shared" si="25"/>
        <v>67812.272648030092</v>
      </c>
      <c r="H241" s="434">
        <f t="shared" si="24"/>
        <v>6.7812272648030095E-2</v>
      </c>
    </row>
    <row r="242" spans="1:8">
      <c r="A242" s="151" t="s">
        <v>84</v>
      </c>
      <c r="B242" s="541">
        <f t="shared" ref="B242:B248" si="27">D94*(1-$C$104)</f>
        <v>1.9108498303478765</v>
      </c>
      <c r="C242" s="235">
        <f t="shared" si="21"/>
        <v>25893.811606967116</v>
      </c>
      <c r="D242" s="82">
        <f t="shared" si="22"/>
        <v>39016.329911381799</v>
      </c>
      <c r="E242" s="552">
        <f t="shared" si="23"/>
        <v>73.795618016844372</v>
      </c>
      <c r="F242" s="555">
        <f t="shared" si="24"/>
        <v>7.3795618016844373E-5</v>
      </c>
      <c r="G242" s="558">
        <f t="shared" si="25"/>
        <v>48.975642626767048</v>
      </c>
      <c r="H242" s="434">
        <f t="shared" si="24"/>
        <v>4.8975642626767044E-5</v>
      </c>
    </row>
    <row r="243" spans="1:8">
      <c r="A243" s="151" t="s">
        <v>631</v>
      </c>
      <c r="B243" s="541">
        <f t="shared" si="27"/>
        <v>223.89908547389823</v>
      </c>
      <c r="C243" s="235">
        <f t="shared" si="21"/>
        <v>25893.811606967116</v>
      </c>
      <c r="D243" s="82">
        <f t="shared" si="22"/>
        <v>39016.329911381799</v>
      </c>
      <c r="E243" s="552">
        <f t="shared" si="23"/>
        <v>8646.8183546085129</v>
      </c>
      <c r="F243" s="555">
        <f t="shared" si="24"/>
        <v>8.6468183546085133E-3</v>
      </c>
      <c r="G243" s="558">
        <f t="shared" si="25"/>
        <v>5738.5993501296143</v>
      </c>
      <c r="H243" s="434">
        <f t="shared" si="24"/>
        <v>5.7385993501296141E-3</v>
      </c>
    </row>
    <row r="244" spans="1:8">
      <c r="A244" s="151" t="s">
        <v>250</v>
      </c>
      <c r="B244" s="541">
        <f t="shared" si="27"/>
        <v>881.96076428979666</v>
      </c>
      <c r="C244" s="235">
        <f t="shared" si="21"/>
        <v>25893.811606967116</v>
      </c>
      <c r="D244" s="82">
        <f t="shared" si="22"/>
        <v>39016.329911381799</v>
      </c>
      <c r="E244" s="552">
        <f t="shared" si="23"/>
        <v>34060.677418866057</v>
      </c>
      <c r="F244" s="555">
        <f t="shared" si="24"/>
        <v>3.4060677418866057E-2</v>
      </c>
      <c r="G244" s="558">
        <f t="shared" si="25"/>
        <v>22604.913539869165</v>
      </c>
      <c r="H244" s="434">
        <f t="shared" si="24"/>
        <v>2.2604913539869164E-2</v>
      </c>
    </row>
    <row r="245" spans="1:8">
      <c r="A245" s="151" t="s">
        <v>251</v>
      </c>
      <c r="B245" s="541">
        <f t="shared" si="27"/>
        <v>1105.8598497636949</v>
      </c>
      <c r="C245" s="235">
        <f t="shared" si="21"/>
        <v>25893.811606967116</v>
      </c>
      <c r="D245" s="82">
        <f t="shared" si="22"/>
        <v>39016.329911381799</v>
      </c>
      <c r="E245" s="552">
        <f t="shared" si="23"/>
        <v>42707.495773474577</v>
      </c>
      <c r="F245" s="555">
        <f t="shared" si="24"/>
        <v>4.2707495773474574E-2</v>
      </c>
      <c r="G245" s="558">
        <f t="shared" si="25"/>
        <v>28343.512889998776</v>
      </c>
      <c r="H245" s="434">
        <f t="shared" si="24"/>
        <v>2.8343512889998777E-2</v>
      </c>
    </row>
    <row r="246" spans="1:8">
      <c r="A246" s="151" t="s">
        <v>238</v>
      </c>
      <c r="B246" s="541">
        <f t="shared" si="27"/>
        <v>3317.5795492910852</v>
      </c>
      <c r="C246" s="235">
        <f t="shared" si="21"/>
        <v>25893.811606967116</v>
      </c>
      <c r="D246" s="82">
        <f t="shared" si="22"/>
        <v>39016.329911381799</v>
      </c>
      <c r="E246" s="552">
        <f t="shared" si="23"/>
        <v>128122.48732042372</v>
      </c>
      <c r="F246" s="555">
        <f t="shared" si="24"/>
        <v>0.12812248732042372</v>
      </c>
      <c r="G246" s="558">
        <f t="shared" si="25"/>
        <v>85030.538669996342</v>
      </c>
      <c r="H246" s="434">
        <f t="shared" si="24"/>
        <v>8.5030538669996339E-2</v>
      </c>
    </row>
    <row r="247" spans="1:8">
      <c r="A247" s="151" t="s">
        <v>239</v>
      </c>
      <c r="B247" s="541">
        <f t="shared" si="27"/>
        <v>4699.9043614957036</v>
      </c>
      <c r="C247" s="235">
        <f t="shared" si="21"/>
        <v>25893.811606967116</v>
      </c>
      <c r="D247" s="82">
        <f t="shared" si="22"/>
        <v>39016.329911381799</v>
      </c>
      <c r="E247" s="552">
        <f t="shared" si="23"/>
        <v>181506.85703726692</v>
      </c>
      <c r="F247" s="555">
        <f t="shared" si="24"/>
        <v>0.18150685703726693</v>
      </c>
      <c r="G247" s="558">
        <f t="shared" si="25"/>
        <v>120459.92978249482</v>
      </c>
      <c r="H247" s="434">
        <f t="shared" si="24"/>
        <v>0.12045992978249481</v>
      </c>
    </row>
    <row r="248" spans="1:8" ht="14.65" thickBot="1">
      <c r="A248" s="152" t="s">
        <v>86</v>
      </c>
      <c r="B248" s="542">
        <f t="shared" si="27"/>
        <v>31.992557012130458</v>
      </c>
      <c r="C248" s="236">
        <f t="shared" si="21"/>
        <v>25893.811606967116</v>
      </c>
      <c r="D248" s="237">
        <f t="shared" si="22"/>
        <v>39016.329911381799</v>
      </c>
      <c r="E248" s="553">
        <f t="shared" si="23"/>
        <v>1235.529071491444</v>
      </c>
      <c r="F248" s="556">
        <f t="shared" si="24"/>
        <v>1.235529071491444E-3</v>
      </c>
      <c r="G248" s="559">
        <f t="shared" si="25"/>
        <v>819.97863676044074</v>
      </c>
      <c r="H248" s="439">
        <f t="shared" si="24"/>
        <v>8.1997863676044078E-4</v>
      </c>
    </row>
    <row r="249" spans="1:8">
      <c r="A249" s="145"/>
      <c r="B249" s="146"/>
      <c r="C249" s="95"/>
    </row>
    <row r="250" spans="1:8">
      <c r="A250" s="1" t="s">
        <v>199</v>
      </c>
      <c r="B250" s="1"/>
      <c r="C250" s="1"/>
    </row>
    <row r="251" spans="1:8" ht="14.65" thickBot="1">
      <c r="A251" s="79" t="s">
        <v>360</v>
      </c>
      <c r="B251" s="79"/>
      <c r="C251" s="79"/>
    </row>
    <row r="252" spans="1:8">
      <c r="A252" s="570" t="s">
        <v>334</v>
      </c>
      <c r="B252" s="569">
        <v>0.05</v>
      </c>
      <c r="C252" s="202" t="s">
        <v>101</v>
      </c>
    </row>
    <row r="253" spans="1:8">
      <c r="A253" s="571" t="s">
        <v>378</v>
      </c>
      <c r="B253" s="494">
        <v>1.86</v>
      </c>
      <c r="C253" s="72" t="s">
        <v>103</v>
      </c>
    </row>
    <row r="254" spans="1:8">
      <c r="A254" s="571" t="s">
        <v>379</v>
      </c>
      <c r="B254" s="494">
        <v>0.997</v>
      </c>
      <c r="C254" s="72" t="s">
        <v>103</v>
      </c>
    </row>
    <row r="255" spans="1:8">
      <c r="A255" s="571" t="s">
        <v>380</v>
      </c>
      <c r="B255" s="494">
        <v>1.0206786471090072</v>
      </c>
      <c r="C255" s="72" t="s">
        <v>103</v>
      </c>
    </row>
    <row r="256" spans="1:8">
      <c r="A256" s="921" t="s">
        <v>475</v>
      </c>
      <c r="B256" s="924">
        <v>0.02</v>
      </c>
      <c r="C256" s="72" t="s">
        <v>25</v>
      </c>
    </row>
    <row r="257" spans="1:3">
      <c r="A257" s="922" t="s">
        <v>646</v>
      </c>
      <c r="B257" s="925">
        <v>0.9</v>
      </c>
      <c r="C257" s="72" t="s">
        <v>237</v>
      </c>
    </row>
    <row r="258" spans="1:3" ht="14.65" thickBot="1">
      <c r="A258" s="233" t="s">
        <v>476</v>
      </c>
      <c r="B258" s="927">
        <f>B256*B257</f>
        <v>1.8000000000000002E-2</v>
      </c>
      <c r="C258" s="76" t="s">
        <v>25</v>
      </c>
    </row>
    <row r="260" spans="1:3" ht="14.65" thickBot="1">
      <c r="A260" s="79" t="s">
        <v>271</v>
      </c>
    </row>
    <row r="261" spans="1:3" ht="14.65" thickBot="1">
      <c r="A261" s="103" t="s">
        <v>53</v>
      </c>
      <c r="B261" s="102" t="s">
        <v>18</v>
      </c>
      <c r="C261" s="17" t="s">
        <v>106</v>
      </c>
    </row>
    <row r="262" spans="1:3">
      <c r="A262" s="92" t="s">
        <v>387</v>
      </c>
      <c r="B262" s="270" t="s">
        <v>35</v>
      </c>
      <c r="C262" s="383">
        <f>$C$171</f>
        <v>49704.176312336152</v>
      </c>
    </row>
    <row r="263" spans="1:3">
      <c r="A263" s="392" t="s">
        <v>394</v>
      </c>
      <c r="B263" s="278" t="s">
        <v>108</v>
      </c>
      <c r="C263" s="450">
        <v>1.3</v>
      </c>
    </row>
    <row r="264" spans="1:3">
      <c r="A264" s="257" t="s">
        <v>395</v>
      </c>
      <c r="B264" s="278" t="s">
        <v>110</v>
      </c>
      <c r="C264" s="279">
        <f>C262/C263</f>
        <v>38233.981778720117</v>
      </c>
    </row>
    <row r="265" spans="1:3">
      <c r="A265" s="281" t="s">
        <v>334</v>
      </c>
      <c r="B265" s="305" t="s">
        <v>25</v>
      </c>
      <c r="C265" s="926">
        <f>$B$258</f>
        <v>1.8000000000000002E-2</v>
      </c>
    </row>
    <row r="266" spans="1:3">
      <c r="A266" s="281" t="s">
        <v>383</v>
      </c>
      <c r="B266" s="278" t="s">
        <v>110</v>
      </c>
      <c r="C266" s="289">
        <f>C264*C265</f>
        <v>688.21167201696221</v>
      </c>
    </row>
    <row r="267" spans="1:3">
      <c r="A267" s="281" t="s">
        <v>384</v>
      </c>
      <c r="B267" s="278" t="s">
        <v>108</v>
      </c>
      <c r="C267" s="307">
        <f>B255</f>
        <v>1.0206786471090072</v>
      </c>
    </row>
    <row r="268" spans="1:3" ht="14.65" thickBot="1">
      <c r="A268" s="255" t="s">
        <v>334</v>
      </c>
      <c r="B268" s="271" t="s">
        <v>35</v>
      </c>
      <c r="C268" s="280">
        <f>C266*C267</f>
        <v>702.44295831890076</v>
      </c>
    </row>
    <row r="269" spans="1:3" hidden="1">
      <c r="A269" s="79"/>
      <c r="B269" s="79"/>
      <c r="C269" s="79"/>
    </row>
    <row r="270" spans="1:3" hidden="1">
      <c r="A270" s="79" t="s">
        <v>47</v>
      </c>
      <c r="B270" s="79"/>
      <c r="C270" s="79"/>
    </row>
    <row r="271" spans="1:3" ht="14.65" hidden="1" thickBot="1">
      <c r="A271" s="103" t="s">
        <v>53</v>
      </c>
      <c r="B271" s="102" t="s">
        <v>18</v>
      </c>
      <c r="C271" s="17" t="s">
        <v>106</v>
      </c>
    </row>
    <row r="272" spans="1:3" hidden="1">
      <c r="A272" s="272" t="s">
        <v>202</v>
      </c>
      <c r="B272" s="278" t="s">
        <v>35</v>
      </c>
      <c r="C272" s="279">
        <f>$C$187</f>
        <v>9367.3084565028839</v>
      </c>
    </row>
    <row r="273" spans="1:3" hidden="1">
      <c r="A273" s="257" t="s">
        <v>115</v>
      </c>
      <c r="B273" s="278" t="s">
        <v>24</v>
      </c>
      <c r="C273" s="312">
        <v>0.05</v>
      </c>
    </row>
    <row r="274" spans="1:3" hidden="1">
      <c r="A274" s="257" t="s">
        <v>113</v>
      </c>
      <c r="B274" s="278" t="s">
        <v>35</v>
      </c>
      <c r="C274" s="295">
        <f>$C$268</f>
        <v>702.44295831890076</v>
      </c>
    </row>
    <row r="275" spans="1:3" hidden="1">
      <c r="A275" s="257" t="s">
        <v>116</v>
      </c>
      <c r="B275" s="278" t="s">
        <v>35</v>
      </c>
      <c r="C275" s="295">
        <f>C274*C273</f>
        <v>35.122147915945042</v>
      </c>
    </row>
    <row r="276" spans="1:3" hidden="1">
      <c r="A276" s="257" t="s">
        <v>430</v>
      </c>
      <c r="B276" s="278" t="s">
        <v>35</v>
      </c>
      <c r="C276" s="279">
        <f>C272+C275</f>
        <v>9402.4306044188288</v>
      </c>
    </row>
    <row r="277" spans="1:3" hidden="1">
      <c r="A277" s="257" t="s">
        <v>114</v>
      </c>
      <c r="B277" s="278" t="s">
        <v>35</v>
      </c>
      <c r="C277" s="279">
        <f>$C$262+$C$268</f>
        <v>50406.61927065505</v>
      </c>
    </row>
    <row r="278" spans="1:3" hidden="1">
      <c r="A278" s="299" t="s">
        <v>64</v>
      </c>
      <c r="B278" s="260" t="s">
        <v>24</v>
      </c>
      <c r="C278" s="300">
        <f>C276/C277</f>
        <v>0.18653166469929458</v>
      </c>
    </row>
    <row r="279" spans="1:3" hidden="1">
      <c r="A279" s="257" t="s">
        <v>134</v>
      </c>
      <c r="B279" s="278" t="s">
        <v>35</v>
      </c>
      <c r="C279" s="279">
        <f>$C$194</f>
        <v>40336.867855833269</v>
      </c>
    </row>
    <row r="280" spans="1:3" hidden="1">
      <c r="A280" s="257" t="s">
        <v>117</v>
      </c>
      <c r="B280" s="278" t="s">
        <v>24</v>
      </c>
      <c r="C280" s="312">
        <f>1-C273</f>
        <v>0.95</v>
      </c>
    </row>
    <row r="281" spans="1:3" hidden="1">
      <c r="A281" s="257" t="s">
        <v>113</v>
      </c>
      <c r="B281" s="278" t="s">
        <v>35</v>
      </c>
      <c r="C281" s="295">
        <f>$C$268</f>
        <v>702.44295831890076</v>
      </c>
    </row>
    <row r="282" spans="1:3" hidden="1">
      <c r="A282" s="257" t="s">
        <v>118</v>
      </c>
      <c r="B282" s="278" t="s">
        <v>35</v>
      </c>
      <c r="C282" s="279">
        <f>C280*C281</f>
        <v>667.32081040295566</v>
      </c>
    </row>
    <row r="283" spans="1:3" hidden="1">
      <c r="A283" s="257" t="s">
        <v>65</v>
      </c>
      <c r="B283" s="278" t="s">
        <v>35</v>
      </c>
      <c r="C283" s="279">
        <f>C279+C282</f>
        <v>41004.188666236223</v>
      </c>
    </row>
    <row r="284" spans="1:3" hidden="1">
      <c r="A284" s="257" t="s">
        <v>114</v>
      </c>
      <c r="B284" s="278" t="s">
        <v>35</v>
      </c>
      <c r="C284" s="279">
        <f>$C$262+$C$268</f>
        <v>50406.61927065505</v>
      </c>
    </row>
    <row r="285" spans="1:3" ht="14.65" hidden="1" thickBot="1">
      <c r="A285" s="301" t="s">
        <v>66</v>
      </c>
      <c r="B285" s="277" t="s">
        <v>24</v>
      </c>
      <c r="C285" s="303">
        <f>C283/C284</f>
        <v>0.8134683353007055</v>
      </c>
    </row>
    <row r="286" spans="1:3">
      <c r="A286" s="83"/>
      <c r="B286" s="77"/>
      <c r="C286" s="96"/>
    </row>
    <row r="287" spans="1:3" ht="14.65" thickBot="1">
      <c r="A287" s="79" t="s">
        <v>373</v>
      </c>
    </row>
    <row r="288" spans="1:3" ht="14.65" thickBot="1">
      <c r="A288" s="905" t="s">
        <v>23</v>
      </c>
      <c r="B288" s="1070">
        <v>1.8</v>
      </c>
      <c r="C288" s="1071"/>
    </row>
    <row r="289" spans="1:4" ht="14.65" thickBot="1">
      <c r="A289" s="2"/>
      <c r="B289" s="1072" t="s">
        <v>120</v>
      </c>
      <c r="C289" s="1073"/>
    </row>
    <row r="290" spans="1:4">
      <c r="A290" s="703" t="s">
        <v>77</v>
      </c>
      <c r="B290" s="880" t="s">
        <v>157</v>
      </c>
      <c r="C290" s="906">
        <v>0.99</v>
      </c>
    </row>
    <row r="291" spans="1:4">
      <c r="A291" s="232" t="s">
        <v>73</v>
      </c>
      <c r="B291" s="881" t="s">
        <v>158</v>
      </c>
      <c r="C291" s="882">
        <v>0.9</v>
      </c>
    </row>
    <row r="292" spans="1:4">
      <c r="A292" s="232" t="s">
        <v>86</v>
      </c>
      <c r="B292" s="881" t="s">
        <v>159</v>
      </c>
      <c r="C292" s="882">
        <v>0.95</v>
      </c>
    </row>
    <row r="293" spans="1:4">
      <c r="A293" s="232" t="s">
        <v>82</v>
      </c>
      <c r="B293" s="881" t="s">
        <v>160</v>
      </c>
      <c r="C293" s="907">
        <v>2.5000000000000001E-2</v>
      </c>
    </row>
    <row r="294" spans="1:4">
      <c r="A294" s="232" t="s">
        <v>72</v>
      </c>
      <c r="B294" s="881" t="s">
        <v>160</v>
      </c>
      <c r="C294" s="907">
        <v>2.5000000000000001E-2</v>
      </c>
    </row>
    <row r="295" spans="1:4">
      <c r="A295" s="232" t="s">
        <v>78</v>
      </c>
      <c r="B295" s="881" t="s">
        <v>160</v>
      </c>
      <c r="C295" s="907">
        <v>2.5000000000000001E-2</v>
      </c>
    </row>
    <row r="296" spans="1:4">
      <c r="A296" s="232" t="s">
        <v>80</v>
      </c>
      <c r="B296" s="881" t="s">
        <v>160</v>
      </c>
      <c r="C296" s="907">
        <v>2.5000000000000001E-2</v>
      </c>
    </row>
    <row r="297" spans="1:4">
      <c r="A297" s="232" t="s">
        <v>83</v>
      </c>
      <c r="B297" s="881" t="s">
        <v>160</v>
      </c>
      <c r="C297" s="907">
        <v>2.5000000000000001E-2</v>
      </c>
    </row>
    <row r="298" spans="1:4">
      <c r="A298" s="232" t="s">
        <v>79</v>
      </c>
      <c r="B298" s="881" t="s">
        <v>160</v>
      </c>
      <c r="C298" s="907">
        <v>2.5000000000000001E-2</v>
      </c>
    </row>
    <row r="299" spans="1:4">
      <c r="A299" s="232" t="s">
        <v>75</v>
      </c>
      <c r="B299" s="881" t="s">
        <v>322</v>
      </c>
      <c r="C299" s="907">
        <v>2.5000000000000001E-2</v>
      </c>
    </row>
    <row r="300" spans="1:4" ht="14.65" thickBot="1">
      <c r="A300" s="233" t="s">
        <v>84</v>
      </c>
      <c r="B300" s="883" t="s">
        <v>323</v>
      </c>
      <c r="C300" s="910">
        <v>2.5000000000000001E-2</v>
      </c>
    </row>
    <row r="301" spans="1:4">
      <c r="A301" s="78"/>
      <c r="B301" s="97"/>
      <c r="C301" s="98"/>
    </row>
    <row r="302" spans="1:4" ht="14.65" thickBot="1">
      <c r="A302" s="79" t="s">
        <v>273</v>
      </c>
    </row>
    <row r="303" spans="1:4">
      <c r="A303" s="18"/>
      <c r="B303" s="266" t="s">
        <v>120</v>
      </c>
      <c r="C303" s="274" t="s">
        <v>243</v>
      </c>
      <c r="D303" s="275" t="s">
        <v>244</v>
      </c>
    </row>
    <row r="304" spans="1:4" ht="14.65" thickBot="1">
      <c r="A304" s="21"/>
      <c r="B304" s="351" t="s">
        <v>237</v>
      </c>
      <c r="C304" s="325" t="s">
        <v>35</v>
      </c>
      <c r="D304" s="326" t="s">
        <v>35</v>
      </c>
    </row>
    <row r="305" spans="1:4">
      <c r="A305" s="172" t="s">
        <v>72</v>
      </c>
      <c r="B305" s="632">
        <f>C294</f>
        <v>2.5000000000000001E-2</v>
      </c>
      <c r="C305" s="378">
        <f>B202</f>
        <v>372.09939301817241</v>
      </c>
      <c r="D305" s="362">
        <f>C305*B305</f>
        <v>9.3024848254543109</v>
      </c>
    </row>
    <row r="306" spans="1:4">
      <c r="A306" s="107" t="s">
        <v>73</v>
      </c>
      <c r="B306" s="363">
        <f>C291</f>
        <v>0.9</v>
      </c>
      <c r="C306" s="378">
        <f>B203</f>
        <v>0.18520991748595628</v>
      </c>
      <c r="D306" s="362">
        <f t="shared" ref="D306:D318" si="28">C306*B306</f>
        <v>0.16668892573736066</v>
      </c>
    </row>
    <row r="307" spans="1:4">
      <c r="A307" s="107" t="s">
        <v>75</v>
      </c>
      <c r="B307" s="633">
        <f>C299</f>
        <v>2.5000000000000001E-2</v>
      </c>
      <c r="C307" s="378">
        <f>B205</f>
        <v>3.0958885892687166E-2</v>
      </c>
      <c r="D307" s="362">
        <f t="shared" si="28"/>
        <v>7.7397214731717923E-4</v>
      </c>
    </row>
    <row r="308" spans="1:4">
      <c r="A308" s="108" t="s">
        <v>77</v>
      </c>
      <c r="B308" s="363">
        <f>C290</f>
        <v>0.99</v>
      </c>
      <c r="C308" s="378">
        <f>B207</f>
        <v>3.4236794648362716</v>
      </c>
      <c r="D308" s="362">
        <f t="shared" si="28"/>
        <v>3.389442670187909</v>
      </c>
    </row>
    <row r="309" spans="1:4">
      <c r="A309" s="108" t="s">
        <v>78</v>
      </c>
      <c r="B309" s="633">
        <f>C295</f>
        <v>2.5000000000000001E-2</v>
      </c>
      <c r="C309" s="378">
        <f>B208</f>
        <v>226.83427933858076</v>
      </c>
      <c r="D309" s="362">
        <f t="shared" si="28"/>
        <v>5.6708569834645193</v>
      </c>
    </row>
    <row r="310" spans="1:4">
      <c r="A310" s="108" t="s">
        <v>79</v>
      </c>
      <c r="B310" s="633">
        <f>C298</f>
        <v>2.5000000000000001E-2</v>
      </c>
      <c r="C310" s="378">
        <f>B209</f>
        <v>54.107210187304894</v>
      </c>
      <c r="D310" s="362">
        <f t="shared" si="28"/>
        <v>1.3526802546826224</v>
      </c>
    </row>
    <row r="311" spans="1:4">
      <c r="A311" s="108" t="s">
        <v>80</v>
      </c>
      <c r="B311" s="633">
        <f>C296</f>
        <v>2.5000000000000001E-2</v>
      </c>
      <c r="C311" s="378">
        <f>B210</f>
        <v>93.360523176209028</v>
      </c>
      <c r="D311" s="362">
        <f t="shared" si="28"/>
        <v>2.3340130794052256</v>
      </c>
    </row>
    <row r="312" spans="1:4">
      <c r="A312" s="108" t="s">
        <v>82</v>
      </c>
      <c r="B312" s="633">
        <f>C293</f>
        <v>2.5000000000000001E-2</v>
      </c>
      <c r="C312" s="378">
        <f t="shared" ref="C312" si="29">B212</f>
        <v>0.50044447960149219</v>
      </c>
      <c r="D312" s="362">
        <f t="shared" si="28"/>
        <v>1.2511111990037306E-2</v>
      </c>
    </row>
    <row r="313" spans="1:4">
      <c r="A313" s="108" t="s">
        <v>630</v>
      </c>
      <c r="B313" s="633">
        <f>C297</f>
        <v>2.5000000000000001E-2</v>
      </c>
      <c r="C313" s="577">
        <f>B213</f>
        <v>868.72015908000401</v>
      </c>
      <c r="D313" s="362">
        <f t="shared" si="28"/>
        <v>21.718003977000102</v>
      </c>
    </row>
    <row r="314" spans="1:4">
      <c r="A314" s="575" t="s">
        <v>96</v>
      </c>
      <c r="B314" s="633">
        <f>C297</f>
        <v>2.5000000000000001E-2</v>
      </c>
      <c r="C314" s="577">
        <f>B214</f>
        <v>2498.6438430532326</v>
      </c>
      <c r="D314" s="362">
        <f t="shared" si="28"/>
        <v>62.466096076330814</v>
      </c>
    </row>
    <row r="315" spans="1:4">
      <c r="A315" s="394" t="s">
        <v>274</v>
      </c>
      <c r="B315" s="662">
        <f>C297</f>
        <v>2.5000000000000001E-2</v>
      </c>
      <c r="C315" s="577">
        <f>C313+C314</f>
        <v>3367.3640021332367</v>
      </c>
      <c r="D315" s="362">
        <f t="shared" si="28"/>
        <v>84.184100053330923</v>
      </c>
    </row>
    <row r="316" spans="1:4">
      <c r="A316" s="394" t="s">
        <v>84</v>
      </c>
      <c r="B316" s="662">
        <f>C300</f>
        <v>2.5000000000000001E-2</v>
      </c>
      <c r="C316" s="577">
        <f>B216</f>
        <v>0.11233705576414721</v>
      </c>
      <c r="D316" s="362">
        <f t="shared" si="28"/>
        <v>2.8084263941036804E-3</v>
      </c>
    </row>
    <row r="317" spans="1:4">
      <c r="A317" s="575" t="s">
        <v>248</v>
      </c>
      <c r="B317" s="574">
        <v>1</v>
      </c>
      <c r="C317" s="577">
        <f>C268*B252*32/78</f>
        <v>14.409086324490273</v>
      </c>
      <c r="D317" s="362">
        <f t="shared" si="28"/>
        <v>14.409086324490273</v>
      </c>
    </row>
    <row r="318" spans="1:4" ht="14.65" thickBot="1">
      <c r="A318" s="109" t="s">
        <v>86</v>
      </c>
      <c r="B318" s="116">
        <f>C292</f>
        <v>0.95</v>
      </c>
      <c r="C318" s="236">
        <f>B222</f>
        <v>9.6272028842278985</v>
      </c>
      <c r="D318" s="125">
        <f t="shared" si="28"/>
        <v>9.1458427400165032</v>
      </c>
    </row>
    <row r="320" spans="1:4" ht="14.65" thickBot="1">
      <c r="A320" s="79" t="s">
        <v>272</v>
      </c>
      <c r="D320" s="99"/>
    </row>
    <row r="321" spans="1:4" ht="14.65" thickBot="1">
      <c r="A321" s="16" t="s">
        <v>90</v>
      </c>
      <c r="B321" s="101" t="s">
        <v>18</v>
      </c>
      <c r="C321" s="17" t="s">
        <v>91</v>
      </c>
    </row>
    <row r="322" spans="1:4">
      <c r="A322" s="272" t="s">
        <v>9</v>
      </c>
      <c r="B322" s="278" t="s">
        <v>35</v>
      </c>
      <c r="C322" s="279">
        <f>$C$262</f>
        <v>49704.176312336152</v>
      </c>
    </row>
    <row r="323" spans="1:4">
      <c r="A323" s="281" t="s">
        <v>334</v>
      </c>
      <c r="B323" s="278" t="s">
        <v>35</v>
      </c>
      <c r="C323" s="289">
        <f>$C$268</f>
        <v>702.44295831890076</v>
      </c>
    </row>
    <row r="324" spans="1:4" ht="14.65" thickBot="1">
      <c r="A324" s="255" t="s">
        <v>6</v>
      </c>
      <c r="B324" s="271" t="s">
        <v>35</v>
      </c>
      <c r="C324" s="280">
        <f>C322+C323</f>
        <v>50406.61927065505</v>
      </c>
    </row>
    <row r="325" spans="1:4">
      <c r="B325" s="77"/>
      <c r="C325" s="83"/>
    </row>
    <row r="326" spans="1:4" ht="14.65" thickBot="1">
      <c r="A326" s="79" t="s">
        <v>203</v>
      </c>
      <c r="B326" s="79"/>
      <c r="C326" s="79"/>
      <c r="D326" s="99"/>
    </row>
    <row r="327" spans="1:4" ht="14.65" thickBot="1">
      <c r="A327" s="191" t="s">
        <v>90</v>
      </c>
      <c r="B327" s="192" t="s">
        <v>18</v>
      </c>
      <c r="C327" s="193" t="s">
        <v>106</v>
      </c>
      <c r="D327" s="99"/>
    </row>
    <row r="328" spans="1:4">
      <c r="A328" s="272" t="s">
        <v>341</v>
      </c>
      <c r="B328" s="298" t="s">
        <v>35</v>
      </c>
      <c r="C328" s="313">
        <f>$C$187</f>
        <v>9367.3084565028839</v>
      </c>
      <c r="D328" s="99"/>
    </row>
    <row r="329" spans="1:4">
      <c r="A329" s="257" t="s">
        <v>385</v>
      </c>
      <c r="B329" s="278" t="s">
        <v>24</v>
      </c>
      <c r="C329" s="312">
        <v>0.05</v>
      </c>
      <c r="D329" s="99"/>
    </row>
    <row r="330" spans="1:4">
      <c r="A330" s="257" t="s">
        <v>334</v>
      </c>
      <c r="B330" s="278" t="s">
        <v>35</v>
      </c>
      <c r="C330" s="295">
        <f>$C$268</f>
        <v>702.44295831890076</v>
      </c>
      <c r="D330" s="99"/>
    </row>
    <row r="331" spans="1:4">
      <c r="A331" s="257" t="s">
        <v>429</v>
      </c>
      <c r="B331" s="278" t="s">
        <v>35</v>
      </c>
      <c r="C331" s="295">
        <f>C330*C329</f>
        <v>35.122147915945042</v>
      </c>
      <c r="D331" s="99"/>
    </row>
    <row r="332" spans="1:4">
      <c r="A332" s="257" t="s">
        <v>337</v>
      </c>
      <c r="B332" s="278" t="s">
        <v>35</v>
      </c>
      <c r="C332" s="279">
        <f>C328+C331</f>
        <v>9402.4306044188288</v>
      </c>
      <c r="D332" s="99"/>
    </row>
    <row r="333" spans="1:4">
      <c r="A333" s="257" t="s">
        <v>276</v>
      </c>
      <c r="B333" s="278" t="s">
        <v>35</v>
      </c>
      <c r="C333" s="289">
        <f>$C$324</f>
        <v>50406.61927065505</v>
      </c>
      <c r="D333" s="99"/>
    </row>
    <row r="334" spans="1:4">
      <c r="A334" s="299" t="s">
        <v>389</v>
      </c>
      <c r="B334" s="260" t="s">
        <v>24</v>
      </c>
      <c r="C334" s="300">
        <f>C332/C333</f>
        <v>0.18653166469929458</v>
      </c>
      <c r="D334" s="99"/>
    </row>
    <row r="335" spans="1:4">
      <c r="A335" s="257" t="s">
        <v>342</v>
      </c>
      <c r="B335" s="278" t="s">
        <v>35</v>
      </c>
      <c r="C335" s="279">
        <f>$C$194</f>
        <v>40336.867855833269</v>
      </c>
    </row>
    <row r="336" spans="1:4">
      <c r="A336" s="257" t="s">
        <v>386</v>
      </c>
      <c r="B336" s="278" t="s">
        <v>24</v>
      </c>
      <c r="C336" s="312">
        <f>1-C329</f>
        <v>0.95</v>
      </c>
    </row>
    <row r="337" spans="1:12">
      <c r="A337" s="257" t="s">
        <v>334</v>
      </c>
      <c r="B337" s="278" t="s">
        <v>35</v>
      </c>
      <c r="C337" s="295">
        <f>$C$268</f>
        <v>702.44295831890076</v>
      </c>
    </row>
    <row r="338" spans="1:12">
      <c r="A338" s="257" t="s">
        <v>356</v>
      </c>
      <c r="B338" s="278" t="s">
        <v>35</v>
      </c>
      <c r="C338" s="279">
        <f>C336*C337</f>
        <v>667.32081040295566</v>
      </c>
    </row>
    <row r="339" spans="1:12">
      <c r="A339" s="257" t="s">
        <v>335</v>
      </c>
      <c r="B339" s="278" t="s">
        <v>35</v>
      </c>
      <c r="C339" s="279">
        <f>C335+C338</f>
        <v>41004.188666236223</v>
      </c>
    </row>
    <row r="340" spans="1:12">
      <c r="A340" s="257" t="s">
        <v>276</v>
      </c>
      <c r="B340" s="278" t="s">
        <v>35</v>
      </c>
      <c r="C340" s="289">
        <f>$C$324</f>
        <v>50406.61927065505</v>
      </c>
    </row>
    <row r="341" spans="1:12" ht="14.65" thickBot="1">
      <c r="A341" s="366" t="s">
        <v>321</v>
      </c>
      <c r="B341" s="365" t="s">
        <v>24</v>
      </c>
      <c r="C341" s="303">
        <f>C339/C340</f>
        <v>0.8134683353007055</v>
      </c>
    </row>
    <row r="342" spans="1:12">
      <c r="A342" s="83"/>
      <c r="B342" s="77"/>
      <c r="C342" s="96"/>
    </row>
    <row r="343" spans="1:12" ht="14.65" thickBot="1">
      <c r="A343" s="79" t="s">
        <v>124</v>
      </c>
    </row>
    <row r="344" spans="1:12" ht="14.65" thickBot="1">
      <c r="A344" s="419"/>
      <c r="B344" s="1062" t="s">
        <v>262</v>
      </c>
      <c r="C344" s="1063"/>
      <c r="D344" s="1063"/>
      <c r="E344" s="1063"/>
      <c r="F344" s="1064"/>
      <c r="G344" s="1062" t="s">
        <v>263</v>
      </c>
      <c r="H344" s="1063"/>
      <c r="I344" s="1063"/>
      <c r="J344" s="1063"/>
      <c r="K344" s="1063"/>
      <c r="L344" s="1066"/>
    </row>
    <row r="345" spans="1:12">
      <c r="A345" s="452"/>
      <c r="B345" s="1024" t="s">
        <v>275</v>
      </c>
      <c r="C345" s="1041" t="s">
        <v>243</v>
      </c>
      <c r="D345" s="1041" t="s">
        <v>256</v>
      </c>
      <c r="E345" s="1041" t="s">
        <v>337</v>
      </c>
      <c r="F345" s="1083" t="s">
        <v>276</v>
      </c>
      <c r="G345" s="1022" t="s">
        <v>269</v>
      </c>
      <c r="H345" s="1054"/>
      <c r="I345" s="1022" t="s">
        <v>277</v>
      </c>
      <c r="J345" s="1032"/>
      <c r="K345" s="1032"/>
      <c r="L345" s="1023"/>
    </row>
    <row r="346" spans="1:12">
      <c r="A346" s="219" t="s">
        <v>93</v>
      </c>
      <c r="B346" s="1067"/>
      <c r="C346" s="1042"/>
      <c r="D346" s="1042"/>
      <c r="E346" s="1042"/>
      <c r="F346" s="1084"/>
      <c r="G346" s="1033"/>
      <c r="H346" s="1046"/>
      <c r="I346" s="1033" t="s">
        <v>243</v>
      </c>
      <c r="J346" s="1034"/>
      <c r="K346" s="1034" t="s">
        <v>256</v>
      </c>
      <c r="L346" s="1035"/>
    </row>
    <row r="347" spans="1:12" ht="14.65" thickBot="1">
      <c r="A347" s="220" t="s">
        <v>18</v>
      </c>
      <c r="B347" s="403" t="s">
        <v>35</v>
      </c>
      <c r="C347" s="154" t="s">
        <v>35</v>
      </c>
      <c r="D347" s="154" t="s">
        <v>35</v>
      </c>
      <c r="E347" s="154" t="s">
        <v>35</v>
      </c>
      <c r="F347" s="423" t="s">
        <v>35</v>
      </c>
      <c r="G347" s="403" t="s">
        <v>257</v>
      </c>
      <c r="H347" s="423" t="s">
        <v>237</v>
      </c>
      <c r="I347" s="403" t="s">
        <v>70</v>
      </c>
      <c r="J347" s="154" t="s">
        <v>237</v>
      </c>
      <c r="K347" s="154" t="s">
        <v>70</v>
      </c>
      <c r="L347" s="155" t="s">
        <v>237</v>
      </c>
    </row>
    <row r="348" spans="1:12">
      <c r="A348" s="150" t="s">
        <v>72</v>
      </c>
      <c r="B348" s="540">
        <f t="shared" ref="B348:B356" si="30">B202</f>
        <v>372.09939301817241</v>
      </c>
      <c r="C348" s="428">
        <f>B348-D348</f>
        <v>362.79690819271809</v>
      </c>
      <c r="D348" s="580">
        <f>D305</f>
        <v>9.3024848254543109</v>
      </c>
      <c r="E348" s="428">
        <f>$C$332</f>
        <v>9402.4306044188288</v>
      </c>
      <c r="F348" s="382">
        <f>$C$324</f>
        <v>50406.61927065505</v>
      </c>
      <c r="G348" s="551">
        <f>B348/E348*1000000</f>
        <v>39574.808756716389</v>
      </c>
      <c r="H348" s="554">
        <f>G348/1000000</f>
        <v>3.9574808756716387E-2</v>
      </c>
      <c r="I348" s="557">
        <f>C348/F348*1000000</f>
        <v>7197.4060836078643</v>
      </c>
      <c r="J348" s="430">
        <f>I348/1000000</f>
        <v>7.1974060836078645E-3</v>
      </c>
      <c r="K348" s="431">
        <f>D348/F348*1000000</f>
        <v>184.54887393866323</v>
      </c>
      <c r="L348" s="433">
        <f>K348/1000000</f>
        <v>1.8454887393866323E-4</v>
      </c>
    </row>
    <row r="349" spans="1:12">
      <c r="A349" s="149" t="s">
        <v>73</v>
      </c>
      <c r="B349" s="541">
        <f t="shared" si="30"/>
        <v>0.18520991748595628</v>
      </c>
      <c r="C349" s="235">
        <f t="shared" ref="C349:C364" si="31">B349-D349</f>
        <v>1.8520991748595617E-2</v>
      </c>
      <c r="D349" s="579">
        <f>D306</f>
        <v>0.16668892573736066</v>
      </c>
      <c r="E349" s="235">
        <f t="shared" ref="E349:E364" si="32">$C$332</f>
        <v>9402.4306044188288</v>
      </c>
      <c r="F349" s="82">
        <f t="shared" ref="F349:F364" si="33">$C$324</f>
        <v>50406.61927065505</v>
      </c>
      <c r="G349" s="552">
        <f t="shared" ref="G349:G364" si="34">B349/E349*1000000</f>
        <v>19.698089279054479</v>
      </c>
      <c r="H349" s="555">
        <f t="shared" ref="H349:H364" si="35">G349/1000000</f>
        <v>1.969808927905448E-5</v>
      </c>
      <c r="I349" s="558">
        <f t="shared" ref="I349:I364" si="36">C349/F349*1000000</f>
        <v>0.36743173846173577</v>
      </c>
      <c r="J349" s="425">
        <f t="shared" ref="J349:J364" si="37">I349/1000000</f>
        <v>3.6743173846173577E-7</v>
      </c>
      <c r="K349" s="426">
        <f t="shared" ref="K349:K364" si="38">D349/F349*1000000</f>
        <v>3.306885646155624</v>
      </c>
      <c r="L349" s="434">
        <f t="shared" ref="L349:L364" si="39">K349/1000000</f>
        <v>3.306885646155624E-6</v>
      </c>
    </row>
    <row r="350" spans="1:12">
      <c r="A350" s="149" t="s">
        <v>74</v>
      </c>
      <c r="B350" s="541">
        <f t="shared" si="30"/>
        <v>563.65395765032372</v>
      </c>
      <c r="C350" s="235">
        <f t="shared" si="31"/>
        <v>563.65395765032372</v>
      </c>
      <c r="D350" s="579">
        <v>0</v>
      </c>
      <c r="E350" s="235">
        <f t="shared" si="32"/>
        <v>9402.4306044188288</v>
      </c>
      <c r="F350" s="82">
        <f t="shared" si="33"/>
        <v>50406.61927065505</v>
      </c>
      <c r="G350" s="552">
        <f t="shared" si="34"/>
        <v>59947.686014872059</v>
      </c>
      <c r="H350" s="555">
        <f t="shared" si="35"/>
        <v>5.9947686014872062E-2</v>
      </c>
      <c r="I350" s="558">
        <f t="shared" si="36"/>
        <v>11182.141667224707</v>
      </c>
      <c r="J350" s="425">
        <f t="shared" si="37"/>
        <v>1.1182141667224707E-2</v>
      </c>
      <c r="K350" s="426">
        <f t="shared" si="38"/>
        <v>0</v>
      </c>
      <c r="L350" s="434">
        <f t="shared" si="39"/>
        <v>0</v>
      </c>
    </row>
    <row r="351" spans="1:12">
      <c r="A351" s="149" t="s">
        <v>75</v>
      </c>
      <c r="B351" s="541">
        <f t="shared" si="30"/>
        <v>3.0958885892687166E-2</v>
      </c>
      <c r="C351" s="235">
        <f t="shared" si="31"/>
        <v>3.0184913745369985E-2</v>
      </c>
      <c r="D351" s="579">
        <f>D307</f>
        <v>7.7397214731717923E-4</v>
      </c>
      <c r="E351" s="235">
        <f t="shared" si="32"/>
        <v>9402.4306044188288</v>
      </c>
      <c r="F351" s="82">
        <f t="shared" si="33"/>
        <v>50406.61927065505</v>
      </c>
      <c r="G351" s="552">
        <f t="shared" si="34"/>
        <v>3.2926471032009021</v>
      </c>
      <c r="H351" s="555">
        <f t="shared" si="35"/>
        <v>3.2926471032009021E-6</v>
      </c>
      <c r="I351" s="558">
        <f t="shared" si="36"/>
        <v>0.59882837179168991</v>
      </c>
      <c r="J351" s="425">
        <f t="shared" si="37"/>
        <v>5.9882837179168992E-7</v>
      </c>
      <c r="K351" s="426">
        <f t="shared" si="38"/>
        <v>1.5354573635684361E-2</v>
      </c>
      <c r="L351" s="434">
        <f t="shared" si="39"/>
        <v>1.535457363568436E-8</v>
      </c>
    </row>
    <row r="352" spans="1:12">
      <c r="A352" s="149" t="s">
        <v>76</v>
      </c>
      <c r="B352" s="541">
        <f t="shared" si="30"/>
        <v>0.28949179075104392</v>
      </c>
      <c r="C352" s="235">
        <f t="shared" si="31"/>
        <v>0.28949179075104392</v>
      </c>
      <c r="D352" s="579">
        <v>0</v>
      </c>
      <c r="E352" s="235">
        <f t="shared" si="32"/>
        <v>9402.4306044188288</v>
      </c>
      <c r="F352" s="82">
        <f t="shared" si="33"/>
        <v>50406.61927065505</v>
      </c>
      <c r="G352" s="552">
        <f t="shared" si="34"/>
        <v>30.789037742537815</v>
      </c>
      <c r="H352" s="555">
        <f t="shared" si="35"/>
        <v>3.0789037742537814E-5</v>
      </c>
      <c r="I352" s="558">
        <f t="shared" si="36"/>
        <v>5.743130464604989</v>
      </c>
      <c r="J352" s="425">
        <f t="shared" si="37"/>
        <v>5.7431304646049887E-6</v>
      </c>
      <c r="K352" s="426">
        <f t="shared" si="38"/>
        <v>0</v>
      </c>
      <c r="L352" s="434">
        <f t="shared" si="39"/>
        <v>0</v>
      </c>
    </row>
    <row r="353" spans="1:12">
      <c r="A353" s="150" t="s">
        <v>77</v>
      </c>
      <c r="B353" s="541">
        <f t="shared" si="30"/>
        <v>3.4236794648362716</v>
      </c>
      <c r="C353" s="235">
        <f t="shared" si="31"/>
        <v>3.4236794648362601E-2</v>
      </c>
      <c r="D353" s="579">
        <f>D308</f>
        <v>3.389442670187909</v>
      </c>
      <c r="E353" s="235">
        <f t="shared" si="32"/>
        <v>9402.4306044188288</v>
      </c>
      <c r="F353" s="82">
        <f t="shared" si="33"/>
        <v>50406.61927065505</v>
      </c>
      <c r="G353" s="552">
        <f t="shared" si="34"/>
        <v>364.12706552997651</v>
      </c>
      <c r="H353" s="555">
        <f t="shared" si="35"/>
        <v>3.6412706552997652E-4</v>
      </c>
      <c r="I353" s="558">
        <f t="shared" si="36"/>
        <v>0.67921227695375419</v>
      </c>
      <c r="J353" s="425">
        <f t="shared" si="37"/>
        <v>6.7921227695375418E-7</v>
      </c>
      <c r="K353" s="426">
        <f t="shared" si="38"/>
        <v>67.242015418421886</v>
      </c>
      <c r="L353" s="434">
        <f t="shared" si="39"/>
        <v>6.7242015418421888E-5</v>
      </c>
    </row>
    <row r="354" spans="1:12">
      <c r="A354" s="150" t="s">
        <v>78</v>
      </c>
      <c r="B354" s="541">
        <f t="shared" si="30"/>
        <v>226.83427933858076</v>
      </c>
      <c r="C354" s="235">
        <f t="shared" si="31"/>
        <v>221.16342235511624</v>
      </c>
      <c r="D354" s="579">
        <f>D309</f>
        <v>5.6708569834645193</v>
      </c>
      <c r="E354" s="235">
        <f t="shared" si="32"/>
        <v>9402.4306044188288</v>
      </c>
      <c r="F354" s="82">
        <f t="shared" si="33"/>
        <v>50406.61927065505</v>
      </c>
      <c r="G354" s="552">
        <f t="shared" si="34"/>
        <v>24125.068174603301</v>
      </c>
      <c r="H354" s="555">
        <f t="shared" si="35"/>
        <v>2.41250681746033E-2</v>
      </c>
      <c r="I354" s="558">
        <f t="shared" si="36"/>
        <v>4387.5868994029079</v>
      </c>
      <c r="J354" s="425">
        <f t="shared" si="37"/>
        <v>4.3875868994029078E-3</v>
      </c>
      <c r="K354" s="426">
        <f t="shared" si="38"/>
        <v>112.50222818981814</v>
      </c>
      <c r="L354" s="434">
        <f t="shared" si="39"/>
        <v>1.1250222818981814E-4</v>
      </c>
    </row>
    <row r="355" spans="1:12">
      <c r="A355" s="150" t="s">
        <v>79</v>
      </c>
      <c r="B355" s="541">
        <f t="shared" si="30"/>
        <v>54.107210187304894</v>
      </c>
      <c r="C355" s="235">
        <f t="shared" si="31"/>
        <v>52.754529932622269</v>
      </c>
      <c r="D355" s="579">
        <f>D310</f>
        <v>1.3526802546826224</v>
      </c>
      <c r="E355" s="235">
        <f t="shared" si="32"/>
        <v>9402.4306044188288</v>
      </c>
      <c r="F355" s="82">
        <f t="shared" si="33"/>
        <v>50406.61927065505</v>
      </c>
      <c r="G355" s="552">
        <f t="shared" si="34"/>
        <v>5754.5981952662651</v>
      </c>
      <c r="H355" s="555">
        <f t="shared" si="35"/>
        <v>5.7545981952662655E-3</v>
      </c>
      <c r="I355" s="558">
        <f t="shared" si="36"/>
        <v>1046.5794115126084</v>
      </c>
      <c r="J355" s="425">
        <f t="shared" si="37"/>
        <v>1.0465794115126084E-3</v>
      </c>
      <c r="K355" s="426">
        <f t="shared" si="38"/>
        <v>26.835369525964321</v>
      </c>
      <c r="L355" s="434">
        <f t="shared" si="39"/>
        <v>2.6835369525964322E-5</v>
      </c>
    </row>
    <row r="356" spans="1:12">
      <c r="A356" s="150" t="s">
        <v>80</v>
      </c>
      <c r="B356" s="541">
        <f t="shared" si="30"/>
        <v>93.360523176209028</v>
      </c>
      <c r="C356" s="235">
        <f t="shared" si="31"/>
        <v>91.026510096803804</v>
      </c>
      <c r="D356" s="579">
        <f>D311</f>
        <v>2.3340130794052256</v>
      </c>
      <c r="E356" s="235">
        <f t="shared" si="32"/>
        <v>9402.4306044188288</v>
      </c>
      <c r="F356" s="82">
        <f t="shared" si="33"/>
        <v>50406.61927065505</v>
      </c>
      <c r="G356" s="552">
        <f t="shared" si="34"/>
        <v>9929.403055879262</v>
      </c>
      <c r="H356" s="555">
        <f t="shared" si="35"/>
        <v>9.9294030558792611E-3</v>
      </c>
      <c r="I356" s="558">
        <f t="shared" si="36"/>
        <v>1805.8443794463365</v>
      </c>
      <c r="J356" s="425">
        <f t="shared" si="37"/>
        <v>1.8058443794463364E-3</v>
      </c>
      <c r="K356" s="426">
        <f t="shared" si="38"/>
        <v>46.303702037085543</v>
      </c>
      <c r="L356" s="434">
        <f t="shared" si="39"/>
        <v>4.6303702037085543E-5</v>
      </c>
    </row>
    <row r="357" spans="1:12">
      <c r="A357" s="150" t="s">
        <v>81</v>
      </c>
      <c r="B357" s="541">
        <f>B211+C268*B252*46/78</f>
        <v>61.778367497114594</v>
      </c>
      <c r="C357" s="235">
        <f t="shared" si="31"/>
        <v>61.778367497114594</v>
      </c>
      <c r="D357" s="579">
        <v>0</v>
      </c>
      <c r="E357" s="235">
        <f t="shared" si="32"/>
        <v>9402.4306044188288</v>
      </c>
      <c r="F357" s="82">
        <f t="shared" si="33"/>
        <v>50406.61927065505</v>
      </c>
      <c r="G357" s="552">
        <f t="shared" si="34"/>
        <v>6570.4677967078878</v>
      </c>
      <c r="H357" s="555">
        <f t="shared" si="35"/>
        <v>6.570467796707888E-3</v>
      </c>
      <c r="I357" s="558">
        <f t="shared" si="36"/>
        <v>1225.6002959730286</v>
      </c>
      <c r="J357" s="425">
        <f t="shared" si="37"/>
        <v>1.2256002959730285E-3</v>
      </c>
      <c r="K357" s="426">
        <f t="shared" si="38"/>
        <v>0</v>
      </c>
      <c r="L357" s="434">
        <f t="shared" si="39"/>
        <v>0</v>
      </c>
    </row>
    <row r="358" spans="1:12">
      <c r="A358" s="150" t="s">
        <v>82</v>
      </c>
      <c r="B358" s="541">
        <f>B212</f>
        <v>0.50044447960149219</v>
      </c>
      <c r="C358" s="235">
        <f t="shared" si="31"/>
        <v>0.48793336761145489</v>
      </c>
      <c r="D358" s="579">
        <f t="shared" ref="D358:D364" si="40">D312</f>
        <v>1.2511111990037306E-2</v>
      </c>
      <c r="E358" s="235">
        <f t="shared" si="32"/>
        <v>9402.4306044188288</v>
      </c>
      <c r="F358" s="82">
        <f t="shared" si="33"/>
        <v>50406.61927065505</v>
      </c>
      <c r="G358" s="552">
        <f t="shared" si="34"/>
        <v>53.225011771562549</v>
      </c>
      <c r="H358" s="555">
        <f t="shared" si="35"/>
        <v>5.3225011771562552E-5</v>
      </c>
      <c r="I358" s="558">
        <f t="shared" si="36"/>
        <v>9.6799462981543858</v>
      </c>
      <c r="J358" s="425">
        <f t="shared" si="37"/>
        <v>9.6799462981543856E-6</v>
      </c>
      <c r="K358" s="426">
        <f t="shared" si="38"/>
        <v>0.24820375123472788</v>
      </c>
      <c r="L358" s="434">
        <f t="shared" si="39"/>
        <v>2.4820375123472788E-7</v>
      </c>
    </row>
    <row r="359" spans="1:12">
      <c r="A359" s="150" t="s">
        <v>630</v>
      </c>
      <c r="B359" s="541">
        <f>B213</f>
        <v>868.72015908000401</v>
      </c>
      <c r="C359" s="235">
        <f t="shared" si="31"/>
        <v>847.00215510300393</v>
      </c>
      <c r="D359" s="579">
        <f t="shared" si="40"/>
        <v>21.718003977000102</v>
      </c>
      <c r="E359" s="235">
        <f t="shared" si="32"/>
        <v>9402.4306044188288</v>
      </c>
      <c r="F359" s="82">
        <f t="shared" si="33"/>
        <v>50406.61927065505</v>
      </c>
      <c r="G359" s="552">
        <f t="shared" si="34"/>
        <v>92393.147647559817</v>
      </c>
      <c r="H359" s="555">
        <f t="shared" si="35"/>
        <v>9.239314764755982E-2</v>
      </c>
      <c r="I359" s="558">
        <f t="shared" si="36"/>
        <v>16803.391446569374</v>
      </c>
      <c r="J359" s="425">
        <f t="shared" si="37"/>
        <v>1.6803391446569373E-2</v>
      </c>
      <c r="K359" s="426">
        <f t="shared" si="38"/>
        <v>430.85619093767622</v>
      </c>
      <c r="L359" s="434">
        <f t="shared" si="39"/>
        <v>4.3085619093767623E-4</v>
      </c>
    </row>
    <row r="360" spans="1:12">
      <c r="A360" s="150" t="s">
        <v>96</v>
      </c>
      <c r="B360" s="541">
        <f>B214</f>
        <v>2498.6438430532326</v>
      </c>
      <c r="C360" s="235">
        <f t="shared" si="31"/>
        <v>2436.1777469769017</v>
      </c>
      <c r="D360" s="579">
        <f t="shared" si="40"/>
        <v>62.466096076330814</v>
      </c>
      <c r="E360" s="235">
        <f t="shared" si="32"/>
        <v>9402.4306044188288</v>
      </c>
      <c r="F360" s="82">
        <f t="shared" si="33"/>
        <v>50406.61927065505</v>
      </c>
      <c r="G360" s="552">
        <f t="shared" si="34"/>
        <v>265744.45993559936</v>
      </c>
      <c r="H360" s="555">
        <f t="shared" si="35"/>
        <v>0.26574445993559936</v>
      </c>
      <c r="I360" s="558">
        <f t="shared" si="36"/>
        <v>48330.512583992284</v>
      </c>
      <c r="J360" s="425">
        <f t="shared" si="37"/>
        <v>4.8330512583992284E-2</v>
      </c>
      <c r="K360" s="426">
        <f t="shared" si="38"/>
        <v>1239.2439124100583</v>
      </c>
      <c r="L360" s="434">
        <f t="shared" si="39"/>
        <v>1.2392439124100584E-3</v>
      </c>
    </row>
    <row r="361" spans="1:12">
      <c r="A361" s="151" t="s">
        <v>274</v>
      </c>
      <c r="B361" s="541">
        <f>B359+B360</f>
        <v>3367.3640021332367</v>
      </c>
      <c r="C361" s="235">
        <f t="shared" si="31"/>
        <v>3283.1799020799058</v>
      </c>
      <c r="D361" s="579">
        <f t="shared" si="40"/>
        <v>84.184100053330923</v>
      </c>
      <c r="E361" s="235">
        <f t="shared" si="32"/>
        <v>9402.4306044188288</v>
      </c>
      <c r="F361" s="82">
        <f t="shared" si="33"/>
        <v>50406.61927065505</v>
      </c>
      <c r="G361" s="552">
        <f t="shared" si="34"/>
        <v>358137.60758315917</v>
      </c>
      <c r="H361" s="555">
        <f t="shared" si="35"/>
        <v>0.35813760758315916</v>
      </c>
      <c r="I361" s="558">
        <f t="shared" si="36"/>
        <v>65133.904030561658</v>
      </c>
      <c r="J361" s="425">
        <f t="shared" si="37"/>
        <v>6.5133904030561657E-2</v>
      </c>
      <c r="K361" s="426">
        <f t="shared" si="38"/>
        <v>1670.1001033477348</v>
      </c>
      <c r="L361" s="434">
        <f t="shared" si="39"/>
        <v>1.6701001033477348E-3</v>
      </c>
    </row>
    <row r="362" spans="1:12">
      <c r="A362" s="151" t="s">
        <v>84</v>
      </c>
      <c r="B362" s="541">
        <f>B216</f>
        <v>0.11233705576414721</v>
      </c>
      <c r="C362" s="235">
        <f t="shared" si="31"/>
        <v>0.10952862937004353</v>
      </c>
      <c r="D362" s="579">
        <f t="shared" si="40"/>
        <v>2.8084263941036804E-3</v>
      </c>
      <c r="E362" s="235">
        <f t="shared" si="32"/>
        <v>9402.4306044188288</v>
      </c>
      <c r="F362" s="82">
        <f t="shared" si="33"/>
        <v>50406.61927065505</v>
      </c>
      <c r="G362" s="552">
        <f t="shared" si="34"/>
        <v>11.947661247438779</v>
      </c>
      <c r="H362" s="555">
        <f t="shared" si="35"/>
        <v>1.1947661247438779E-5</v>
      </c>
      <c r="I362" s="558">
        <f t="shared" si="36"/>
        <v>2.1729017132043058</v>
      </c>
      <c r="J362" s="425">
        <f t="shared" si="37"/>
        <v>2.1729017132043058E-6</v>
      </c>
      <c r="K362" s="426">
        <f t="shared" si="38"/>
        <v>5.5715428543700152E-2</v>
      </c>
      <c r="L362" s="434">
        <f t="shared" si="39"/>
        <v>5.5715428543700149E-8</v>
      </c>
    </row>
    <row r="363" spans="1:12">
      <c r="A363" s="151" t="s">
        <v>248</v>
      </c>
      <c r="B363" s="33">
        <f>C268*B252*32/78</f>
        <v>14.409086324490273</v>
      </c>
      <c r="C363" s="235">
        <f t="shared" si="31"/>
        <v>0</v>
      </c>
      <c r="D363" s="579">
        <f t="shared" si="40"/>
        <v>14.409086324490273</v>
      </c>
      <c r="E363" s="235">
        <f t="shared" si="32"/>
        <v>9402.4306044188288</v>
      </c>
      <c r="F363" s="82">
        <f t="shared" si="33"/>
        <v>50406.61927065505</v>
      </c>
      <c r="G363" s="552">
        <f t="shared" si="34"/>
        <v>1532.4852616001742</v>
      </c>
      <c r="H363" s="555">
        <f t="shared" si="35"/>
        <v>1.5324852616001741E-3</v>
      </c>
      <c r="I363" s="558">
        <f t="shared" si="36"/>
        <v>0</v>
      </c>
      <c r="J363" s="425">
        <f t="shared" si="37"/>
        <v>0</v>
      </c>
      <c r="K363" s="426">
        <f t="shared" si="38"/>
        <v>285.85702697341441</v>
      </c>
      <c r="L363" s="434">
        <f t="shared" si="39"/>
        <v>2.8585702697341443E-4</v>
      </c>
    </row>
    <row r="364" spans="1:12" ht="14.65" thickBot="1">
      <c r="A364" s="152" t="s">
        <v>86</v>
      </c>
      <c r="B364" s="542">
        <f>B222</f>
        <v>9.6272028842278985</v>
      </c>
      <c r="C364" s="236">
        <f t="shared" si="31"/>
        <v>0.48136014421139528</v>
      </c>
      <c r="D364" s="581">
        <f t="shared" si="40"/>
        <v>9.1458427400165032</v>
      </c>
      <c r="E364" s="236">
        <f t="shared" si="32"/>
        <v>9402.4306044188288</v>
      </c>
      <c r="F364" s="237">
        <f t="shared" si="33"/>
        <v>50406.61927065505</v>
      </c>
      <c r="G364" s="553">
        <f t="shared" si="34"/>
        <v>1023.9057632292904</v>
      </c>
      <c r="H364" s="556">
        <f t="shared" si="35"/>
        <v>1.0239057632292904E-3</v>
      </c>
      <c r="I364" s="559">
        <f t="shared" si="36"/>
        <v>9.5495423255180718</v>
      </c>
      <c r="J364" s="436">
        <f t="shared" si="37"/>
        <v>9.5495423255180724E-6</v>
      </c>
      <c r="K364" s="437">
        <f t="shared" si="38"/>
        <v>181.44130418484323</v>
      </c>
      <c r="L364" s="439">
        <f t="shared" si="39"/>
        <v>1.8144130418484323E-4</v>
      </c>
    </row>
    <row r="366" spans="1:12">
      <c r="A366" s="1" t="s">
        <v>204</v>
      </c>
      <c r="B366" s="1"/>
      <c r="C366" s="1"/>
    </row>
    <row r="367" spans="1:12" ht="14.65" thickBot="1">
      <c r="A367" s="816" t="s">
        <v>469</v>
      </c>
    </row>
    <row r="368" spans="1:12" ht="14.65" thickBot="1">
      <c r="A368" s="453" t="s">
        <v>26</v>
      </c>
      <c r="B368" s="454" t="s">
        <v>27</v>
      </c>
      <c r="C368" s="455" t="s">
        <v>28</v>
      </c>
    </row>
    <row r="369" spans="1:3" ht="14.65" thickBot="1">
      <c r="A369" s="456">
        <v>0.98599999999999999</v>
      </c>
      <c r="B369" s="457">
        <v>1.4E-2</v>
      </c>
      <c r="C369" s="458">
        <v>0.3</v>
      </c>
    </row>
    <row r="371" spans="1:3" ht="14.65" thickBot="1">
      <c r="A371" s="329" t="s">
        <v>647</v>
      </c>
    </row>
    <row r="372" spans="1:3" ht="14.65" thickBot="1">
      <c r="A372" s="913" t="s">
        <v>647</v>
      </c>
      <c r="B372" s="516" t="s">
        <v>237</v>
      </c>
      <c r="C372" s="914">
        <v>1.0435000000000001</v>
      </c>
    </row>
    <row r="374" spans="1:3" ht="14.65" thickBot="1">
      <c r="A374" s="823" t="s">
        <v>577</v>
      </c>
      <c r="B374" s="824"/>
      <c r="C374" s="824"/>
    </row>
    <row r="375" spans="1:3" ht="14.65" thickBot="1">
      <c r="A375" s="891" t="s">
        <v>578</v>
      </c>
      <c r="B375" s="892" t="s">
        <v>579</v>
      </c>
      <c r="C375" s="915" t="s">
        <v>580</v>
      </c>
    </row>
    <row r="376" spans="1:3" ht="14.65" thickBot="1">
      <c r="A376" s="893">
        <f>C414</f>
        <v>0.98658361284139906</v>
      </c>
      <c r="B376" s="894">
        <f>C416</f>
        <v>1.3416387158600863E-2</v>
      </c>
      <c r="C376" s="916">
        <f>TSFePh*C372</f>
        <v>0.31304999999999999</v>
      </c>
    </row>
    <row r="378" spans="1:3" ht="14.65" thickBot="1">
      <c r="A378" s="79" t="s">
        <v>287</v>
      </c>
    </row>
    <row r="379" spans="1:3">
      <c r="A379" s="18" t="s">
        <v>53</v>
      </c>
      <c r="B379" s="104" t="s">
        <v>18</v>
      </c>
      <c r="C379" s="15" t="s">
        <v>106</v>
      </c>
    </row>
    <row r="380" spans="1:3" ht="14.65" thickBot="1">
      <c r="A380" s="93" t="s">
        <v>6</v>
      </c>
      <c r="B380" s="271" t="s">
        <v>35</v>
      </c>
      <c r="C380" s="384">
        <f>$C$324</f>
        <v>50406.61927065505</v>
      </c>
    </row>
    <row r="381" spans="1:3">
      <c r="A381" s="83"/>
      <c r="B381" s="77"/>
      <c r="C381" s="95"/>
    </row>
    <row r="382" spans="1:3" hidden="1">
      <c r="A382" s="79" t="s">
        <v>47</v>
      </c>
      <c r="B382" s="79"/>
      <c r="C382" s="79"/>
    </row>
    <row r="383" spans="1:3" ht="14.65" hidden="1" thickBot="1">
      <c r="A383" s="103" t="s">
        <v>53</v>
      </c>
      <c r="B383" s="102" t="s">
        <v>18</v>
      </c>
      <c r="C383" s="17" t="s">
        <v>106</v>
      </c>
    </row>
    <row r="384" spans="1:3" hidden="1">
      <c r="A384" s="272" t="s">
        <v>202</v>
      </c>
      <c r="B384" s="278" t="s">
        <v>35</v>
      </c>
      <c r="C384" s="279">
        <f>$C$187</f>
        <v>9367.3084565028839</v>
      </c>
    </row>
    <row r="385" spans="1:3" hidden="1">
      <c r="A385" s="257" t="s">
        <v>115</v>
      </c>
      <c r="B385" s="278" t="s">
        <v>24</v>
      </c>
      <c r="C385" s="312">
        <v>0.05</v>
      </c>
    </row>
    <row r="386" spans="1:3" hidden="1">
      <c r="A386" s="257" t="s">
        <v>113</v>
      </c>
      <c r="B386" s="278" t="s">
        <v>35</v>
      </c>
      <c r="C386" s="295">
        <f>$C$268</f>
        <v>702.44295831890076</v>
      </c>
    </row>
    <row r="387" spans="1:3" hidden="1">
      <c r="A387" s="257" t="s">
        <v>116</v>
      </c>
      <c r="B387" s="278" t="s">
        <v>35</v>
      </c>
      <c r="C387" s="295">
        <f>C386*C385</f>
        <v>35.122147915945042</v>
      </c>
    </row>
    <row r="388" spans="1:3" hidden="1">
      <c r="A388" s="257" t="s">
        <v>430</v>
      </c>
      <c r="B388" s="278" t="s">
        <v>35</v>
      </c>
      <c r="C388" s="279">
        <f>C384+C387</f>
        <v>9402.4306044188288</v>
      </c>
    </row>
    <row r="389" spans="1:3" ht="14.65" hidden="1" thickBot="1">
      <c r="A389" s="360" t="s">
        <v>6</v>
      </c>
      <c r="B389" s="320" t="s">
        <v>35</v>
      </c>
      <c r="C389" s="321">
        <f>$C$324</f>
        <v>50406.61927065505</v>
      </c>
    </row>
    <row r="390" spans="1:3" hidden="1">
      <c r="A390" s="299" t="s">
        <v>64</v>
      </c>
      <c r="B390" s="260" t="s">
        <v>24</v>
      </c>
      <c r="C390" s="300">
        <f>C388/C389</f>
        <v>0.18653166469929458</v>
      </c>
    </row>
    <row r="391" spans="1:3" hidden="1">
      <c r="A391" s="257" t="s">
        <v>134</v>
      </c>
      <c r="B391" s="278" t="s">
        <v>35</v>
      </c>
      <c r="C391" s="279">
        <f>$C$194</f>
        <v>40336.867855833269</v>
      </c>
    </row>
    <row r="392" spans="1:3" hidden="1">
      <c r="A392" s="257" t="s">
        <v>117</v>
      </c>
      <c r="B392" s="278" t="s">
        <v>24</v>
      </c>
      <c r="C392" s="312">
        <f>1-C385</f>
        <v>0.95</v>
      </c>
    </row>
    <row r="393" spans="1:3" hidden="1">
      <c r="A393" s="257" t="s">
        <v>113</v>
      </c>
      <c r="B393" s="278" t="s">
        <v>35</v>
      </c>
      <c r="C393" s="295">
        <f>$C$268</f>
        <v>702.44295831890076</v>
      </c>
    </row>
    <row r="394" spans="1:3" hidden="1">
      <c r="A394" s="257" t="s">
        <v>118</v>
      </c>
      <c r="B394" s="278" t="s">
        <v>35</v>
      </c>
      <c r="C394" s="279">
        <f>C392*C393</f>
        <v>667.32081040295566</v>
      </c>
    </row>
    <row r="395" spans="1:3" hidden="1">
      <c r="A395" s="257" t="s">
        <v>65</v>
      </c>
      <c r="B395" s="278" t="s">
        <v>35</v>
      </c>
      <c r="C395" s="279">
        <f>C391+C394</f>
        <v>41004.188666236223</v>
      </c>
    </row>
    <row r="396" spans="1:3" ht="14.65" hidden="1" thickBot="1">
      <c r="A396" s="360" t="s">
        <v>6</v>
      </c>
      <c r="B396" s="320" t="s">
        <v>35</v>
      </c>
      <c r="C396" s="321">
        <f>$C$324</f>
        <v>50406.61927065505</v>
      </c>
    </row>
    <row r="397" spans="1:3" ht="14.65" hidden="1" thickBot="1">
      <c r="A397" s="301" t="s">
        <v>66</v>
      </c>
      <c r="B397" s="277" t="s">
        <v>24</v>
      </c>
      <c r="C397" s="303">
        <f>C395/C396</f>
        <v>0.8134683353007055</v>
      </c>
    </row>
    <row r="398" spans="1:3" hidden="1">
      <c r="A398" s="83"/>
      <c r="B398" s="77"/>
      <c r="C398" s="96"/>
    </row>
    <row r="399" spans="1:3" ht="14.65" thickBot="1">
      <c r="A399" s="79" t="s">
        <v>288</v>
      </c>
    </row>
    <row r="400" spans="1:3" ht="14.65" thickBot="1">
      <c r="A400" s="103" t="s">
        <v>90</v>
      </c>
      <c r="B400" s="102" t="s">
        <v>18</v>
      </c>
      <c r="C400" s="17" t="s">
        <v>91</v>
      </c>
    </row>
    <row r="401" spans="1:3">
      <c r="A401" s="137" t="s">
        <v>276</v>
      </c>
      <c r="B401" s="793" t="s">
        <v>35</v>
      </c>
      <c r="C401" s="795">
        <f>$C$380</f>
        <v>50406.61927065505</v>
      </c>
    </row>
    <row r="402" spans="1:3">
      <c r="A402" s="815" t="s">
        <v>26</v>
      </c>
      <c r="B402" s="105" t="s">
        <v>24</v>
      </c>
      <c r="C402" s="221">
        <f>A369</f>
        <v>0.98599999999999999</v>
      </c>
    </row>
    <row r="403" spans="1:3">
      <c r="A403" s="92" t="s">
        <v>396</v>
      </c>
      <c r="B403" s="900" t="s">
        <v>35</v>
      </c>
      <c r="C403" s="383">
        <f>C401*C402</f>
        <v>49700.926600865881</v>
      </c>
    </row>
    <row r="404" spans="1:3">
      <c r="A404" s="815" t="s">
        <v>27</v>
      </c>
      <c r="B404" s="105" t="s">
        <v>24</v>
      </c>
      <c r="C404" s="221">
        <f>B369</f>
        <v>1.4E-2</v>
      </c>
    </row>
    <row r="405" spans="1:3">
      <c r="A405" s="92" t="s">
        <v>295</v>
      </c>
      <c r="B405" s="900" t="s">
        <v>35</v>
      </c>
      <c r="C405" s="901">
        <f>C401*C404</f>
        <v>705.69266978917074</v>
      </c>
    </row>
    <row r="406" spans="1:3">
      <c r="A406" s="68" t="s">
        <v>355</v>
      </c>
      <c r="B406" s="105" t="s">
        <v>24</v>
      </c>
      <c r="C406" s="100">
        <f>C369</f>
        <v>0.3</v>
      </c>
    </row>
    <row r="407" spans="1:3">
      <c r="A407" s="92" t="s">
        <v>431</v>
      </c>
      <c r="B407" s="900" t="s">
        <v>35</v>
      </c>
      <c r="C407" s="901">
        <f>C405*C406</f>
        <v>211.70780093675123</v>
      </c>
    </row>
    <row r="408" spans="1:3">
      <c r="A408" s="68" t="s">
        <v>371</v>
      </c>
      <c r="B408" s="105" t="s">
        <v>24</v>
      </c>
      <c r="C408" s="100">
        <f>1-C406</f>
        <v>0.7</v>
      </c>
    </row>
    <row r="409" spans="1:3" ht="14.65" thickBot="1">
      <c r="A409" s="93" t="s">
        <v>372</v>
      </c>
      <c r="B409" s="214" t="s">
        <v>35</v>
      </c>
      <c r="C409" s="912">
        <f>C405*C408</f>
        <v>493.98486885241948</v>
      </c>
    </row>
    <row r="410" spans="1:3">
      <c r="A410" s="77"/>
      <c r="B410" s="77"/>
      <c r="C410" s="117"/>
    </row>
    <row r="411" spans="1:3" ht="14.65" thickBot="1">
      <c r="A411" s="79" t="s">
        <v>474</v>
      </c>
    </row>
    <row r="412" spans="1:3" ht="14.65" thickBot="1">
      <c r="A412" s="191" t="s">
        <v>90</v>
      </c>
      <c r="B412" s="192" t="s">
        <v>18</v>
      </c>
      <c r="C412" s="193" t="s">
        <v>91</v>
      </c>
    </row>
    <row r="413" spans="1:3">
      <c r="A413" s="911" t="s">
        <v>276</v>
      </c>
      <c r="B413" s="745" t="s">
        <v>35</v>
      </c>
      <c r="C413" s="730">
        <f>C380</f>
        <v>50406.61927065505</v>
      </c>
    </row>
    <row r="414" spans="1:3">
      <c r="A414" s="815" t="s">
        <v>578</v>
      </c>
      <c r="B414" s="105" t="s">
        <v>24</v>
      </c>
      <c r="C414" s="221">
        <f>C415/C413</f>
        <v>0.98658361284139906</v>
      </c>
    </row>
    <row r="415" spans="1:3">
      <c r="A415" s="253" t="s">
        <v>396</v>
      </c>
      <c r="B415" s="900" t="s">
        <v>35</v>
      </c>
      <c r="C415" s="254">
        <f>C413-C417</f>
        <v>49730.344551163747</v>
      </c>
    </row>
    <row r="416" spans="1:3">
      <c r="A416" s="815" t="s">
        <v>579</v>
      </c>
      <c r="B416" s="105" t="s">
        <v>24</v>
      </c>
      <c r="C416" s="221">
        <f>C417/C413</f>
        <v>1.3416387158600863E-2</v>
      </c>
    </row>
    <row r="417" spans="1:3">
      <c r="A417" s="253" t="s">
        <v>295</v>
      </c>
      <c r="B417" s="900" t="s">
        <v>35</v>
      </c>
      <c r="C417" s="322">
        <f>C419/C418</f>
        <v>676.27471949129927</v>
      </c>
    </row>
    <row r="418" spans="1:3">
      <c r="A418" s="68" t="s">
        <v>580</v>
      </c>
      <c r="B418" s="105" t="s">
        <v>24</v>
      </c>
      <c r="C418" s="100">
        <f>C376</f>
        <v>0.31304999999999999</v>
      </c>
    </row>
    <row r="419" spans="1:3">
      <c r="A419" s="68" t="s">
        <v>431</v>
      </c>
      <c r="B419" s="105" t="s">
        <v>35</v>
      </c>
      <c r="C419" s="86">
        <f>C407</f>
        <v>211.70780093675123</v>
      </c>
    </row>
    <row r="420" spans="1:3">
      <c r="A420" s="68" t="s">
        <v>371</v>
      </c>
      <c r="B420" s="105" t="s">
        <v>24</v>
      </c>
      <c r="C420" s="100">
        <f>1-C418</f>
        <v>0.68694999999999995</v>
      </c>
    </row>
    <row r="421" spans="1:3" ht="14.65" thickBot="1">
      <c r="A421" s="73" t="s">
        <v>372</v>
      </c>
      <c r="B421" s="23" t="s">
        <v>35</v>
      </c>
      <c r="C421" s="118">
        <f>C417*C420</f>
        <v>464.56691855454801</v>
      </c>
    </row>
    <row r="422" spans="1:3">
      <c r="A422" s="77"/>
      <c r="B422" s="77"/>
      <c r="C422" s="117"/>
    </row>
    <row r="423" spans="1:3" ht="14.65" thickBot="1">
      <c r="A423" s="79" t="s">
        <v>205</v>
      </c>
      <c r="B423" s="79"/>
      <c r="C423" s="79"/>
    </row>
    <row r="424" spans="1:3" ht="14.65" thickBot="1">
      <c r="A424" s="103" t="s">
        <v>90</v>
      </c>
      <c r="B424" s="102" t="s">
        <v>18</v>
      </c>
      <c r="C424" s="17" t="s">
        <v>106</v>
      </c>
    </row>
    <row r="425" spans="1:3">
      <c r="A425" s="272" t="s">
        <v>337</v>
      </c>
      <c r="B425" s="296" t="s">
        <v>35</v>
      </c>
      <c r="C425" s="286">
        <f>C332</f>
        <v>9402.4306044188288</v>
      </c>
    </row>
    <row r="426" spans="1:3">
      <c r="A426" s="281" t="s">
        <v>431</v>
      </c>
      <c r="B426" s="278" t="s">
        <v>35</v>
      </c>
      <c r="C426" s="289">
        <f>C419</f>
        <v>211.70780093675123</v>
      </c>
    </row>
    <row r="427" spans="1:3">
      <c r="A427" s="257" t="s">
        <v>374</v>
      </c>
      <c r="B427" s="278" t="s">
        <v>35</v>
      </c>
      <c r="C427" s="279">
        <f>C425-C426</f>
        <v>9190.7228034820782</v>
      </c>
    </row>
    <row r="428" spans="1:3">
      <c r="A428" s="257" t="s">
        <v>396</v>
      </c>
      <c r="B428" s="278" t="s">
        <v>35</v>
      </c>
      <c r="C428" s="279">
        <f>C415</f>
        <v>49730.344551163747</v>
      </c>
    </row>
    <row r="429" spans="1:3">
      <c r="A429" s="299" t="s">
        <v>389</v>
      </c>
      <c r="B429" s="260" t="s">
        <v>24</v>
      </c>
      <c r="C429" s="300">
        <f>C427/C428</f>
        <v>0.18481116281079546</v>
      </c>
    </row>
    <row r="430" spans="1:3">
      <c r="A430" s="257" t="s">
        <v>335</v>
      </c>
      <c r="B430" s="278" t="s">
        <v>35</v>
      </c>
      <c r="C430" s="279">
        <f>C339</f>
        <v>41004.188666236223</v>
      </c>
    </row>
    <row r="431" spans="1:3">
      <c r="A431" s="281" t="s">
        <v>372</v>
      </c>
      <c r="B431" s="278" t="s">
        <v>35</v>
      </c>
      <c r="C431" s="289">
        <f>C421</f>
        <v>464.56691855454801</v>
      </c>
    </row>
    <row r="432" spans="1:3">
      <c r="A432" s="257" t="s">
        <v>376</v>
      </c>
      <c r="B432" s="278" t="s">
        <v>35</v>
      </c>
      <c r="C432" s="279">
        <f>C430-C431</f>
        <v>40539.621747681675</v>
      </c>
    </row>
    <row r="433" spans="1:8">
      <c r="A433" s="257" t="s">
        <v>396</v>
      </c>
      <c r="B433" s="278" t="s">
        <v>35</v>
      </c>
      <c r="C433" s="279">
        <f>C415</f>
        <v>49730.344551163747</v>
      </c>
    </row>
    <row r="434" spans="1:8" ht="14.65" thickBot="1">
      <c r="A434" s="301" t="s">
        <v>321</v>
      </c>
      <c r="B434" s="277" t="s">
        <v>24</v>
      </c>
      <c r="C434" s="303">
        <f>C432/C433</f>
        <v>0.81518883718920465</v>
      </c>
    </row>
    <row r="435" spans="1:8">
      <c r="A435" s="77"/>
      <c r="B435" s="77"/>
      <c r="C435" s="117"/>
    </row>
    <row r="436" spans="1:8" ht="14.65" thickBot="1">
      <c r="A436" s="79" t="s">
        <v>207</v>
      </c>
    </row>
    <row r="437" spans="1:8" ht="14.65" thickBot="1">
      <c r="A437" s="419"/>
      <c r="B437" s="1028" t="s">
        <v>262</v>
      </c>
      <c r="C437" s="1029"/>
      <c r="D437" s="1031"/>
      <c r="E437" s="1065" t="s">
        <v>263</v>
      </c>
      <c r="F437" s="1061"/>
      <c r="G437" s="1061"/>
      <c r="H437" s="1009"/>
    </row>
    <row r="438" spans="1:8">
      <c r="A438" s="92" t="s">
        <v>93</v>
      </c>
      <c r="B438" s="377" t="s">
        <v>243</v>
      </c>
      <c r="C438" s="491" t="s">
        <v>374</v>
      </c>
      <c r="D438" s="492" t="s">
        <v>293</v>
      </c>
      <c r="E438" s="1039" t="s">
        <v>269</v>
      </c>
      <c r="F438" s="1040"/>
      <c r="G438" s="1022" t="s">
        <v>294</v>
      </c>
      <c r="H438" s="1023"/>
    </row>
    <row r="439" spans="1:8" ht="14.65" thickBot="1">
      <c r="A439" s="93" t="s">
        <v>18</v>
      </c>
      <c r="B439" s="403" t="s">
        <v>35</v>
      </c>
      <c r="C439" s="154" t="s">
        <v>35</v>
      </c>
      <c r="D439" s="155" t="s">
        <v>35</v>
      </c>
      <c r="E439" s="153" t="s">
        <v>257</v>
      </c>
      <c r="F439" s="423" t="s">
        <v>237</v>
      </c>
      <c r="G439" s="403" t="s">
        <v>71</v>
      </c>
      <c r="H439" s="155" t="s">
        <v>237</v>
      </c>
    </row>
    <row r="440" spans="1:8">
      <c r="A440" s="150" t="s">
        <v>72</v>
      </c>
      <c r="B440" s="540">
        <f t="shared" ref="B440:B456" si="41">C348</f>
        <v>362.79690819271809</v>
      </c>
      <c r="C440" s="428">
        <f>$C$427</f>
        <v>9190.7228034820782</v>
      </c>
      <c r="D440" s="382">
        <f>$C$415</f>
        <v>49730.344551163747</v>
      </c>
      <c r="E440" s="551">
        <f>B440/C440*1000000</f>
        <v>39474.252020229098</v>
      </c>
      <c r="F440" s="554">
        <f>E440/1000000</f>
        <v>3.9474252020229098E-2</v>
      </c>
      <c r="G440" s="557">
        <f>B440/D440*1000000</f>
        <v>7295.2824169449323</v>
      </c>
      <c r="H440" s="433">
        <f>G440/1000000</f>
        <v>7.2952824169449319E-3</v>
      </c>
    </row>
    <row r="441" spans="1:8">
      <c r="A441" s="149" t="s">
        <v>73</v>
      </c>
      <c r="B441" s="541">
        <f t="shared" si="41"/>
        <v>1.8520991748595617E-2</v>
      </c>
      <c r="C441" s="235">
        <f t="shared" ref="C441:C456" si="42">$C$427</f>
        <v>9190.7228034820782</v>
      </c>
      <c r="D441" s="82">
        <f t="shared" ref="D441:D456" si="43">$C$415</f>
        <v>49730.344551163747</v>
      </c>
      <c r="E441" s="552">
        <f t="shared" ref="E441:E456" si="44">B441/C441*1000000</f>
        <v>2.0151833696451589</v>
      </c>
      <c r="F441" s="555">
        <f t="shared" ref="F441:F456" si="45">E441/1000000</f>
        <v>2.0151833696451591E-6</v>
      </c>
      <c r="G441" s="558">
        <f t="shared" ref="G441:G456" si="46">B441/D441*1000000</f>
        <v>0.37242838182109889</v>
      </c>
      <c r="H441" s="434">
        <f t="shared" ref="H441:H456" si="47">G441/1000000</f>
        <v>3.7242838182109887E-7</v>
      </c>
    </row>
    <row r="442" spans="1:8">
      <c r="A442" s="149" t="s">
        <v>74</v>
      </c>
      <c r="B442" s="541">
        <f t="shared" si="41"/>
        <v>563.65395765032372</v>
      </c>
      <c r="C442" s="235">
        <f t="shared" si="42"/>
        <v>9190.7228034820782</v>
      </c>
      <c r="D442" s="82">
        <f t="shared" si="43"/>
        <v>49730.344551163747</v>
      </c>
      <c r="E442" s="552">
        <f t="shared" si="44"/>
        <v>61328.577708466284</v>
      </c>
      <c r="F442" s="555">
        <f t="shared" si="45"/>
        <v>6.1328577708466281E-2</v>
      </c>
      <c r="G442" s="558">
        <f t="shared" si="46"/>
        <v>11334.205759833883</v>
      </c>
      <c r="H442" s="434">
        <f t="shared" si="47"/>
        <v>1.1334205759833883E-2</v>
      </c>
    </row>
    <row r="443" spans="1:8">
      <c r="A443" s="149" t="s">
        <v>75</v>
      </c>
      <c r="B443" s="541">
        <f t="shared" si="41"/>
        <v>3.0184913745369985E-2</v>
      </c>
      <c r="C443" s="235">
        <f t="shared" si="42"/>
        <v>9190.7228034820782</v>
      </c>
      <c r="D443" s="82">
        <f t="shared" si="43"/>
        <v>49730.344551163747</v>
      </c>
      <c r="E443" s="552">
        <f t="shared" si="44"/>
        <v>3.2842807242466132</v>
      </c>
      <c r="F443" s="555">
        <f t="shared" si="45"/>
        <v>3.2842807242466132E-6</v>
      </c>
      <c r="G443" s="558">
        <f t="shared" si="46"/>
        <v>0.6069717396450981</v>
      </c>
      <c r="H443" s="434">
        <f t="shared" si="47"/>
        <v>6.0697173964509812E-7</v>
      </c>
    </row>
    <row r="444" spans="1:8">
      <c r="A444" s="149" t="s">
        <v>76</v>
      </c>
      <c r="B444" s="541">
        <f t="shared" si="41"/>
        <v>0.28949179075104392</v>
      </c>
      <c r="C444" s="235">
        <f t="shared" si="42"/>
        <v>9190.7228034820782</v>
      </c>
      <c r="D444" s="82">
        <f t="shared" si="43"/>
        <v>49730.344551163747</v>
      </c>
      <c r="E444" s="552">
        <f t="shared" si="44"/>
        <v>31.498261555811965</v>
      </c>
      <c r="F444" s="555">
        <f t="shared" si="45"/>
        <v>3.1498261555811964E-5</v>
      </c>
      <c r="G444" s="558">
        <f t="shared" si="46"/>
        <v>5.8212303446481846</v>
      </c>
      <c r="H444" s="434">
        <f t="shared" si="47"/>
        <v>5.8212303446481846E-6</v>
      </c>
    </row>
    <row r="445" spans="1:8">
      <c r="A445" s="150" t="s">
        <v>77</v>
      </c>
      <c r="B445" s="541">
        <f t="shared" si="41"/>
        <v>3.4236794648362601E-2</v>
      </c>
      <c r="C445" s="235">
        <f t="shared" si="42"/>
        <v>9190.7228034820782</v>
      </c>
      <c r="D445" s="82">
        <f t="shared" si="43"/>
        <v>49730.344551163747</v>
      </c>
      <c r="E445" s="552">
        <f t="shared" si="44"/>
        <v>3.7251471272086838</v>
      </c>
      <c r="F445" s="555">
        <f t="shared" si="45"/>
        <v>3.7251471272086836E-6</v>
      </c>
      <c r="G445" s="558">
        <f t="shared" si="46"/>
        <v>0.68844877222073098</v>
      </c>
      <c r="H445" s="434">
        <f t="shared" si="47"/>
        <v>6.8844877222073101E-7</v>
      </c>
    </row>
    <row r="446" spans="1:8">
      <c r="A446" s="150" t="s">
        <v>78</v>
      </c>
      <c r="B446" s="541">
        <f t="shared" si="41"/>
        <v>221.16342235511624</v>
      </c>
      <c r="C446" s="235">
        <f t="shared" si="42"/>
        <v>9190.7228034820782</v>
      </c>
      <c r="D446" s="82">
        <f t="shared" si="43"/>
        <v>49730.344551163747</v>
      </c>
      <c r="E446" s="552">
        <f t="shared" si="44"/>
        <v>24063.768115313447</v>
      </c>
      <c r="F446" s="555">
        <f t="shared" si="45"/>
        <v>2.4063768115313446E-2</v>
      </c>
      <c r="G446" s="558">
        <f t="shared" si="46"/>
        <v>4447.2529670004224</v>
      </c>
      <c r="H446" s="434">
        <f t="shared" si="47"/>
        <v>4.4472529670004221E-3</v>
      </c>
    </row>
    <row r="447" spans="1:8">
      <c r="A447" s="150" t="s">
        <v>79</v>
      </c>
      <c r="B447" s="541">
        <f t="shared" si="41"/>
        <v>52.754529932622269</v>
      </c>
      <c r="C447" s="235">
        <f t="shared" si="42"/>
        <v>9190.7228034820782</v>
      </c>
      <c r="D447" s="82">
        <f t="shared" si="43"/>
        <v>49730.344551163747</v>
      </c>
      <c r="E447" s="552">
        <f t="shared" si="44"/>
        <v>5739.9761760451775</v>
      </c>
      <c r="F447" s="555">
        <f t="shared" si="45"/>
        <v>5.7399761760451775E-3</v>
      </c>
      <c r="G447" s="558">
        <f t="shared" si="46"/>
        <v>1060.8116716011723</v>
      </c>
      <c r="H447" s="434">
        <f t="shared" si="47"/>
        <v>1.0608116716011723E-3</v>
      </c>
    </row>
    <row r="448" spans="1:8">
      <c r="A448" s="150" t="s">
        <v>80</v>
      </c>
      <c r="B448" s="541">
        <f t="shared" si="41"/>
        <v>91.026510096803804</v>
      </c>
      <c r="C448" s="235">
        <f t="shared" si="42"/>
        <v>9190.7228034820782</v>
      </c>
      <c r="D448" s="82">
        <f t="shared" si="43"/>
        <v>49730.344551163747</v>
      </c>
      <c r="E448" s="552">
        <f t="shared" si="44"/>
        <v>9904.1731584284862</v>
      </c>
      <c r="F448" s="555">
        <f t="shared" si="45"/>
        <v>9.9041731584284861E-3</v>
      </c>
      <c r="G448" s="558">
        <f t="shared" si="46"/>
        <v>1830.4017580886373</v>
      </c>
      <c r="H448" s="434">
        <f t="shared" si="47"/>
        <v>1.8304017580886374E-3</v>
      </c>
    </row>
    <row r="449" spans="1:8">
      <c r="A449" s="150" t="s">
        <v>81</v>
      </c>
      <c r="B449" s="541">
        <f t="shared" si="41"/>
        <v>61.778367497114594</v>
      </c>
      <c r="C449" s="235">
        <f t="shared" si="42"/>
        <v>9190.7228034820782</v>
      </c>
      <c r="D449" s="82">
        <f t="shared" si="43"/>
        <v>49730.344551163747</v>
      </c>
      <c r="E449" s="552">
        <f t="shared" si="44"/>
        <v>6721.8181657822061</v>
      </c>
      <c r="F449" s="555">
        <f t="shared" si="45"/>
        <v>6.7218181657822057E-3</v>
      </c>
      <c r="G449" s="558">
        <f t="shared" si="46"/>
        <v>1242.2670314209377</v>
      </c>
      <c r="H449" s="434">
        <f t="shared" si="47"/>
        <v>1.2422670314209377E-3</v>
      </c>
    </row>
    <row r="450" spans="1:8">
      <c r="A450" s="150" t="s">
        <v>82</v>
      </c>
      <c r="B450" s="541">
        <f t="shared" si="41"/>
        <v>0.48793336761145489</v>
      </c>
      <c r="C450" s="235">
        <f t="shared" si="42"/>
        <v>9190.7228034820782</v>
      </c>
      <c r="D450" s="82">
        <f t="shared" si="43"/>
        <v>49730.344551163747</v>
      </c>
      <c r="E450" s="552">
        <f t="shared" si="44"/>
        <v>53.089770853125088</v>
      </c>
      <c r="F450" s="555">
        <f t="shared" si="45"/>
        <v>5.3089770853125085E-5</v>
      </c>
      <c r="G450" s="558">
        <f t="shared" si="46"/>
        <v>9.8115822847247234</v>
      </c>
      <c r="H450" s="434">
        <f t="shared" si="47"/>
        <v>9.811582284724723E-6</v>
      </c>
    </row>
    <row r="451" spans="1:8">
      <c r="A451" s="150" t="s">
        <v>630</v>
      </c>
      <c r="B451" s="541">
        <f t="shared" si="41"/>
        <v>847.00215510300393</v>
      </c>
      <c r="C451" s="235">
        <f t="shared" si="42"/>
        <v>9190.7228034820782</v>
      </c>
      <c r="D451" s="82">
        <f t="shared" si="43"/>
        <v>49730.344551163747</v>
      </c>
      <c r="E451" s="552">
        <f t="shared" si="44"/>
        <v>92158.38331911189</v>
      </c>
      <c r="F451" s="555">
        <f t="shared" si="45"/>
        <v>9.2158383319111886E-2</v>
      </c>
      <c r="G451" s="558">
        <f t="shared" si="46"/>
        <v>17031.89798396808</v>
      </c>
      <c r="H451" s="434">
        <f t="shared" si="47"/>
        <v>1.7031897983968081E-2</v>
      </c>
    </row>
    <row r="452" spans="1:8">
      <c r="A452" s="150" t="s">
        <v>96</v>
      </c>
      <c r="B452" s="541">
        <f t="shared" si="41"/>
        <v>2436.1777469769017</v>
      </c>
      <c r="C452" s="235">
        <f t="shared" si="42"/>
        <v>9190.7228034820782</v>
      </c>
      <c r="D452" s="82">
        <f t="shared" si="43"/>
        <v>49730.344551163747</v>
      </c>
      <c r="E452" s="552">
        <f t="shared" si="44"/>
        <v>265069.22241783963</v>
      </c>
      <c r="F452" s="555">
        <f t="shared" si="45"/>
        <v>0.26506922241783965</v>
      </c>
      <c r="G452" s="558">
        <f t="shared" si="46"/>
        <v>48987.751220394319</v>
      </c>
      <c r="H452" s="434">
        <f t="shared" si="47"/>
        <v>4.8987751220394317E-2</v>
      </c>
    </row>
    <row r="453" spans="1:8">
      <c r="A453" s="151" t="s">
        <v>274</v>
      </c>
      <c r="B453" s="541">
        <f t="shared" si="41"/>
        <v>3283.1799020799058</v>
      </c>
      <c r="C453" s="235">
        <f t="shared" si="42"/>
        <v>9190.7228034820782</v>
      </c>
      <c r="D453" s="82">
        <f t="shared" si="43"/>
        <v>49730.344551163747</v>
      </c>
      <c r="E453" s="552">
        <f t="shared" si="44"/>
        <v>357227.60573695158</v>
      </c>
      <c r="F453" s="555">
        <f t="shared" si="45"/>
        <v>0.35722760573695156</v>
      </c>
      <c r="G453" s="558">
        <f t="shared" si="46"/>
        <v>66019.649204362402</v>
      </c>
      <c r="H453" s="434">
        <f t="shared" si="47"/>
        <v>6.6019649204362402E-2</v>
      </c>
    </row>
    <row r="454" spans="1:8">
      <c r="A454" s="151" t="s">
        <v>84</v>
      </c>
      <c r="B454" s="541">
        <f t="shared" si="41"/>
        <v>0.10952862937004353</v>
      </c>
      <c r="C454" s="235">
        <f t="shared" si="42"/>
        <v>9190.7228034820782</v>
      </c>
      <c r="D454" s="82">
        <f t="shared" si="43"/>
        <v>49730.344551163747</v>
      </c>
      <c r="E454" s="552">
        <f t="shared" si="44"/>
        <v>11.917303101399874</v>
      </c>
      <c r="F454" s="555">
        <f t="shared" si="45"/>
        <v>1.1917303101399874E-5</v>
      </c>
      <c r="G454" s="558">
        <f t="shared" si="46"/>
        <v>2.2024506437384104</v>
      </c>
      <c r="H454" s="434">
        <f t="shared" si="47"/>
        <v>2.2024506437384102E-6</v>
      </c>
    </row>
    <row r="455" spans="1:8">
      <c r="A455" s="151" t="s">
        <v>248</v>
      </c>
      <c r="B455" s="541">
        <f t="shared" si="41"/>
        <v>0</v>
      </c>
      <c r="C455" s="235">
        <f t="shared" si="42"/>
        <v>9190.7228034820782</v>
      </c>
      <c r="D455" s="82">
        <f t="shared" si="43"/>
        <v>49730.344551163747</v>
      </c>
      <c r="E455" s="552">
        <f t="shared" si="44"/>
        <v>0</v>
      </c>
      <c r="F455" s="555">
        <f t="shared" si="45"/>
        <v>0</v>
      </c>
      <c r="G455" s="558">
        <f t="shared" si="46"/>
        <v>0</v>
      </c>
      <c r="H455" s="434">
        <f t="shared" si="47"/>
        <v>0</v>
      </c>
    </row>
    <row r="456" spans="1:8" ht="14.65" thickBot="1">
      <c r="A456" s="152" t="s">
        <v>86</v>
      </c>
      <c r="B456" s="542">
        <f t="shared" si="41"/>
        <v>0.48136014421139528</v>
      </c>
      <c r="C456" s="236">
        <f t="shared" si="42"/>
        <v>9190.7228034820782</v>
      </c>
      <c r="D456" s="237">
        <f t="shared" si="43"/>
        <v>49730.344551163747</v>
      </c>
      <c r="E456" s="553">
        <f t="shared" si="44"/>
        <v>52.374568845556183</v>
      </c>
      <c r="F456" s="556">
        <f t="shared" si="45"/>
        <v>5.237456884555618E-5</v>
      </c>
      <c r="G456" s="559">
        <f t="shared" si="46"/>
        <v>9.6794049700613005</v>
      </c>
      <c r="H456" s="439">
        <f t="shared" si="47"/>
        <v>9.6794049700612998E-6</v>
      </c>
    </row>
    <row r="457" spans="1:8">
      <c r="A457" s="145"/>
      <c r="B457" s="234"/>
      <c r="C457" s="96"/>
      <c r="D457" s="96"/>
      <c r="E457" s="95"/>
      <c r="F457" s="95"/>
    </row>
    <row r="458" spans="1:8" ht="14.65" thickBot="1">
      <c r="A458" s="79" t="s">
        <v>215</v>
      </c>
    </row>
    <row r="459" spans="1:8" ht="14.65" thickBot="1">
      <c r="A459" s="419"/>
      <c r="B459" s="1028" t="s">
        <v>262</v>
      </c>
      <c r="C459" s="1029"/>
      <c r="D459" s="1031"/>
      <c r="E459" s="1065" t="s">
        <v>263</v>
      </c>
      <c r="F459" s="1061"/>
      <c r="G459" s="1061"/>
      <c r="H459" s="1009"/>
    </row>
    <row r="460" spans="1:8">
      <c r="A460" s="92" t="s">
        <v>93</v>
      </c>
      <c r="B460" s="377" t="s">
        <v>256</v>
      </c>
      <c r="C460" s="491" t="s">
        <v>431</v>
      </c>
      <c r="D460" s="492" t="s">
        <v>295</v>
      </c>
      <c r="E460" s="1039" t="s">
        <v>269</v>
      </c>
      <c r="F460" s="1040"/>
      <c r="G460" s="1022" t="s">
        <v>296</v>
      </c>
      <c r="H460" s="1023"/>
    </row>
    <row r="461" spans="1:8" ht="14.65" thickBot="1">
      <c r="A461" s="93" t="s">
        <v>18</v>
      </c>
      <c r="B461" s="403" t="s">
        <v>35</v>
      </c>
      <c r="C461" s="154" t="s">
        <v>35</v>
      </c>
      <c r="D461" s="155" t="s">
        <v>35</v>
      </c>
      <c r="E461" s="153" t="s">
        <v>257</v>
      </c>
      <c r="F461" s="423" t="s">
        <v>237</v>
      </c>
      <c r="G461" s="403" t="s">
        <v>71</v>
      </c>
      <c r="H461" s="155" t="s">
        <v>237</v>
      </c>
    </row>
    <row r="462" spans="1:8">
      <c r="A462" s="150" t="s">
        <v>72</v>
      </c>
      <c r="B462" s="156">
        <f t="shared" ref="B462:B478" si="48">D348</f>
        <v>9.3024848254543109</v>
      </c>
      <c r="C462" s="428">
        <f>$C$407</f>
        <v>211.70780093675123</v>
      </c>
      <c r="D462" s="382">
        <f>$C$417</f>
        <v>676.27471949129927</v>
      </c>
      <c r="E462" s="551">
        <f>B462/C462*1000000</f>
        <v>43940.208080634096</v>
      </c>
      <c r="F462" s="554">
        <f>E462/1000000</f>
        <v>4.3940208080634098E-2</v>
      </c>
      <c r="G462" s="557">
        <f>B462/D462*1000000</f>
        <v>13755.482139642503</v>
      </c>
      <c r="H462" s="433">
        <f>G462/1000000</f>
        <v>1.3755482139642504E-2</v>
      </c>
    </row>
    <row r="463" spans="1:8">
      <c r="A463" s="149" t="s">
        <v>73</v>
      </c>
      <c r="B463" s="157">
        <f t="shared" si="48"/>
        <v>0.16668892573736066</v>
      </c>
      <c r="C463" s="235">
        <f t="shared" ref="C463:C478" si="49">$C$407</f>
        <v>211.70780093675123</v>
      </c>
      <c r="D463" s="82">
        <f t="shared" ref="D463:D478" si="50">$C$417</f>
        <v>676.27471949129927</v>
      </c>
      <c r="E463" s="552">
        <f t="shared" ref="E463:E478" si="51">B463/C463*1000000</f>
        <v>787.35372527514846</v>
      </c>
      <c r="F463" s="555">
        <f t="shared" ref="F463:F478" si="52">E463/1000000</f>
        <v>7.873537252751485E-4</v>
      </c>
      <c r="G463" s="558">
        <f t="shared" ref="G463:G478" si="53">B463/D463*1000000</f>
        <v>246.48108369738523</v>
      </c>
      <c r="H463" s="434">
        <f t="shared" ref="H463:H478" si="54">G463/1000000</f>
        <v>2.4648108369738523E-4</v>
      </c>
    </row>
    <row r="464" spans="1:8">
      <c r="A464" s="149" t="s">
        <v>74</v>
      </c>
      <c r="B464" s="157">
        <f t="shared" si="48"/>
        <v>0</v>
      </c>
      <c r="C464" s="235">
        <f t="shared" si="49"/>
        <v>211.70780093675123</v>
      </c>
      <c r="D464" s="82">
        <f t="shared" si="50"/>
        <v>676.27471949129927</v>
      </c>
      <c r="E464" s="552">
        <f t="shared" si="51"/>
        <v>0</v>
      </c>
      <c r="F464" s="555">
        <f t="shared" si="52"/>
        <v>0</v>
      </c>
      <c r="G464" s="558">
        <f t="shared" si="53"/>
        <v>0</v>
      </c>
      <c r="H464" s="434">
        <f t="shared" si="54"/>
        <v>0</v>
      </c>
    </row>
    <row r="465" spans="1:8">
      <c r="A465" s="149" t="s">
        <v>75</v>
      </c>
      <c r="B465" s="157">
        <f t="shared" si="48"/>
        <v>7.7397214731717923E-4</v>
      </c>
      <c r="C465" s="235">
        <f t="shared" si="49"/>
        <v>211.70780093675123</v>
      </c>
      <c r="D465" s="82">
        <f t="shared" si="50"/>
        <v>676.27471949129927</v>
      </c>
      <c r="E465" s="552">
        <f t="shared" si="51"/>
        <v>3.6558508656391329</v>
      </c>
      <c r="F465" s="555">
        <f t="shared" si="52"/>
        <v>3.6558508656391329E-6</v>
      </c>
      <c r="G465" s="558">
        <f t="shared" si="53"/>
        <v>1.1444641134883304</v>
      </c>
      <c r="H465" s="434">
        <f t="shared" si="54"/>
        <v>1.1444641134883303E-6</v>
      </c>
    </row>
    <row r="466" spans="1:8">
      <c r="A466" s="149" t="s">
        <v>76</v>
      </c>
      <c r="B466" s="157">
        <f t="shared" si="48"/>
        <v>0</v>
      </c>
      <c r="C466" s="235">
        <f t="shared" si="49"/>
        <v>211.70780093675123</v>
      </c>
      <c r="D466" s="82">
        <f t="shared" si="50"/>
        <v>676.27471949129927</v>
      </c>
      <c r="E466" s="552">
        <f t="shared" si="51"/>
        <v>0</v>
      </c>
      <c r="F466" s="555">
        <f t="shared" si="52"/>
        <v>0</v>
      </c>
      <c r="G466" s="558">
        <f t="shared" si="53"/>
        <v>0</v>
      </c>
      <c r="H466" s="434">
        <f t="shared" si="54"/>
        <v>0</v>
      </c>
    </row>
    <row r="467" spans="1:8">
      <c r="A467" s="150" t="s">
        <v>77</v>
      </c>
      <c r="B467" s="157">
        <f t="shared" si="48"/>
        <v>3.389442670187909</v>
      </c>
      <c r="C467" s="235">
        <f t="shared" si="49"/>
        <v>211.70780093675123</v>
      </c>
      <c r="D467" s="82">
        <f t="shared" si="50"/>
        <v>676.27471949129927</v>
      </c>
      <c r="E467" s="552">
        <f t="shared" si="51"/>
        <v>16010.003671052829</v>
      </c>
      <c r="F467" s="555">
        <f t="shared" si="52"/>
        <v>1.601000367105283E-2</v>
      </c>
      <c r="G467" s="558">
        <f t="shared" si="53"/>
        <v>5011.9316492230882</v>
      </c>
      <c r="H467" s="434">
        <f t="shared" si="54"/>
        <v>5.0119316492230883E-3</v>
      </c>
    </row>
    <row r="468" spans="1:8">
      <c r="A468" s="150" t="s">
        <v>78</v>
      </c>
      <c r="B468" s="157">
        <f t="shared" si="48"/>
        <v>5.6708569834645193</v>
      </c>
      <c r="C468" s="235">
        <f t="shared" si="49"/>
        <v>211.70780093675123</v>
      </c>
      <c r="D468" s="82">
        <f t="shared" si="50"/>
        <v>676.27471949129927</v>
      </c>
      <c r="E468" s="552">
        <f t="shared" si="51"/>
        <v>26786.24480709956</v>
      </c>
      <c r="F468" s="555">
        <f t="shared" si="52"/>
        <v>2.6786244807099558E-2</v>
      </c>
      <c r="G468" s="558">
        <f t="shared" si="53"/>
        <v>8385.4339368625151</v>
      </c>
      <c r="H468" s="434">
        <f t="shared" si="54"/>
        <v>8.3854339368625158E-3</v>
      </c>
    </row>
    <row r="469" spans="1:8">
      <c r="A469" s="150" t="s">
        <v>79</v>
      </c>
      <c r="B469" s="157">
        <f t="shared" si="48"/>
        <v>1.3526802546826224</v>
      </c>
      <c r="C469" s="235">
        <f t="shared" si="49"/>
        <v>211.70780093675123</v>
      </c>
      <c r="D469" s="82">
        <f t="shared" si="50"/>
        <v>676.27471949129927</v>
      </c>
      <c r="E469" s="552">
        <f t="shared" si="51"/>
        <v>6389.3736966581719</v>
      </c>
      <c r="F469" s="555">
        <f t="shared" si="52"/>
        <v>6.3893736966581715E-3</v>
      </c>
      <c r="G469" s="558">
        <f t="shared" si="53"/>
        <v>2000.1934357388404</v>
      </c>
      <c r="H469" s="434">
        <f t="shared" si="54"/>
        <v>2.0001934357388403E-3</v>
      </c>
    </row>
    <row r="470" spans="1:8">
      <c r="A470" s="150" t="s">
        <v>80</v>
      </c>
      <c r="B470" s="157">
        <f t="shared" si="48"/>
        <v>2.3340130794052256</v>
      </c>
      <c r="C470" s="235">
        <f t="shared" si="49"/>
        <v>211.70780093675123</v>
      </c>
      <c r="D470" s="82">
        <f t="shared" si="50"/>
        <v>676.27471949129927</v>
      </c>
      <c r="E470" s="552">
        <f t="shared" si="51"/>
        <v>11024.690961210841</v>
      </c>
      <c r="F470" s="555">
        <f t="shared" si="52"/>
        <v>1.102469096121084E-2</v>
      </c>
      <c r="G470" s="558">
        <f t="shared" si="53"/>
        <v>3451.2795054070543</v>
      </c>
      <c r="H470" s="434">
        <f t="shared" si="54"/>
        <v>3.4512795054070541E-3</v>
      </c>
    </row>
    <row r="471" spans="1:8">
      <c r="A471" s="150" t="s">
        <v>81</v>
      </c>
      <c r="B471" s="157">
        <f t="shared" si="48"/>
        <v>0</v>
      </c>
      <c r="C471" s="235">
        <f t="shared" si="49"/>
        <v>211.70780093675123</v>
      </c>
      <c r="D471" s="82">
        <f t="shared" si="50"/>
        <v>676.27471949129927</v>
      </c>
      <c r="E471" s="552">
        <f t="shared" si="51"/>
        <v>0</v>
      </c>
      <c r="F471" s="555">
        <f t="shared" si="52"/>
        <v>0</v>
      </c>
      <c r="G471" s="558">
        <f t="shared" si="53"/>
        <v>0</v>
      </c>
      <c r="H471" s="434">
        <f t="shared" si="54"/>
        <v>0</v>
      </c>
    </row>
    <row r="472" spans="1:8">
      <c r="A472" s="150" t="s">
        <v>82</v>
      </c>
      <c r="B472" s="157">
        <f t="shared" si="48"/>
        <v>1.2511111990037306E-2</v>
      </c>
      <c r="C472" s="235">
        <f t="shared" si="49"/>
        <v>211.70780093675123</v>
      </c>
      <c r="D472" s="82">
        <f t="shared" si="50"/>
        <v>676.27471949129927</v>
      </c>
      <c r="E472" s="552">
        <f t="shared" si="51"/>
        <v>59.096131246363768</v>
      </c>
      <c r="F472" s="555">
        <f t="shared" si="52"/>
        <v>5.9096131246363771E-5</v>
      </c>
      <c r="G472" s="558">
        <f t="shared" si="53"/>
        <v>18.500043886674177</v>
      </c>
      <c r="H472" s="434">
        <f t="shared" si="54"/>
        <v>1.8500043886674177E-5</v>
      </c>
    </row>
    <row r="473" spans="1:8">
      <c r="A473" s="150" t="s">
        <v>630</v>
      </c>
      <c r="B473" s="157">
        <f t="shared" si="48"/>
        <v>21.718003977000102</v>
      </c>
      <c r="C473" s="235">
        <f t="shared" si="49"/>
        <v>211.70780093675123</v>
      </c>
      <c r="D473" s="82">
        <f t="shared" si="50"/>
        <v>676.27471949129927</v>
      </c>
      <c r="E473" s="552">
        <f t="shared" si="51"/>
        <v>102584.80736611338</v>
      </c>
      <c r="F473" s="555">
        <f t="shared" si="52"/>
        <v>0.10258480736611338</v>
      </c>
      <c r="G473" s="558">
        <f t="shared" si="53"/>
        <v>32114.173945961789</v>
      </c>
      <c r="H473" s="434">
        <f t="shared" si="54"/>
        <v>3.2114173945961791E-2</v>
      </c>
    </row>
    <row r="474" spans="1:8">
      <c r="A474" s="150" t="s">
        <v>96</v>
      </c>
      <c r="B474" s="157">
        <f t="shared" si="48"/>
        <v>62.466096076330814</v>
      </c>
      <c r="C474" s="235">
        <f t="shared" si="49"/>
        <v>211.70780093675123</v>
      </c>
      <c r="D474" s="82">
        <f t="shared" si="50"/>
        <v>676.27471949129927</v>
      </c>
      <c r="E474" s="552">
        <f t="shared" si="51"/>
        <v>295058.07438334724</v>
      </c>
      <c r="F474" s="555">
        <f t="shared" si="52"/>
        <v>0.29505807438334725</v>
      </c>
      <c r="G474" s="558">
        <f t="shared" si="53"/>
        <v>92367.930185706849</v>
      </c>
      <c r="H474" s="434">
        <f t="shared" si="54"/>
        <v>9.2367930185706854E-2</v>
      </c>
    </row>
    <row r="475" spans="1:8">
      <c r="A475" s="151" t="s">
        <v>274</v>
      </c>
      <c r="B475" s="157">
        <f t="shared" si="48"/>
        <v>84.184100053330923</v>
      </c>
      <c r="C475" s="235">
        <f t="shared" si="49"/>
        <v>211.70780093675123</v>
      </c>
      <c r="D475" s="82">
        <f t="shared" si="50"/>
        <v>676.27471949129927</v>
      </c>
      <c r="E475" s="552">
        <f t="shared" si="51"/>
        <v>397642.88174946065</v>
      </c>
      <c r="F475" s="555">
        <f t="shared" si="52"/>
        <v>0.39764288174946066</v>
      </c>
      <c r="G475" s="558">
        <f t="shared" si="53"/>
        <v>124482.10413166866</v>
      </c>
      <c r="H475" s="434">
        <f t="shared" si="54"/>
        <v>0.12448210413166866</v>
      </c>
    </row>
    <row r="476" spans="1:8">
      <c r="A476" s="151" t="s">
        <v>84</v>
      </c>
      <c r="B476" s="157">
        <f t="shared" si="48"/>
        <v>2.8084263941036804E-3</v>
      </c>
      <c r="C476" s="235">
        <f t="shared" si="49"/>
        <v>211.70780093675123</v>
      </c>
      <c r="D476" s="82">
        <f t="shared" si="50"/>
        <v>676.27471949129927</v>
      </c>
      <c r="E476" s="552">
        <f t="shared" si="51"/>
        <v>13.265578224690511</v>
      </c>
      <c r="F476" s="555">
        <f t="shared" si="52"/>
        <v>1.3265578224690511E-5</v>
      </c>
      <c r="G476" s="558">
        <f t="shared" si="53"/>
        <v>4.1527892632393639</v>
      </c>
      <c r="H476" s="434">
        <f t="shared" si="54"/>
        <v>4.1527892632393639E-6</v>
      </c>
    </row>
    <row r="477" spans="1:8">
      <c r="A477" s="151" t="s">
        <v>248</v>
      </c>
      <c r="B477" s="157">
        <f t="shared" si="48"/>
        <v>14.409086324490273</v>
      </c>
      <c r="C477" s="235">
        <f t="shared" si="49"/>
        <v>211.70780093675123</v>
      </c>
      <c r="D477" s="82">
        <f t="shared" si="50"/>
        <v>676.27471949129927</v>
      </c>
      <c r="E477" s="552">
        <f t="shared" si="51"/>
        <v>68061.196898431997</v>
      </c>
      <c r="F477" s="555">
        <f t="shared" si="52"/>
        <v>6.8061196898432E-2</v>
      </c>
      <c r="G477" s="558">
        <f t="shared" si="53"/>
        <v>21306.557689054142</v>
      </c>
      <c r="H477" s="434">
        <f t="shared" si="54"/>
        <v>2.130655768905414E-2</v>
      </c>
    </row>
    <row r="478" spans="1:8" ht="14.65" thickBot="1">
      <c r="A478" s="152" t="s">
        <v>86</v>
      </c>
      <c r="B478" s="158">
        <f t="shared" si="48"/>
        <v>9.1458427400165032</v>
      </c>
      <c r="C478" s="236">
        <f t="shared" si="49"/>
        <v>211.70780093675123</v>
      </c>
      <c r="D478" s="237">
        <f t="shared" si="50"/>
        <v>676.27471949129927</v>
      </c>
      <c r="E478" s="553">
        <f t="shared" si="51"/>
        <v>43200.310520200765</v>
      </c>
      <c r="F478" s="556">
        <f t="shared" si="52"/>
        <v>4.3200310520200763E-2</v>
      </c>
      <c r="G478" s="559">
        <f t="shared" si="53"/>
        <v>13523.857208348849</v>
      </c>
      <c r="H478" s="439">
        <f t="shared" si="54"/>
        <v>1.3523857208348849E-2</v>
      </c>
    </row>
    <row r="479" spans="1:8">
      <c r="A479" s="145"/>
      <c r="B479" s="234"/>
      <c r="C479" s="96"/>
      <c r="D479" s="96"/>
      <c r="E479" s="95"/>
      <c r="F479" s="95"/>
    </row>
    <row r="480" spans="1:8">
      <c r="A480" s="1" t="s">
        <v>209</v>
      </c>
      <c r="B480" s="1"/>
    </row>
    <row r="481" spans="1:3" ht="14.65" thickBot="1">
      <c r="A481" s="79" t="s">
        <v>42</v>
      </c>
      <c r="B481" s="79"/>
    </row>
    <row r="482" spans="1:3">
      <c r="A482" s="2"/>
      <c r="B482" s="369" t="s">
        <v>614</v>
      </c>
    </row>
    <row r="483" spans="1:3" ht="14.65" thickBot="1">
      <c r="A483" s="5"/>
      <c r="B483" s="319" t="s">
        <v>35</v>
      </c>
    </row>
    <row r="484" spans="1:3" ht="14.65" thickBot="1">
      <c r="A484" s="9" t="s">
        <v>347</v>
      </c>
      <c r="B484" s="627">
        <f>B10</f>
        <v>17500</v>
      </c>
    </row>
    <row r="486" spans="1:3" ht="14.65" thickBot="1">
      <c r="A486" s="120" t="s">
        <v>641</v>
      </c>
      <c r="B486" s="79"/>
      <c r="C486" s="79"/>
    </row>
    <row r="487" spans="1:3" ht="14.65" thickBot="1">
      <c r="A487" s="519"/>
      <c r="B487" s="103" t="s">
        <v>263</v>
      </c>
      <c r="C487" s="514" t="s">
        <v>262</v>
      </c>
    </row>
    <row r="488" spans="1:3">
      <c r="A488" s="115"/>
      <c r="B488" s="179" t="s">
        <v>614</v>
      </c>
      <c r="C488" s="628" t="s">
        <v>614</v>
      </c>
    </row>
    <row r="489" spans="1:3" ht="14.65" thickBot="1">
      <c r="A489" s="133" t="s">
        <v>18</v>
      </c>
      <c r="B489" s="73" t="s">
        <v>70</v>
      </c>
      <c r="C489" s="645" t="s">
        <v>35</v>
      </c>
    </row>
    <row r="490" spans="1:3">
      <c r="A490" s="231" t="s">
        <v>72</v>
      </c>
      <c r="B490" s="642">
        <v>47700</v>
      </c>
      <c r="C490" s="646">
        <f t="shared" ref="C490:C504" si="55">$B$10*B490/1000000</f>
        <v>834.75</v>
      </c>
    </row>
    <row r="491" spans="1:3">
      <c r="A491" s="232" t="s">
        <v>73</v>
      </c>
      <c r="B491" s="643">
        <v>31</v>
      </c>
      <c r="C491" s="647">
        <f t="shared" si="55"/>
        <v>0.54249999999999998</v>
      </c>
    </row>
    <row r="492" spans="1:3">
      <c r="A492" s="232" t="s">
        <v>74</v>
      </c>
      <c r="B492" s="643">
        <v>85425</v>
      </c>
      <c r="C492" s="647">
        <f t="shared" si="55"/>
        <v>1494.9375</v>
      </c>
    </row>
    <row r="493" spans="1:3">
      <c r="A493" s="232" t="s">
        <v>75</v>
      </c>
      <c r="B493" s="643">
        <v>2.2000000000000002</v>
      </c>
      <c r="C493" s="647">
        <f t="shared" si="55"/>
        <v>3.85E-2</v>
      </c>
    </row>
    <row r="494" spans="1:3">
      <c r="A494" s="232" t="s">
        <v>76</v>
      </c>
      <c r="B494" s="643">
        <v>91</v>
      </c>
      <c r="C494" s="647">
        <f t="shared" si="55"/>
        <v>1.5925</v>
      </c>
    </row>
    <row r="495" spans="1:3">
      <c r="A495" s="232" t="s">
        <v>77</v>
      </c>
      <c r="B495" s="643">
        <v>663</v>
      </c>
      <c r="C495" s="647">
        <f t="shared" si="55"/>
        <v>11.602499999999999</v>
      </c>
    </row>
    <row r="496" spans="1:3">
      <c r="A496" s="232" t="s">
        <v>78</v>
      </c>
      <c r="B496" s="643">
        <v>109000</v>
      </c>
      <c r="C496" s="647">
        <f t="shared" si="55"/>
        <v>1907.5</v>
      </c>
    </row>
    <row r="497" spans="1:8">
      <c r="A497" s="232" t="s">
        <v>79</v>
      </c>
      <c r="B497" s="643">
        <v>9375</v>
      </c>
      <c r="C497" s="647">
        <f t="shared" si="55"/>
        <v>164.0625</v>
      </c>
    </row>
    <row r="498" spans="1:8">
      <c r="A498" s="232" t="s">
        <v>80</v>
      </c>
      <c r="B498" s="643">
        <v>12191.833333333334</v>
      </c>
      <c r="C498" s="647">
        <f t="shared" si="55"/>
        <v>213.35708333333335</v>
      </c>
    </row>
    <row r="499" spans="1:8">
      <c r="A499" s="232" t="s">
        <v>81</v>
      </c>
      <c r="B499" s="643">
        <v>2530</v>
      </c>
      <c r="C499" s="647">
        <f t="shared" si="55"/>
        <v>44.274999999999999</v>
      </c>
    </row>
    <row r="500" spans="1:8">
      <c r="A500" s="232" t="s">
        <v>82</v>
      </c>
      <c r="B500" s="643">
        <v>64.5</v>
      </c>
      <c r="C500" s="647">
        <f t="shared" si="55"/>
        <v>1.1287499999999999</v>
      </c>
    </row>
    <row r="501" spans="1:8">
      <c r="A501" s="232" t="s">
        <v>83</v>
      </c>
      <c r="B501" s="643">
        <v>70700</v>
      </c>
      <c r="C501" s="647">
        <f t="shared" si="55"/>
        <v>1237.25</v>
      </c>
    </row>
    <row r="502" spans="1:8">
      <c r="A502" s="232" t="s">
        <v>84</v>
      </c>
      <c r="B502" s="643">
        <v>117</v>
      </c>
      <c r="C502" s="647">
        <f t="shared" si="55"/>
        <v>2.0474999999999999</v>
      </c>
    </row>
    <row r="503" spans="1:8">
      <c r="A503" s="232" t="s">
        <v>85</v>
      </c>
      <c r="B503" s="643">
        <v>5857.8888888888887</v>
      </c>
      <c r="C503" s="647">
        <f t="shared" si="55"/>
        <v>102.51305555555555</v>
      </c>
    </row>
    <row r="504" spans="1:8" ht="14.65" thickBot="1">
      <c r="A504" s="233" t="s">
        <v>86</v>
      </c>
      <c r="B504" s="644">
        <v>2260</v>
      </c>
      <c r="C504" s="648">
        <f t="shared" si="55"/>
        <v>39.549999999999997</v>
      </c>
    </row>
    <row r="506" spans="1:8" ht="14.65" thickBot="1">
      <c r="A506" s="79" t="s">
        <v>648</v>
      </c>
    </row>
    <row r="507" spans="1:8" ht="14.65" thickBot="1">
      <c r="A507" s="419"/>
      <c r="B507" s="1019" t="s">
        <v>262</v>
      </c>
      <c r="C507" s="1021"/>
      <c r="D507" s="1021"/>
      <c r="E507" s="1021"/>
      <c r="F507" s="1021"/>
      <c r="G507" s="1013" t="s">
        <v>263</v>
      </c>
      <c r="H507" s="1015"/>
    </row>
    <row r="508" spans="1:8">
      <c r="A508" s="315" t="s">
        <v>93</v>
      </c>
      <c r="B508" s="323" t="s">
        <v>208</v>
      </c>
      <c r="C508" s="274" t="s">
        <v>198</v>
      </c>
      <c r="D508" s="274" t="s">
        <v>618</v>
      </c>
      <c r="E508" s="274" t="s">
        <v>142</v>
      </c>
      <c r="F508" s="324" t="s">
        <v>640</v>
      </c>
      <c r="G508" s="1022" t="s">
        <v>459</v>
      </c>
      <c r="H508" s="1023"/>
    </row>
    <row r="509" spans="1:8" ht="14.65" thickBot="1">
      <c r="A509" s="345" t="s">
        <v>297</v>
      </c>
      <c r="B509" s="586" t="s">
        <v>35</v>
      </c>
      <c r="C509" s="349" t="s">
        <v>35</v>
      </c>
      <c r="D509" s="349" t="s">
        <v>35</v>
      </c>
      <c r="E509" s="349" t="s">
        <v>35</v>
      </c>
      <c r="F509" s="522" t="s">
        <v>35</v>
      </c>
      <c r="G509" s="6" t="s">
        <v>70</v>
      </c>
      <c r="H509" s="24" t="s">
        <v>237</v>
      </c>
    </row>
    <row r="510" spans="1:8">
      <c r="A510" s="373" t="s">
        <v>72</v>
      </c>
      <c r="B510" s="590">
        <f>B440</f>
        <v>362.79690819271809</v>
      </c>
      <c r="C510" s="591">
        <f>B228</f>
        <v>793.64481899100656</v>
      </c>
      <c r="D510" s="591">
        <f>C490</f>
        <v>834.75</v>
      </c>
      <c r="E510" s="591">
        <f>B510+C510+D510</f>
        <v>1991.1917271837247</v>
      </c>
      <c r="F510" s="294">
        <f t="shared" ref="F510:F526" si="56">$C$427+$C$160+$B$484</f>
        <v>52584.534410449196</v>
      </c>
      <c r="G510" s="649">
        <f>E510/F510*1000000</f>
        <v>37866.489634413309</v>
      </c>
      <c r="H510" s="635">
        <f>G510/1000000</f>
        <v>3.786648963441331E-2</v>
      </c>
    </row>
    <row r="511" spans="1:8">
      <c r="A511" s="374" t="s">
        <v>73</v>
      </c>
      <c r="B511" s="592">
        <f>B441</f>
        <v>1.8520991748595617E-2</v>
      </c>
      <c r="C511" s="364">
        <f t="shared" ref="C511:C522" si="57">B229</f>
        <v>0.22270499485008757</v>
      </c>
      <c r="D511" s="364">
        <f>C491</f>
        <v>0.54249999999999998</v>
      </c>
      <c r="E511" s="364">
        <f t="shared" ref="E511:E526" si="58">B511+C511+D511</f>
        <v>0.7837259865986832</v>
      </c>
      <c r="F511" s="295">
        <f t="shared" si="56"/>
        <v>52584.534410449196</v>
      </c>
      <c r="G511" s="552">
        <f t="shared" ref="G511:G526" si="59">E511/F511*1000000</f>
        <v>14.904115732608773</v>
      </c>
      <c r="H511" s="434">
        <f t="shared" ref="H511:H526" si="60">G511/1000000</f>
        <v>1.4904115732608772E-5</v>
      </c>
    </row>
    <row r="512" spans="1:8">
      <c r="A512" s="374" t="s">
        <v>74</v>
      </c>
      <c r="B512" s="592">
        <f t="shared" ref="B512:B520" si="61">B442</f>
        <v>563.65395765032372</v>
      </c>
      <c r="C512" s="364">
        <f t="shared" si="57"/>
        <v>2090.1350280470929</v>
      </c>
      <c r="D512" s="364">
        <f t="shared" ref="D512:D520" si="62">C492</f>
        <v>1494.9375</v>
      </c>
      <c r="E512" s="364">
        <f t="shared" si="58"/>
        <v>4148.7264856974161</v>
      </c>
      <c r="F512" s="295">
        <f t="shared" si="56"/>
        <v>52584.534410449196</v>
      </c>
      <c r="G512" s="552">
        <f t="shared" si="59"/>
        <v>78896.324408132685</v>
      </c>
      <c r="H512" s="434">
        <f t="shared" si="60"/>
        <v>7.8896324408132684E-2</v>
      </c>
    </row>
    <row r="513" spans="1:8">
      <c r="A513" s="374" t="s">
        <v>75</v>
      </c>
      <c r="B513" s="592">
        <f t="shared" si="61"/>
        <v>3.0184913745369985E-2</v>
      </c>
      <c r="C513" s="364">
        <f t="shared" si="57"/>
        <v>2.4324838915682771E-2</v>
      </c>
      <c r="D513" s="364">
        <f t="shared" si="62"/>
        <v>3.85E-2</v>
      </c>
      <c r="E513" s="364">
        <f t="shared" si="58"/>
        <v>9.3009752661052755E-2</v>
      </c>
      <c r="F513" s="295">
        <f t="shared" si="56"/>
        <v>52584.534410449196</v>
      </c>
      <c r="G513" s="552">
        <f t="shared" si="59"/>
        <v>1.7687663056035459</v>
      </c>
      <c r="H513" s="434">
        <f t="shared" si="60"/>
        <v>1.7687663056035459E-6</v>
      </c>
    </row>
    <row r="514" spans="1:8">
      <c r="A514" s="374" t="s">
        <v>76</v>
      </c>
      <c r="B514" s="592">
        <f t="shared" si="61"/>
        <v>0.28949179075104392</v>
      </c>
      <c r="C514" s="364">
        <f t="shared" si="57"/>
        <v>1.6941079995607007</v>
      </c>
      <c r="D514" s="364">
        <f t="shared" si="62"/>
        <v>1.5925</v>
      </c>
      <c r="E514" s="364">
        <f t="shared" si="58"/>
        <v>3.5760997903117446</v>
      </c>
      <c r="F514" s="295">
        <f t="shared" si="56"/>
        <v>52584.534410449196</v>
      </c>
      <c r="G514" s="552">
        <f t="shared" si="59"/>
        <v>68.006683531672181</v>
      </c>
      <c r="H514" s="434">
        <f t="shared" si="60"/>
        <v>6.800668353167218E-5</v>
      </c>
    </row>
    <row r="515" spans="1:8">
      <c r="A515" s="375" t="s">
        <v>77</v>
      </c>
      <c r="B515" s="592">
        <f t="shared" si="61"/>
        <v>3.4236794648362601E-2</v>
      </c>
      <c r="C515" s="364">
        <f t="shared" si="57"/>
        <v>11.942234403775835</v>
      </c>
      <c r="D515" s="364">
        <f t="shared" si="62"/>
        <v>11.602499999999999</v>
      </c>
      <c r="E515" s="364">
        <f t="shared" si="58"/>
        <v>23.578971198424199</v>
      </c>
      <c r="F515" s="295">
        <f t="shared" si="56"/>
        <v>52584.534410449196</v>
      </c>
      <c r="G515" s="552">
        <f t="shared" si="59"/>
        <v>448.40125452815204</v>
      </c>
      <c r="H515" s="434">
        <f t="shared" si="60"/>
        <v>4.4840125452815205E-4</v>
      </c>
    </row>
    <row r="516" spans="1:8">
      <c r="A516" s="375" t="s">
        <v>78</v>
      </c>
      <c r="B516" s="592">
        <f t="shared" si="61"/>
        <v>221.16342235511624</v>
      </c>
      <c r="C516" s="364">
        <f t="shared" si="57"/>
        <v>978.67571336713274</v>
      </c>
      <c r="D516" s="364">
        <f t="shared" si="62"/>
        <v>1907.5</v>
      </c>
      <c r="E516" s="364">
        <f t="shared" si="58"/>
        <v>3107.339135722249</v>
      </c>
      <c r="F516" s="295">
        <f t="shared" si="56"/>
        <v>52584.534410449196</v>
      </c>
      <c r="G516" s="552">
        <f t="shared" si="59"/>
        <v>59092.262973517601</v>
      </c>
      <c r="H516" s="434">
        <f t="shared" si="60"/>
        <v>5.9092262973517599E-2</v>
      </c>
    </row>
    <row r="517" spans="1:8">
      <c r="A517" s="375" t="s">
        <v>79</v>
      </c>
      <c r="B517" s="592">
        <f t="shared" si="61"/>
        <v>52.754529932622269</v>
      </c>
      <c r="C517" s="364">
        <f t="shared" si="57"/>
        <v>111.44454363540531</v>
      </c>
      <c r="D517" s="364">
        <f t="shared" si="62"/>
        <v>164.0625</v>
      </c>
      <c r="E517" s="364">
        <f t="shared" si="58"/>
        <v>328.26157356802759</v>
      </c>
      <c r="F517" s="295">
        <f t="shared" si="56"/>
        <v>52584.534410449196</v>
      </c>
      <c r="G517" s="552">
        <f t="shared" si="59"/>
        <v>6242.549777198331</v>
      </c>
      <c r="H517" s="434">
        <f t="shared" si="60"/>
        <v>6.2425497771983309E-3</v>
      </c>
    </row>
    <row r="518" spans="1:8">
      <c r="A518" s="375" t="s">
        <v>80</v>
      </c>
      <c r="B518" s="592">
        <f t="shared" si="61"/>
        <v>91.026510096803804</v>
      </c>
      <c r="C518" s="364">
        <f t="shared" si="57"/>
        <v>147.26455451752437</v>
      </c>
      <c r="D518" s="364">
        <f t="shared" si="62"/>
        <v>213.35708333333335</v>
      </c>
      <c r="E518" s="364">
        <f t="shared" si="58"/>
        <v>451.64814794766153</v>
      </c>
      <c r="F518" s="295">
        <f t="shared" si="56"/>
        <v>52584.534410449196</v>
      </c>
      <c r="G518" s="552">
        <f t="shared" si="59"/>
        <v>8588.9920489229153</v>
      </c>
      <c r="H518" s="434">
        <f t="shared" si="60"/>
        <v>8.5889920489229145E-3</v>
      </c>
    </row>
    <row r="519" spans="1:8">
      <c r="A519" s="375" t="s">
        <v>81</v>
      </c>
      <c r="B519" s="592">
        <f t="shared" si="61"/>
        <v>61.778367497114594</v>
      </c>
      <c r="C519" s="364">
        <f t="shared" si="57"/>
        <v>78.01455395938595</v>
      </c>
      <c r="D519" s="364">
        <f t="shared" si="62"/>
        <v>44.274999999999999</v>
      </c>
      <c r="E519" s="364">
        <f t="shared" si="58"/>
        <v>184.06792145650056</v>
      </c>
      <c r="F519" s="295">
        <f t="shared" si="56"/>
        <v>52584.534410449196</v>
      </c>
      <c r="G519" s="552">
        <f t="shared" si="59"/>
        <v>3500.4193442078663</v>
      </c>
      <c r="H519" s="434">
        <f t="shared" si="60"/>
        <v>3.5004193442078665E-3</v>
      </c>
    </row>
    <row r="520" spans="1:8">
      <c r="A520" s="375" t="s">
        <v>82</v>
      </c>
      <c r="B520" s="592">
        <f t="shared" si="61"/>
        <v>0.48793336761145489</v>
      </c>
      <c r="C520" s="364">
        <f t="shared" si="57"/>
        <v>1.3093077403753608</v>
      </c>
      <c r="D520" s="364">
        <f t="shared" si="62"/>
        <v>1.1287499999999999</v>
      </c>
      <c r="E520" s="364">
        <f t="shared" si="58"/>
        <v>2.9259911079868157</v>
      </c>
      <c r="F520" s="295">
        <f t="shared" si="56"/>
        <v>52584.534410449196</v>
      </c>
      <c r="G520" s="552">
        <f t="shared" si="59"/>
        <v>55.643567843502389</v>
      </c>
      <c r="H520" s="434">
        <f t="shared" si="60"/>
        <v>5.5643567843502392E-5</v>
      </c>
    </row>
    <row r="521" spans="1:8">
      <c r="A521" s="372" t="s">
        <v>630</v>
      </c>
      <c r="B521" s="592">
        <f>B451</f>
        <v>847.00215510300393</v>
      </c>
      <c r="C521" s="364">
        <f t="shared" si="57"/>
        <v>682.56583927714598</v>
      </c>
      <c r="D521" s="364">
        <f>C501</f>
        <v>1237.25</v>
      </c>
      <c r="E521" s="364">
        <f t="shared" si="58"/>
        <v>2766.8179943801497</v>
      </c>
      <c r="F521" s="295">
        <f t="shared" si="56"/>
        <v>52584.534410449196</v>
      </c>
      <c r="G521" s="552">
        <f t="shared" si="59"/>
        <v>52616.573017148345</v>
      </c>
      <c r="H521" s="434">
        <f t="shared" si="60"/>
        <v>5.2616573017148345E-2</v>
      </c>
    </row>
    <row r="522" spans="1:8">
      <c r="A522" s="375" t="s">
        <v>96</v>
      </c>
      <c r="B522" s="592">
        <f>B452</f>
        <v>2436.1777469769017</v>
      </c>
      <c r="C522" s="364">
        <f t="shared" si="57"/>
        <v>1963.2201623989681</v>
      </c>
      <c r="D522" s="364">
        <v>0</v>
      </c>
      <c r="E522" s="364">
        <f t="shared" si="58"/>
        <v>4399.3979093758699</v>
      </c>
      <c r="F522" s="295">
        <f t="shared" si="56"/>
        <v>52584.534410449196</v>
      </c>
      <c r="G522" s="552">
        <f t="shared" si="59"/>
        <v>83663.342438982509</v>
      </c>
      <c r="H522" s="434">
        <f t="shared" si="60"/>
        <v>8.3663342438982505E-2</v>
      </c>
    </row>
    <row r="523" spans="1:8">
      <c r="A523" s="350" t="s">
        <v>97</v>
      </c>
      <c r="B523" s="592">
        <f>B521+B522</f>
        <v>3283.1799020799058</v>
      </c>
      <c r="C523" s="364">
        <f>C521+C522</f>
        <v>2645.7860016761142</v>
      </c>
      <c r="D523" s="364">
        <f>D521+D522</f>
        <v>1237.25</v>
      </c>
      <c r="E523" s="364">
        <f t="shared" si="58"/>
        <v>7166.2159037560195</v>
      </c>
      <c r="F523" s="295">
        <f t="shared" si="56"/>
        <v>52584.534410449196</v>
      </c>
      <c r="G523" s="594">
        <f t="shared" si="59"/>
        <v>136279.91545613084</v>
      </c>
      <c r="H523" s="585">
        <f t="shared" si="60"/>
        <v>0.13627991545613083</v>
      </c>
    </row>
    <row r="524" spans="1:8">
      <c r="A524" s="398" t="s">
        <v>84</v>
      </c>
      <c r="B524" s="593">
        <f>B454</f>
        <v>0.10952862937004353</v>
      </c>
      <c r="C524" s="364">
        <f>B242</f>
        <v>1.9108498303478765</v>
      </c>
      <c r="D524" s="364">
        <f>C502</f>
        <v>2.0474999999999999</v>
      </c>
      <c r="E524" s="364">
        <f t="shared" si="58"/>
        <v>4.0678784597179201</v>
      </c>
      <c r="F524" s="295">
        <f t="shared" si="56"/>
        <v>52584.534410449196</v>
      </c>
      <c r="G524" s="552">
        <f t="shared" si="59"/>
        <v>77.358837637812798</v>
      </c>
      <c r="H524" s="434">
        <f t="shared" si="60"/>
        <v>7.7358837637812804E-5</v>
      </c>
    </row>
    <row r="525" spans="1:8">
      <c r="A525" s="398" t="s">
        <v>85</v>
      </c>
      <c r="B525" s="593">
        <f>B455</f>
        <v>0</v>
      </c>
      <c r="C525" s="44">
        <f>B245</f>
        <v>1105.8598497636949</v>
      </c>
      <c r="D525" s="364">
        <f>C503</f>
        <v>102.51305555555555</v>
      </c>
      <c r="E525" s="364">
        <f t="shared" si="58"/>
        <v>1208.3729053192505</v>
      </c>
      <c r="F525" s="295">
        <f t="shared" si="56"/>
        <v>52584.534410449196</v>
      </c>
      <c r="G525" s="552">
        <f t="shared" si="59"/>
        <v>22979.625451987115</v>
      </c>
      <c r="H525" s="434">
        <f t="shared" si="60"/>
        <v>2.2979625451987114E-2</v>
      </c>
    </row>
    <row r="526" spans="1:8" ht="14.65" thickBot="1">
      <c r="A526" s="376" t="s">
        <v>86</v>
      </c>
      <c r="B526" s="595">
        <f>B456</f>
        <v>0.48136014421139528</v>
      </c>
      <c r="C526" s="49">
        <f>B248</f>
        <v>31.992557012130458</v>
      </c>
      <c r="D526" s="379">
        <f>C504</f>
        <v>39.549999999999997</v>
      </c>
      <c r="E526" s="379">
        <f t="shared" si="58"/>
        <v>72.023917156341852</v>
      </c>
      <c r="F526" s="380">
        <f t="shared" si="56"/>
        <v>52584.534410449196</v>
      </c>
      <c r="G526" s="553">
        <f t="shared" si="59"/>
        <v>1369.6787080809411</v>
      </c>
      <c r="H526" s="439">
        <f t="shared" si="60"/>
        <v>1.3696787080809411E-3</v>
      </c>
    </row>
    <row r="528" spans="1:8">
      <c r="A528" s="329" t="s">
        <v>144</v>
      </c>
      <c r="B528" s="329"/>
      <c r="C528" s="329"/>
      <c r="D528" s="329"/>
      <c r="E528" s="329"/>
      <c r="F528" s="329"/>
    </row>
    <row r="529" spans="1:6">
      <c r="A529" s="329" t="s">
        <v>315</v>
      </c>
      <c r="B529" s="329"/>
      <c r="C529" s="329"/>
      <c r="D529" s="329"/>
      <c r="E529" s="329"/>
      <c r="F529" s="329"/>
    </row>
    <row r="530" spans="1:6">
      <c r="D530" s="121"/>
    </row>
    <row r="531" spans="1:6" ht="14.65" thickBot="1">
      <c r="A531" s="79" t="s">
        <v>432</v>
      </c>
      <c r="D531" s="121"/>
    </row>
    <row r="532" spans="1:6">
      <c r="A532" s="388" t="s">
        <v>93</v>
      </c>
      <c r="B532" s="323" t="s">
        <v>146</v>
      </c>
      <c r="C532" s="324" t="s">
        <v>147</v>
      </c>
      <c r="D532" s="1024" t="s">
        <v>459</v>
      </c>
      <c r="E532" s="1025"/>
    </row>
    <row r="533" spans="1:6" ht="14.65" thickBot="1">
      <c r="A533" s="220"/>
      <c r="B533" s="6" t="s">
        <v>35</v>
      </c>
      <c r="C533" s="422" t="s">
        <v>35</v>
      </c>
      <c r="D533" s="403" t="s">
        <v>257</v>
      </c>
      <c r="E533" s="155" t="s">
        <v>237</v>
      </c>
    </row>
    <row r="534" spans="1:6">
      <c r="A534" s="137" t="s">
        <v>211</v>
      </c>
      <c r="B534" s="159">
        <f>B523+C523</f>
        <v>5928.9659037560195</v>
      </c>
      <c r="C534" s="501">
        <f>$C$427+$C$160</f>
        <v>35084.534410449196</v>
      </c>
      <c r="D534" s="227">
        <f>B534/C534*1000000</f>
        <v>168990.86744016194</v>
      </c>
      <c r="E534" s="433">
        <f>D534/1000000</f>
        <v>0.16899086744016192</v>
      </c>
    </row>
    <row r="535" spans="1:6">
      <c r="A535" s="113" t="s">
        <v>620</v>
      </c>
      <c r="B535" s="161">
        <f>$D$521</f>
        <v>1237.25</v>
      </c>
      <c r="C535" s="502">
        <f>$B$484</f>
        <v>17500</v>
      </c>
      <c r="D535" s="229">
        <f>B535/C535*1000000</f>
        <v>70700</v>
      </c>
      <c r="E535" s="434">
        <f t="shared" ref="E535:E537" si="63">D535/1000000</f>
        <v>7.0699999999999999E-2</v>
      </c>
    </row>
    <row r="536" spans="1:6">
      <c r="A536" s="138" t="s">
        <v>96</v>
      </c>
      <c r="B536" s="444">
        <f>C536*31/98</f>
        <v>3288.5772944124178</v>
      </c>
      <c r="C536" s="587">
        <v>10396.147575884417</v>
      </c>
      <c r="D536" s="229">
        <f>B536/C536*1000000</f>
        <v>316326.53061224491</v>
      </c>
      <c r="E536" s="434">
        <f t="shared" si="63"/>
        <v>0.31632653061224492</v>
      </c>
    </row>
    <row r="537" spans="1:6" ht="14.65" thickBot="1">
      <c r="A537" s="330" t="s">
        <v>306</v>
      </c>
      <c r="B537" s="162">
        <f>SUM($B$534:$B$536)</f>
        <v>10454.793198168438</v>
      </c>
      <c r="C537" s="503">
        <f>SUM($C$534:$C$536)</f>
        <v>62980.681986333613</v>
      </c>
      <c r="D537" s="588">
        <f>B537/C537*1000000</f>
        <v>165999.99981640495</v>
      </c>
      <c r="E537" s="589">
        <f t="shared" si="63"/>
        <v>0.16599999981640495</v>
      </c>
    </row>
    <row r="539" spans="1:6" ht="14.65" thickBot="1">
      <c r="A539" s="79" t="s">
        <v>434</v>
      </c>
    </row>
    <row r="540" spans="1:6" ht="14.65" thickBot="1">
      <c r="A540" s="691"/>
      <c r="B540" s="192" t="s">
        <v>18</v>
      </c>
      <c r="C540" s="744" t="s">
        <v>106</v>
      </c>
    </row>
    <row r="541" spans="1:6">
      <c r="A541" s="203" t="s">
        <v>435</v>
      </c>
      <c r="B541" s="692" t="s">
        <v>35</v>
      </c>
      <c r="C541" s="730">
        <f>$C$536</f>
        <v>10396.147575884417</v>
      </c>
    </row>
    <row r="542" spans="1:6">
      <c r="A542" s="186" t="s">
        <v>436</v>
      </c>
      <c r="B542" s="178" t="s">
        <v>35</v>
      </c>
      <c r="C542" s="84">
        <f>C541/75%*25%</f>
        <v>3465.3825252948059</v>
      </c>
    </row>
    <row r="543" spans="1:6" ht="14.65" thickBot="1">
      <c r="A543" s="693" t="s">
        <v>437</v>
      </c>
      <c r="B543" s="694" t="s">
        <v>35</v>
      </c>
      <c r="C543" s="335">
        <f>C541+C542</f>
        <v>13861.530101179223</v>
      </c>
    </row>
    <row r="545" spans="1:3">
      <c r="A545" s="329" t="s">
        <v>316</v>
      </c>
    </row>
    <row r="546" spans="1:3">
      <c r="A546" s="329" t="s">
        <v>317</v>
      </c>
    </row>
    <row r="547" spans="1:3">
      <c r="A547" s="329"/>
    </row>
    <row r="548" spans="1:3" ht="14.65" thickBot="1">
      <c r="A548" s="329" t="s">
        <v>307</v>
      </c>
    </row>
    <row r="549" spans="1:3">
      <c r="A549" s="664" t="s">
        <v>64</v>
      </c>
      <c r="B549" s="665" t="s">
        <v>24</v>
      </c>
      <c r="C549" s="666">
        <v>0.45</v>
      </c>
    </row>
    <row r="550" spans="1:3" ht="14.65" thickBot="1">
      <c r="A550" s="667" t="s">
        <v>66</v>
      </c>
      <c r="B550" s="284" t="s">
        <v>24</v>
      </c>
      <c r="C550" s="663">
        <v>0.55000000000000004</v>
      </c>
    </row>
    <row r="551" spans="1:3">
      <c r="A551" s="329"/>
    </row>
    <row r="552" spans="1:3" ht="14.65" thickBot="1">
      <c r="A552" s="769" t="s">
        <v>363</v>
      </c>
    </row>
    <row r="553" spans="1:3" ht="14.65" thickBot="1">
      <c r="A553" s="191"/>
      <c r="B553" s="192" t="s">
        <v>18</v>
      </c>
      <c r="C553" s="193" t="s">
        <v>106</v>
      </c>
    </row>
    <row r="554" spans="1:3">
      <c r="A554" s="678" t="s">
        <v>374</v>
      </c>
      <c r="B554" s="293" t="s">
        <v>35</v>
      </c>
      <c r="C554" s="294">
        <f>$C$427</f>
        <v>9190.7228034820782</v>
      </c>
    </row>
    <row r="555" spans="1:3">
      <c r="A555" s="679" t="s">
        <v>375</v>
      </c>
      <c r="B555" s="287" t="s">
        <v>35</v>
      </c>
      <c r="C555" s="295">
        <f>$C$160</f>
        <v>25893.811606967116</v>
      </c>
    </row>
    <row r="556" spans="1:3">
      <c r="A556" s="679" t="s">
        <v>607</v>
      </c>
      <c r="B556" s="282" t="s">
        <v>35</v>
      </c>
      <c r="C556" s="370">
        <f>$B$484</f>
        <v>17500</v>
      </c>
    </row>
    <row r="557" spans="1:3">
      <c r="A557" s="375" t="s">
        <v>435</v>
      </c>
      <c r="B557" s="287" t="s">
        <v>35</v>
      </c>
      <c r="C557" s="279">
        <f>$C$541</f>
        <v>10396.147575884417</v>
      </c>
    </row>
    <row r="558" spans="1:3" ht="14.65" thickBot="1">
      <c r="A558" s="683" t="s">
        <v>309</v>
      </c>
      <c r="B558" s="215" t="s">
        <v>35</v>
      </c>
      <c r="C558" s="344">
        <f>C554+C555+C556+C557</f>
        <v>62980.681986333613</v>
      </c>
    </row>
    <row r="559" spans="1:3">
      <c r="A559" s="675" t="s">
        <v>345</v>
      </c>
      <c r="B559" s="676" t="s">
        <v>35</v>
      </c>
      <c r="C559" s="342">
        <f>C558/C549*C550</f>
        <v>76976.389094407758</v>
      </c>
    </row>
    <row r="560" spans="1:3">
      <c r="A560" s="679" t="s">
        <v>376</v>
      </c>
      <c r="B560" s="287" t="s">
        <v>35</v>
      </c>
      <c r="C560" s="279">
        <f>$C$432</f>
        <v>40539.621747681675</v>
      </c>
    </row>
    <row r="561" spans="1:3">
      <c r="A561" s="679" t="s">
        <v>370</v>
      </c>
      <c r="B561" s="287" t="s">
        <v>35</v>
      </c>
      <c r="C561" s="279">
        <f>$C$177</f>
        <v>13122.518304414683</v>
      </c>
    </row>
    <row r="562" spans="1:3">
      <c r="A562" s="679" t="s">
        <v>436</v>
      </c>
      <c r="B562" s="287" t="s">
        <v>35</v>
      </c>
      <c r="C562" s="279">
        <f>$C$542</f>
        <v>3465.3825252948059</v>
      </c>
    </row>
    <row r="563" spans="1:3" ht="14.65" thickBot="1">
      <c r="A563" s="680" t="s">
        <v>363</v>
      </c>
      <c r="B563" s="698" t="s">
        <v>35</v>
      </c>
      <c r="C563" s="671">
        <f>C559-C560-C561-C562</f>
        <v>19848.866517016595</v>
      </c>
    </row>
    <row r="565" spans="1:3" ht="14.65" thickBot="1">
      <c r="A565" s="79" t="s">
        <v>289</v>
      </c>
    </row>
    <row r="566" spans="1:3" ht="14.65" thickBot="1">
      <c r="A566" s="103" t="s">
        <v>53</v>
      </c>
      <c r="B566" s="102" t="s">
        <v>18</v>
      </c>
      <c r="C566" s="17" t="s">
        <v>106</v>
      </c>
    </row>
    <row r="567" spans="1:3">
      <c r="A567" s="369" t="s">
        <v>396</v>
      </c>
      <c r="B567" s="269" t="s">
        <v>35</v>
      </c>
      <c r="C567" s="328">
        <f>C415</f>
        <v>49730.344551163747</v>
      </c>
    </row>
    <row r="568" spans="1:3">
      <c r="A568" s="315" t="s">
        <v>286</v>
      </c>
      <c r="B568" s="270" t="s">
        <v>35</v>
      </c>
      <c r="C568" s="316">
        <f>$C$173</f>
        <v>39016.329911381799</v>
      </c>
    </row>
    <row r="569" spans="1:3">
      <c r="A569" s="315" t="s">
        <v>607</v>
      </c>
      <c r="B569" s="270" t="s">
        <v>35</v>
      </c>
      <c r="C569" s="316">
        <f>B484</f>
        <v>17500</v>
      </c>
    </row>
    <row r="570" spans="1:3">
      <c r="A570" s="315" t="s">
        <v>437</v>
      </c>
      <c r="B570" s="270" t="s">
        <v>35</v>
      </c>
      <c r="C570" s="316">
        <f>$C$543</f>
        <v>13861.530101179223</v>
      </c>
    </row>
    <row r="571" spans="1:3" ht="14.65" thickBot="1">
      <c r="A571" s="345" t="s">
        <v>363</v>
      </c>
      <c r="B571" s="271" t="s">
        <v>35</v>
      </c>
      <c r="C571" s="340">
        <f>C563</f>
        <v>19848.866517016595</v>
      </c>
    </row>
    <row r="573" spans="1:3" ht="14.65" thickBot="1">
      <c r="A573" s="79" t="s">
        <v>290</v>
      </c>
    </row>
    <row r="574" spans="1:3" ht="14.65" thickBot="1">
      <c r="A574" s="191" t="s">
        <v>90</v>
      </c>
      <c r="B574" s="192" t="s">
        <v>18</v>
      </c>
      <c r="C574" s="193" t="s">
        <v>91</v>
      </c>
    </row>
    <row r="575" spans="1:3">
      <c r="A575" s="272" t="s">
        <v>191</v>
      </c>
      <c r="B575" s="615" t="s">
        <v>35</v>
      </c>
      <c r="C575" s="614">
        <f>C415</f>
        <v>49730.344551163747</v>
      </c>
    </row>
    <row r="576" spans="1:3">
      <c r="A576" s="257" t="s">
        <v>190</v>
      </c>
      <c r="B576" s="346" t="s">
        <v>35</v>
      </c>
      <c r="C576" s="370">
        <f>$C$173</f>
        <v>39016.329911381799</v>
      </c>
    </row>
    <row r="577" spans="1:3">
      <c r="A577" s="257" t="s">
        <v>607</v>
      </c>
      <c r="B577" s="346" t="s">
        <v>35</v>
      </c>
      <c r="C577" s="370">
        <f>B484</f>
        <v>17500</v>
      </c>
    </row>
    <row r="578" spans="1:3">
      <c r="A578" s="348" t="s">
        <v>437</v>
      </c>
      <c r="B578" s="346" t="s">
        <v>35</v>
      </c>
      <c r="C578" s="370">
        <f>$C$543</f>
        <v>13861.530101179223</v>
      </c>
    </row>
    <row r="579" spans="1:3">
      <c r="A579" s="348" t="s">
        <v>363</v>
      </c>
      <c r="B579" s="346" t="s">
        <v>35</v>
      </c>
      <c r="C579" s="370">
        <f>C571</f>
        <v>19848.866517016595</v>
      </c>
    </row>
    <row r="580" spans="1:3" ht="14.65" thickBot="1">
      <c r="A580" s="255" t="s">
        <v>305</v>
      </c>
      <c r="B580" s="271" t="s">
        <v>35</v>
      </c>
      <c r="C580" s="256">
        <f>SUM(C575:C579)</f>
        <v>139957.07108074136</v>
      </c>
    </row>
    <row r="582" spans="1:3" ht="14.65" thickBot="1">
      <c r="A582" s="79" t="s">
        <v>307</v>
      </c>
      <c r="B582" s="79"/>
      <c r="C582" s="79"/>
    </row>
    <row r="583" spans="1:3" ht="14.65" thickBot="1">
      <c r="A583" s="103" t="s">
        <v>90</v>
      </c>
      <c r="B583" s="102" t="s">
        <v>18</v>
      </c>
      <c r="C583" s="17" t="s">
        <v>106</v>
      </c>
    </row>
    <row r="584" spans="1:3">
      <c r="A584" s="276" t="s">
        <v>374</v>
      </c>
      <c r="B584" s="296" t="s">
        <v>35</v>
      </c>
      <c r="C584" s="297">
        <f>$C$427</f>
        <v>9190.7228034820782</v>
      </c>
    </row>
    <row r="585" spans="1:3">
      <c r="A585" s="257" t="s">
        <v>375</v>
      </c>
      <c r="B585" s="278" t="s">
        <v>35</v>
      </c>
      <c r="C585" s="295">
        <f>$C$175</f>
        <v>25893.811606967116</v>
      </c>
    </row>
    <row r="586" spans="1:3">
      <c r="A586" s="257" t="s">
        <v>607</v>
      </c>
      <c r="B586" s="346" t="s">
        <v>35</v>
      </c>
      <c r="C586" s="370">
        <f>B484</f>
        <v>17500</v>
      </c>
    </row>
    <row r="587" spans="1:3">
      <c r="A587" s="348" t="s">
        <v>435</v>
      </c>
      <c r="B587" s="278" t="s">
        <v>35</v>
      </c>
      <c r="C587" s="279">
        <f>$C$541</f>
        <v>10396.147575884417</v>
      </c>
    </row>
    <row r="588" spans="1:3">
      <c r="A588" s="257" t="s">
        <v>309</v>
      </c>
      <c r="B588" s="278" t="s">
        <v>35</v>
      </c>
      <c r="C588" s="279">
        <f>C584+C585+C586+C587</f>
        <v>62980.681986333613</v>
      </c>
    </row>
    <row r="589" spans="1:3">
      <c r="A589" s="257" t="s">
        <v>305</v>
      </c>
      <c r="B589" s="278" t="s">
        <v>35</v>
      </c>
      <c r="C589" s="279">
        <f>$C$580</f>
        <v>139957.07108074136</v>
      </c>
    </row>
    <row r="590" spans="1:3">
      <c r="A590" s="299" t="s">
        <v>389</v>
      </c>
      <c r="B590" s="260" t="s">
        <v>24</v>
      </c>
      <c r="C590" s="371">
        <f>C588/C589</f>
        <v>0.45</v>
      </c>
    </row>
    <row r="591" spans="1:3">
      <c r="A591" s="348" t="s">
        <v>437</v>
      </c>
      <c r="B591" s="346" t="s">
        <v>35</v>
      </c>
      <c r="C591" s="370">
        <f>C542</f>
        <v>3465.3825252948059</v>
      </c>
    </row>
    <row r="592" spans="1:3">
      <c r="A592" s="257" t="s">
        <v>376</v>
      </c>
      <c r="B592" s="278" t="s">
        <v>35</v>
      </c>
      <c r="C592" s="279">
        <f>$C$432</f>
        <v>40539.621747681675</v>
      </c>
    </row>
    <row r="593" spans="1:9">
      <c r="A593" s="257" t="s">
        <v>370</v>
      </c>
      <c r="B593" s="278" t="s">
        <v>35</v>
      </c>
      <c r="C593" s="279">
        <f>$C$177</f>
        <v>13122.518304414683</v>
      </c>
    </row>
    <row r="594" spans="1:9">
      <c r="A594" s="257" t="s">
        <v>363</v>
      </c>
      <c r="B594" s="278" t="s">
        <v>35</v>
      </c>
      <c r="C594" s="279">
        <f>C563</f>
        <v>19848.866517016595</v>
      </c>
    </row>
    <row r="595" spans="1:9">
      <c r="A595" s="257" t="s">
        <v>345</v>
      </c>
      <c r="B595" s="278" t="s">
        <v>35</v>
      </c>
      <c r="C595" s="279">
        <f>C591+C592+C593+C594</f>
        <v>76976.389094407758</v>
      </c>
    </row>
    <row r="596" spans="1:9">
      <c r="A596" s="257" t="s">
        <v>305</v>
      </c>
      <c r="B596" s="278" t="s">
        <v>35</v>
      </c>
      <c r="C596" s="279">
        <f>$C$580</f>
        <v>139957.07108074136</v>
      </c>
    </row>
    <row r="597" spans="1:9" ht="14.65" thickBot="1">
      <c r="A597" s="301" t="s">
        <v>321</v>
      </c>
      <c r="B597" s="277" t="s">
        <v>24</v>
      </c>
      <c r="C597" s="303">
        <f>C595/C596</f>
        <v>0.55000000000000004</v>
      </c>
    </row>
    <row r="599" spans="1:9" ht="14.65" thickBot="1">
      <c r="A599" s="79" t="s">
        <v>308</v>
      </c>
    </row>
    <row r="600" spans="1:9" ht="14.65" thickBot="1">
      <c r="A600" s="419"/>
      <c r="B600" s="1019" t="s">
        <v>262</v>
      </c>
      <c r="C600" s="1021"/>
      <c r="D600" s="1021"/>
      <c r="E600" s="1021"/>
      <c r="F600" s="1021"/>
      <c r="G600" s="1021"/>
      <c r="H600" s="1019" t="s">
        <v>263</v>
      </c>
      <c r="I600" s="1020"/>
    </row>
    <row r="601" spans="1:9">
      <c r="A601" s="92" t="s">
        <v>93</v>
      </c>
      <c r="B601" s="323" t="s">
        <v>208</v>
      </c>
      <c r="C601" s="274" t="s">
        <v>198</v>
      </c>
      <c r="D601" s="274" t="s">
        <v>618</v>
      </c>
      <c r="E601" s="274" t="s">
        <v>153</v>
      </c>
      <c r="F601" s="274" t="s">
        <v>142</v>
      </c>
      <c r="G601" s="324" t="s">
        <v>309</v>
      </c>
      <c r="H601" s="1094" t="s">
        <v>459</v>
      </c>
      <c r="I601" s="1095"/>
    </row>
    <row r="602" spans="1:9" ht="14.65" thickBot="1">
      <c r="A602" s="93" t="s">
        <v>297</v>
      </c>
      <c r="B602" s="6" t="s">
        <v>35</v>
      </c>
      <c r="C602" s="7" t="s">
        <v>35</v>
      </c>
      <c r="D602" s="7" t="s">
        <v>35</v>
      </c>
      <c r="E602" s="7" t="s">
        <v>35</v>
      </c>
      <c r="F602" s="7" t="s">
        <v>35</v>
      </c>
      <c r="G602" s="422" t="s">
        <v>35</v>
      </c>
      <c r="H602" s="530" t="s">
        <v>70</v>
      </c>
      <c r="I602" s="155" t="s">
        <v>237</v>
      </c>
    </row>
    <row r="603" spans="1:9">
      <c r="A603" s="111" t="s">
        <v>72</v>
      </c>
      <c r="B603" s="540">
        <f t="shared" ref="B603:D613" si="64">B510</f>
        <v>362.79690819271809</v>
      </c>
      <c r="C603" s="567">
        <f t="shared" si="64"/>
        <v>793.64481899100656</v>
      </c>
      <c r="D603" s="567">
        <f t="shared" si="64"/>
        <v>834.75</v>
      </c>
      <c r="E603" s="428">
        <v>0</v>
      </c>
      <c r="F603" s="428">
        <f>B603+C603+D603+E603</f>
        <v>1991.1917271837247</v>
      </c>
      <c r="G603" s="545">
        <f t="shared" ref="G603:G617" si="65">$C$588</f>
        <v>62980.681986333613</v>
      </c>
      <c r="H603" s="557">
        <f>F603/G603*1000000</f>
        <v>31615.912441465782</v>
      </c>
      <c r="I603" s="433">
        <f>H603/1000000</f>
        <v>3.1615912441465784E-2</v>
      </c>
    </row>
    <row r="604" spans="1:9">
      <c r="A604" s="112" t="s">
        <v>73</v>
      </c>
      <c r="B604" s="543">
        <f t="shared" si="64"/>
        <v>1.8520991748595617E-2</v>
      </c>
      <c r="C604" s="484">
        <f t="shared" si="64"/>
        <v>0.22270499485008757</v>
      </c>
      <c r="D604" s="484">
        <f t="shared" si="64"/>
        <v>0.54249999999999998</v>
      </c>
      <c r="E604" s="235">
        <v>0</v>
      </c>
      <c r="F604" s="238">
        <f t="shared" ref="F604:F617" si="66">B604+C604+D604+E604</f>
        <v>0.7837259865986832</v>
      </c>
      <c r="G604" s="596">
        <f t="shared" si="65"/>
        <v>62980.681986333613</v>
      </c>
      <c r="H604" s="558">
        <f t="shared" ref="H604:H617" si="67">F604/G604*1000000</f>
        <v>12.443910765665358</v>
      </c>
      <c r="I604" s="434">
        <f t="shared" ref="I604:I617" si="68">H604/1000000</f>
        <v>1.2443910765665358E-5</v>
      </c>
    </row>
    <row r="605" spans="1:9">
      <c r="A605" s="112" t="s">
        <v>74</v>
      </c>
      <c r="B605" s="543">
        <f t="shared" si="64"/>
        <v>563.65395765032372</v>
      </c>
      <c r="C605" s="484">
        <f t="shared" si="64"/>
        <v>2090.1350280470929</v>
      </c>
      <c r="D605" s="484">
        <f t="shared" si="64"/>
        <v>1494.9375</v>
      </c>
      <c r="E605" s="235">
        <v>0</v>
      </c>
      <c r="F605" s="238">
        <f t="shared" si="66"/>
        <v>4148.7264856974161</v>
      </c>
      <c r="G605" s="596">
        <f t="shared" si="65"/>
        <v>62980.681986333613</v>
      </c>
      <c r="H605" s="558">
        <f t="shared" si="67"/>
        <v>65873.000336796322</v>
      </c>
      <c r="I605" s="434">
        <f t="shared" si="68"/>
        <v>6.5873000336796328E-2</v>
      </c>
    </row>
    <row r="606" spans="1:9">
      <c r="A606" s="112" t="s">
        <v>75</v>
      </c>
      <c r="B606" s="543">
        <f t="shared" si="64"/>
        <v>3.0184913745369985E-2</v>
      </c>
      <c r="C606" s="484">
        <f t="shared" si="64"/>
        <v>2.4324838915682771E-2</v>
      </c>
      <c r="D606" s="484">
        <f t="shared" si="64"/>
        <v>3.85E-2</v>
      </c>
      <c r="E606" s="235">
        <v>0</v>
      </c>
      <c r="F606" s="238">
        <f t="shared" si="66"/>
        <v>9.3009752661052755E-2</v>
      </c>
      <c r="G606" s="596">
        <f t="shared" si="65"/>
        <v>62980.681986333613</v>
      </c>
      <c r="H606" s="558">
        <f t="shared" si="67"/>
        <v>1.4767981185283965</v>
      </c>
      <c r="I606" s="434">
        <f t="shared" si="68"/>
        <v>1.4767981185283965E-6</v>
      </c>
    </row>
    <row r="607" spans="1:9">
      <c r="A607" s="112" t="s">
        <v>76</v>
      </c>
      <c r="B607" s="543">
        <f t="shared" si="64"/>
        <v>0.28949179075104392</v>
      </c>
      <c r="C607" s="484">
        <f t="shared" si="64"/>
        <v>1.6941079995607007</v>
      </c>
      <c r="D607" s="484">
        <f t="shared" si="64"/>
        <v>1.5925</v>
      </c>
      <c r="E607" s="235">
        <v>0</v>
      </c>
      <c r="F607" s="238">
        <f t="shared" si="66"/>
        <v>3.5760997903117446</v>
      </c>
      <c r="G607" s="596">
        <f t="shared" si="65"/>
        <v>62980.681986333613</v>
      </c>
      <c r="H607" s="558">
        <f t="shared" si="67"/>
        <v>56.780899754114039</v>
      </c>
      <c r="I607" s="434">
        <f t="shared" si="68"/>
        <v>5.6780899754114037E-5</v>
      </c>
    </row>
    <row r="608" spans="1:9">
      <c r="A608" s="113" t="s">
        <v>77</v>
      </c>
      <c r="B608" s="543">
        <f t="shared" si="64"/>
        <v>3.4236794648362601E-2</v>
      </c>
      <c r="C608" s="484">
        <f t="shared" si="64"/>
        <v>11.942234403775835</v>
      </c>
      <c r="D608" s="484">
        <f t="shared" si="64"/>
        <v>11.602499999999999</v>
      </c>
      <c r="E608" s="235">
        <v>0</v>
      </c>
      <c r="F608" s="238">
        <f t="shared" si="66"/>
        <v>23.578971198424199</v>
      </c>
      <c r="G608" s="596">
        <f t="shared" si="65"/>
        <v>62980.681986333613</v>
      </c>
      <c r="H608" s="558">
        <f t="shared" si="67"/>
        <v>374.38418344756377</v>
      </c>
      <c r="I608" s="434">
        <f t="shared" si="68"/>
        <v>3.7438418344756379E-4</v>
      </c>
    </row>
    <row r="609" spans="1:9">
      <c r="A609" s="113" t="s">
        <v>78</v>
      </c>
      <c r="B609" s="543">
        <f t="shared" si="64"/>
        <v>221.16342235511624</v>
      </c>
      <c r="C609" s="484">
        <f t="shared" si="64"/>
        <v>978.67571336713274</v>
      </c>
      <c r="D609" s="484">
        <f t="shared" si="64"/>
        <v>1907.5</v>
      </c>
      <c r="E609" s="235">
        <v>0</v>
      </c>
      <c r="F609" s="238">
        <f t="shared" si="66"/>
        <v>3107.339135722249</v>
      </c>
      <c r="G609" s="596">
        <f t="shared" si="65"/>
        <v>62980.681986333613</v>
      </c>
      <c r="H609" s="558">
        <f t="shared" si="67"/>
        <v>49337.972180049132</v>
      </c>
      <c r="I609" s="434">
        <f t="shared" si="68"/>
        <v>4.9337972180049129E-2</v>
      </c>
    </row>
    <row r="610" spans="1:9">
      <c r="A610" s="113" t="s">
        <v>79</v>
      </c>
      <c r="B610" s="543">
        <f t="shared" si="64"/>
        <v>52.754529932622269</v>
      </c>
      <c r="C610" s="484">
        <f t="shared" si="64"/>
        <v>111.44454363540531</v>
      </c>
      <c r="D610" s="484">
        <f t="shared" si="64"/>
        <v>164.0625</v>
      </c>
      <c r="E610" s="235">
        <v>0</v>
      </c>
      <c r="F610" s="238">
        <f t="shared" si="66"/>
        <v>328.26157356802759</v>
      </c>
      <c r="G610" s="596">
        <f t="shared" si="65"/>
        <v>62980.681986333613</v>
      </c>
      <c r="H610" s="558">
        <f t="shared" si="67"/>
        <v>5212.0993805570115</v>
      </c>
      <c r="I610" s="434">
        <f t="shared" si="68"/>
        <v>5.2120993805570117E-3</v>
      </c>
    </row>
    <row r="611" spans="1:9">
      <c r="A611" s="113" t="s">
        <v>80</v>
      </c>
      <c r="B611" s="543">
        <f t="shared" si="64"/>
        <v>91.026510096803804</v>
      </c>
      <c r="C611" s="484">
        <f t="shared" si="64"/>
        <v>147.26455451752437</v>
      </c>
      <c r="D611" s="484">
        <f t="shared" si="64"/>
        <v>213.35708333333335</v>
      </c>
      <c r="E611" s="235">
        <v>0</v>
      </c>
      <c r="F611" s="238">
        <f t="shared" si="66"/>
        <v>451.64814794766153</v>
      </c>
      <c r="G611" s="596">
        <f t="shared" si="65"/>
        <v>62980.681986333613</v>
      </c>
      <c r="H611" s="558">
        <f t="shared" si="67"/>
        <v>7171.2171685544172</v>
      </c>
      <c r="I611" s="434">
        <f t="shared" si="68"/>
        <v>7.1712171685544175E-3</v>
      </c>
    </row>
    <row r="612" spans="1:9">
      <c r="A612" s="113" t="s">
        <v>81</v>
      </c>
      <c r="B612" s="543">
        <f t="shared" si="64"/>
        <v>61.778367497114594</v>
      </c>
      <c r="C612" s="484">
        <f t="shared" si="64"/>
        <v>78.01455395938595</v>
      </c>
      <c r="D612" s="484">
        <f t="shared" si="64"/>
        <v>44.274999999999999</v>
      </c>
      <c r="E612" s="235">
        <v>0</v>
      </c>
      <c r="F612" s="238">
        <f t="shared" si="66"/>
        <v>184.06792145650056</v>
      </c>
      <c r="G612" s="596">
        <f t="shared" si="65"/>
        <v>62980.681986333613</v>
      </c>
      <c r="H612" s="558">
        <f t="shared" si="67"/>
        <v>2922.6092136703455</v>
      </c>
      <c r="I612" s="434">
        <f t="shared" si="68"/>
        <v>2.9226092136703454E-3</v>
      </c>
    </row>
    <row r="613" spans="1:9">
      <c r="A613" s="113" t="s">
        <v>82</v>
      </c>
      <c r="B613" s="543">
        <f t="shared" si="64"/>
        <v>0.48793336761145489</v>
      </c>
      <c r="C613" s="484">
        <f t="shared" si="64"/>
        <v>1.3093077403753608</v>
      </c>
      <c r="D613" s="484">
        <f t="shared" si="64"/>
        <v>1.1287499999999999</v>
      </c>
      <c r="E613" s="235">
        <v>0</v>
      </c>
      <c r="F613" s="238">
        <f t="shared" si="66"/>
        <v>2.9259911079868157</v>
      </c>
      <c r="G613" s="596">
        <f t="shared" si="65"/>
        <v>62980.681986333613</v>
      </c>
      <c r="H613" s="558">
        <f t="shared" si="67"/>
        <v>46.458549124979882</v>
      </c>
      <c r="I613" s="434">
        <f t="shared" si="68"/>
        <v>4.6458549124979884E-5</v>
      </c>
    </row>
    <row r="614" spans="1:9">
      <c r="A614" s="327" t="s">
        <v>154</v>
      </c>
      <c r="B614" s="543">
        <f>B523</f>
        <v>3283.1799020799058</v>
      </c>
      <c r="C614" s="484">
        <f>C523</f>
        <v>2645.7860016761142</v>
      </c>
      <c r="D614" s="484">
        <f>D523</f>
        <v>1237.25</v>
      </c>
      <c r="E614" s="364">
        <f>$B$536</f>
        <v>3288.5772944124178</v>
      </c>
      <c r="F614" s="238">
        <f t="shared" si="66"/>
        <v>10454.793198168438</v>
      </c>
      <c r="G614" s="596">
        <f t="shared" si="65"/>
        <v>62980.681986333613</v>
      </c>
      <c r="H614" s="597">
        <f t="shared" si="67"/>
        <v>165999.99981640495</v>
      </c>
      <c r="I614" s="585">
        <f t="shared" si="68"/>
        <v>0.16599999981640495</v>
      </c>
    </row>
    <row r="615" spans="1:9">
      <c r="A615" s="401" t="s">
        <v>84</v>
      </c>
      <c r="B615" s="543">
        <f t="shared" ref="B615:D617" si="69">B524</f>
        <v>0.10952862937004353</v>
      </c>
      <c r="C615" s="484">
        <f t="shared" si="69"/>
        <v>1.9108498303478765</v>
      </c>
      <c r="D615" s="484">
        <f t="shared" si="69"/>
        <v>2.0474999999999999</v>
      </c>
      <c r="E615" s="577">
        <v>0</v>
      </c>
      <c r="F615" s="238">
        <f t="shared" si="66"/>
        <v>4.0678784597179201</v>
      </c>
      <c r="G615" s="596">
        <f t="shared" si="65"/>
        <v>62980.681986333613</v>
      </c>
      <c r="H615" s="558">
        <f t="shared" si="67"/>
        <v>64.589304710936958</v>
      </c>
      <c r="I615" s="434">
        <f t="shared" si="68"/>
        <v>6.4589304710936958E-5</v>
      </c>
    </row>
    <row r="616" spans="1:9">
      <c r="A616" s="401" t="s">
        <v>85</v>
      </c>
      <c r="B616" s="543">
        <f t="shared" si="69"/>
        <v>0</v>
      </c>
      <c r="C616" s="484">
        <f t="shared" si="69"/>
        <v>1105.8598497636949</v>
      </c>
      <c r="D616" s="484">
        <f t="shared" si="69"/>
        <v>102.51305555555555</v>
      </c>
      <c r="E616" s="577">
        <v>0</v>
      </c>
      <c r="F616" s="238">
        <f t="shared" si="66"/>
        <v>1208.3729053192505</v>
      </c>
      <c r="G616" s="596">
        <f t="shared" si="65"/>
        <v>62980.681986333613</v>
      </c>
      <c r="H616" s="558">
        <f t="shared" si="67"/>
        <v>19186.405532754623</v>
      </c>
      <c r="I616" s="434">
        <f t="shared" si="68"/>
        <v>1.9186405532754622E-2</v>
      </c>
    </row>
    <row r="617" spans="1:9" ht="14.65" thickBot="1">
      <c r="A617" s="343" t="s">
        <v>86</v>
      </c>
      <c r="B617" s="598">
        <f t="shared" si="69"/>
        <v>0.48136014421139528</v>
      </c>
      <c r="C617" s="599">
        <f t="shared" si="69"/>
        <v>31.992557012130458</v>
      </c>
      <c r="D617" s="599">
        <f t="shared" si="69"/>
        <v>39.549999999999997</v>
      </c>
      <c r="E617" s="379">
        <v>0</v>
      </c>
      <c r="F617" s="600">
        <f t="shared" si="66"/>
        <v>72.023917156341852</v>
      </c>
      <c r="G617" s="601">
        <f t="shared" si="65"/>
        <v>62980.681986333613</v>
      </c>
      <c r="H617" s="559">
        <f t="shared" si="67"/>
        <v>1143.5874443527073</v>
      </c>
      <c r="I617" s="439">
        <f t="shared" si="68"/>
        <v>1.1435874443527074E-3</v>
      </c>
    </row>
    <row r="618" spans="1:9">
      <c r="E618" s="146"/>
      <c r="F618" s="96"/>
      <c r="G618" s="95"/>
      <c r="H618" s="95"/>
    </row>
    <row r="619" spans="1:9">
      <c r="A619" s="1" t="s">
        <v>155</v>
      </c>
      <c r="B619" s="1"/>
      <c r="C619" s="1"/>
      <c r="E619" s="146"/>
      <c r="F619" s="96"/>
      <c r="G619" s="95"/>
      <c r="H619" s="95"/>
    </row>
    <row r="620" spans="1:9" ht="14.65" thickBot="1">
      <c r="A620" s="79" t="s">
        <v>156</v>
      </c>
    </row>
    <row r="621" spans="1:9" ht="14.65" thickBot="1">
      <c r="A621" s="103" t="s">
        <v>53</v>
      </c>
      <c r="B621" s="102" t="s">
        <v>18</v>
      </c>
      <c r="C621" s="17" t="s">
        <v>106</v>
      </c>
    </row>
    <row r="622" spans="1:9" ht="14.65" thickBot="1">
      <c r="A622" s="163" t="s">
        <v>305</v>
      </c>
      <c r="B622" s="290" t="s">
        <v>35</v>
      </c>
      <c r="C622" s="384">
        <f>$C$580</f>
        <v>139957.07108074136</v>
      </c>
    </row>
    <row r="623" spans="1:9">
      <c r="A623" s="78"/>
      <c r="B623" s="685"/>
      <c r="C623" s="686"/>
    </row>
    <row r="624" spans="1:9">
      <c r="A624" s="329" t="s">
        <v>319</v>
      </c>
      <c r="B624" s="685"/>
      <c r="C624" s="686"/>
    </row>
    <row r="626" spans="1:3" ht="14.65" thickBot="1">
      <c r="A626" s="79" t="s">
        <v>292</v>
      </c>
    </row>
    <row r="627" spans="1:3" ht="14.65" thickBot="1">
      <c r="A627" s="191" t="s">
        <v>90</v>
      </c>
      <c r="B627" s="192" t="s">
        <v>18</v>
      </c>
      <c r="C627" s="193" t="s">
        <v>91</v>
      </c>
    </row>
    <row r="628" spans="1:3">
      <c r="A628" s="703" t="s">
        <v>314</v>
      </c>
      <c r="B628" s="692" t="s">
        <v>35</v>
      </c>
      <c r="C628" s="730">
        <f>$C$588</f>
        <v>62980.681986333613</v>
      </c>
    </row>
    <row r="629" spans="1:3">
      <c r="A629" s="232" t="s">
        <v>320</v>
      </c>
      <c r="B629" s="178" t="s">
        <v>237</v>
      </c>
      <c r="C629" s="722">
        <v>0.95</v>
      </c>
    </row>
    <row r="630" spans="1:3">
      <c r="A630" s="720" t="s">
        <v>17</v>
      </c>
      <c r="B630" s="724" t="s">
        <v>35</v>
      </c>
      <c r="C630" s="718">
        <f>C628/C629</f>
        <v>66295.454722456445</v>
      </c>
    </row>
    <row r="631" spans="1:3">
      <c r="A631" s="232" t="s">
        <v>321</v>
      </c>
      <c r="B631" s="178" t="s">
        <v>237</v>
      </c>
      <c r="C631" s="722">
        <f>100%-C629</f>
        <v>5.0000000000000044E-2</v>
      </c>
    </row>
    <row r="632" spans="1:3">
      <c r="A632" s="232" t="s">
        <v>318</v>
      </c>
      <c r="B632" s="178" t="s">
        <v>35</v>
      </c>
      <c r="C632" s="84">
        <f>C630*C631</f>
        <v>3314.7727361228253</v>
      </c>
    </row>
    <row r="633" spans="1:3" ht="14.65" thickBot="1">
      <c r="A633" s="680" t="s">
        <v>16</v>
      </c>
      <c r="B633" s="694" t="s">
        <v>35</v>
      </c>
      <c r="C633" s="671">
        <f>$C$595-C632</f>
        <v>73661.616358284926</v>
      </c>
    </row>
    <row r="635" spans="1:3" ht="14.65" thickBot="1">
      <c r="A635" s="1" t="s">
        <v>401</v>
      </c>
      <c r="B635" s="1"/>
      <c r="C635" s="1"/>
    </row>
    <row r="636" spans="1:3" ht="14.65" thickBot="1">
      <c r="A636" s="9" t="s">
        <v>402</v>
      </c>
      <c r="B636" s="790" t="s">
        <v>297</v>
      </c>
      <c r="C636" s="789" t="s">
        <v>403</v>
      </c>
    </row>
    <row r="637" spans="1:3">
      <c r="A637" s="134" t="s">
        <v>329</v>
      </c>
      <c r="B637" s="793" t="s">
        <v>35</v>
      </c>
      <c r="C637" s="795">
        <f>C25</f>
        <v>2736</v>
      </c>
    </row>
    <row r="638" spans="1:3">
      <c r="A638" s="68" t="s">
        <v>331</v>
      </c>
      <c r="B638" s="105" t="s">
        <v>35</v>
      </c>
      <c r="C638" s="84">
        <f>C28</f>
        <v>35150</v>
      </c>
    </row>
    <row r="639" spans="1:3">
      <c r="A639" s="68" t="s">
        <v>409</v>
      </c>
      <c r="B639" s="105" t="s">
        <v>35</v>
      </c>
      <c r="C639" s="84">
        <f>C29</f>
        <v>14288</v>
      </c>
    </row>
    <row r="640" spans="1:3">
      <c r="A640" s="68" t="s">
        <v>410</v>
      </c>
      <c r="B640" s="105" t="s">
        <v>35</v>
      </c>
      <c r="C640" s="82">
        <f>C32</f>
        <v>35720</v>
      </c>
    </row>
    <row r="641" spans="1:5">
      <c r="A641" s="68" t="s">
        <v>404</v>
      </c>
      <c r="B641" s="105" t="s">
        <v>35</v>
      </c>
      <c r="C641" s="80">
        <f>ISH</f>
        <v>12000</v>
      </c>
    </row>
    <row r="642" spans="1:5">
      <c r="A642" s="68" t="s">
        <v>406</v>
      </c>
      <c r="B642" s="105" t="s">
        <v>35</v>
      </c>
      <c r="C642" s="80">
        <f>TVM</f>
        <v>17500</v>
      </c>
    </row>
    <row r="643" spans="1:5">
      <c r="A643" s="68" t="s">
        <v>405</v>
      </c>
      <c r="B643" s="105" t="s">
        <v>35</v>
      </c>
      <c r="C643" s="80">
        <f>SEF</f>
        <v>7000</v>
      </c>
    </row>
    <row r="644" spans="1:5">
      <c r="A644" s="68" t="s">
        <v>334</v>
      </c>
      <c r="B644" s="105" t="s">
        <v>35</v>
      </c>
      <c r="C644" s="86">
        <f>C268</f>
        <v>702.44295831890076</v>
      </c>
    </row>
    <row r="645" spans="1:5">
      <c r="A645" s="68" t="s">
        <v>408</v>
      </c>
      <c r="B645" s="105" t="s">
        <v>35</v>
      </c>
      <c r="C645" s="84">
        <f>C541</f>
        <v>10396.147575884417</v>
      </c>
    </row>
    <row r="646" spans="1:5">
      <c r="A646" s="68" t="s">
        <v>411</v>
      </c>
      <c r="B646" s="105" t="s">
        <v>35</v>
      </c>
      <c r="C646" s="84">
        <f>C543</f>
        <v>13861.530101179223</v>
      </c>
    </row>
    <row r="647" spans="1:5">
      <c r="A647" s="794" t="s">
        <v>412</v>
      </c>
      <c r="B647" s="105" t="s">
        <v>35</v>
      </c>
      <c r="C647" s="84">
        <f>C639+C645</f>
        <v>24684.147575884417</v>
      </c>
    </row>
    <row r="648" spans="1:5" ht="14.65" thickBot="1">
      <c r="A648" s="73" t="s">
        <v>407</v>
      </c>
      <c r="B648" s="23" t="s">
        <v>35</v>
      </c>
      <c r="C648" s="237">
        <f>C563</f>
        <v>19848.866517016595</v>
      </c>
    </row>
    <row r="650" spans="1:5" ht="14.65" thickBot="1">
      <c r="A650" s="1" t="s">
        <v>235</v>
      </c>
      <c r="B650" s="1"/>
      <c r="C650" s="1"/>
      <c r="D650" s="79"/>
      <c r="E650" s="79"/>
    </row>
    <row r="651" spans="1:5" ht="14.65" thickBot="1">
      <c r="A651" s="512"/>
      <c r="B651" s="249" t="s">
        <v>18</v>
      </c>
      <c r="C651" s="249" t="s">
        <v>234</v>
      </c>
    </row>
    <row r="652" spans="1:5">
      <c r="A652" s="134" t="s">
        <v>392</v>
      </c>
      <c r="B652" s="509" t="s">
        <v>24</v>
      </c>
      <c r="C652" s="248">
        <v>0.38</v>
      </c>
    </row>
    <row r="653" spans="1:5">
      <c r="A653" s="68" t="s">
        <v>314</v>
      </c>
      <c r="B653" s="510" t="s">
        <v>35</v>
      </c>
      <c r="C653" s="244">
        <f>C628</f>
        <v>62980.681986333613</v>
      </c>
    </row>
    <row r="654" spans="1:5">
      <c r="A654" s="68" t="s">
        <v>349</v>
      </c>
      <c r="B654" s="510" t="s">
        <v>35</v>
      </c>
      <c r="C654" s="245">
        <f>C653*C652</f>
        <v>23932.659154806774</v>
      </c>
    </row>
    <row r="655" spans="1:5">
      <c r="A655" s="68" t="s">
        <v>350</v>
      </c>
      <c r="B655" s="510" t="s">
        <v>35</v>
      </c>
      <c r="C655" s="246">
        <f>F606</f>
        <v>9.3009752661052755E-2</v>
      </c>
    </row>
    <row r="656" spans="1:5" ht="14.65" thickBot="1">
      <c r="A656" s="73" t="s">
        <v>351</v>
      </c>
      <c r="B656" s="511" t="s">
        <v>240</v>
      </c>
      <c r="C656" s="931">
        <f>C655/C654*1000000</f>
        <v>3.8863108382326224</v>
      </c>
    </row>
    <row r="657" spans="1:4" ht="14.65" thickBot="1"/>
    <row r="658" spans="1:4" ht="14.65" thickBot="1">
      <c r="A658" s="212"/>
      <c r="B658" s="1087" t="s">
        <v>216</v>
      </c>
      <c r="C658" s="1091" t="s">
        <v>165</v>
      </c>
      <c r="D658" s="1012"/>
    </row>
    <row r="659" spans="1:4">
      <c r="A659" s="487" t="s">
        <v>67</v>
      </c>
      <c r="B659" s="1088"/>
      <c r="C659" s="104" t="s">
        <v>166</v>
      </c>
      <c r="D659" s="15" t="s">
        <v>167</v>
      </c>
    </row>
    <row r="660" spans="1:4" ht="14.65" thickBot="1">
      <c r="A660" s="133" t="s">
        <v>18</v>
      </c>
      <c r="B660" s="609" t="s">
        <v>241</v>
      </c>
      <c r="C660" s="23" t="s">
        <v>70</v>
      </c>
      <c r="D660" s="24" t="s">
        <v>70</v>
      </c>
    </row>
    <row r="661" spans="1:4">
      <c r="A661" s="134" t="s">
        <v>222</v>
      </c>
      <c r="B661" s="681">
        <f>H604</f>
        <v>12.443910765665358</v>
      </c>
      <c r="C661" s="484">
        <f>Rohdaten!$F$12</f>
        <v>40</v>
      </c>
      <c r="D661" s="110">
        <f>Rohdaten!$H$12</f>
        <v>40</v>
      </c>
    </row>
    <row r="662" spans="1:4">
      <c r="A662" s="68" t="s">
        <v>223</v>
      </c>
      <c r="B662" s="929">
        <f>C656</f>
        <v>3.8863108382326224</v>
      </c>
      <c r="C662" s="105" t="str">
        <f>Rohdaten!$F$14</f>
        <v>50mg/kgP2O5</v>
      </c>
      <c r="D662" s="80" t="str">
        <f>Rohdaten!$H$14</f>
        <v>60mg/kgP2O5</v>
      </c>
    </row>
    <row r="663" spans="1:4">
      <c r="A663" s="68" t="s">
        <v>224</v>
      </c>
      <c r="B663" s="606">
        <f>H608</f>
        <v>374.38418344756377</v>
      </c>
      <c r="C663" s="485">
        <f>Rohdaten!$F$16</f>
        <v>900</v>
      </c>
      <c r="D663" s="82">
        <f>Rohdaten!$H$16</f>
        <v>600</v>
      </c>
    </row>
    <row r="664" spans="1:4">
      <c r="A664" s="68" t="s">
        <v>225</v>
      </c>
      <c r="B664" s="606">
        <f>H613</f>
        <v>46.458549124979882</v>
      </c>
      <c r="C664" s="485">
        <f>Rohdaten!$F$21</f>
        <v>80</v>
      </c>
      <c r="D664" s="82">
        <f>Rohdaten!$H$21</f>
        <v>100</v>
      </c>
    </row>
    <row r="665" spans="1:4">
      <c r="A665" s="68" t="s">
        <v>226</v>
      </c>
      <c r="B665" s="607">
        <f>H615</f>
        <v>64.589304710936958</v>
      </c>
      <c r="C665" s="485">
        <f>Rohdaten!$F$23</f>
        <v>150</v>
      </c>
      <c r="D665" s="82">
        <f>Rohdaten!$H$23</f>
        <v>120</v>
      </c>
    </row>
    <row r="666" spans="1:4" ht="14.65" thickBot="1">
      <c r="A666" s="73" t="s">
        <v>227</v>
      </c>
      <c r="B666" s="608">
        <f>H617</f>
        <v>1143.5874443527073</v>
      </c>
      <c r="C666" s="486">
        <f>Rohdaten!$F$25</f>
        <v>5000</v>
      </c>
      <c r="D666" s="237">
        <f>Rohdaten!$H$25</f>
        <v>1500</v>
      </c>
    </row>
  </sheetData>
  <mergeCells count="51">
    <mergeCell ref="B76:F76"/>
    <mergeCell ref="G76:L76"/>
    <mergeCell ref="B77:B78"/>
    <mergeCell ref="C77:C78"/>
    <mergeCell ref="D77:D78"/>
    <mergeCell ref="E77:E78"/>
    <mergeCell ref="F77:F78"/>
    <mergeCell ref="G77:H78"/>
    <mergeCell ref="B289:C289"/>
    <mergeCell ref="I77:L77"/>
    <mergeCell ref="I78:J78"/>
    <mergeCell ref="K78:L78"/>
    <mergeCell ref="B199:D199"/>
    <mergeCell ref="E199:H199"/>
    <mergeCell ref="E200:F200"/>
    <mergeCell ref="G200:H200"/>
    <mergeCell ref="B225:D225"/>
    <mergeCell ref="E225:H225"/>
    <mergeCell ref="E226:F226"/>
    <mergeCell ref="G226:H226"/>
    <mergeCell ref="B288:C288"/>
    <mergeCell ref="D345:D346"/>
    <mergeCell ref="E345:E346"/>
    <mergeCell ref="F345:F346"/>
    <mergeCell ref="G345:H346"/>
    <mergeCell ref="I345:L345"/>
    <mergeCell ref="I346:J346"/>
    <mergeCell ref="B658:B659"/>
    <mergeCell ref="C658:D658"/>
    <mergeCell ref="E460:F460"/>
    <mergeCell ref="G460:H460"/>
    <mergeCell ref="B507:F507"/>
    <mergeCell ref="G507:H507"/>
    <mergeCell ref="G508:H508"/>
    <mergeCell ref="D532:E532"/>
    <mergeCell ref="E35:F35"/>
    <mergeCell ref="G35:K35"/>
    <mergeCell ref="B600:G600"/>
    <mergeCell ref="H600:I600"/>
    <mergeCell ref="H601:I601"/>
    <mergeCell ref="K346:L346"/>
    <mergeCell ref="B437:D437"/>
    <mergeCell ref="E437:H437"/>
    <mergeCell ref="E438:F438"/>
    <mergeCell ref="G438:H438"/>
    <mergeCell ref="B459:D459"/>
    <mergeCell ref="E459:H459"/>
    <mergeCell ref="B344:F344"/>
    <mergeCell ref="G344:L344"/>
    <mergeCell ref="B345:B346"/>
    <mergeCell ref="C345:C346"/>
  </mergeCell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777EC-FA99-4826-A37A-EC9955FC563E}">
  <dimension ref="A1:Q52"/>
  <sheetViews>
    <sheetView zoomScale="60" zoomScaleNormal="60" workbookViewId="0">
      <selection activeCell="P41" sqref="P41"/>
    </sheetView>
  </sheetViews>
  <sheetFormatPr baseColWidth="10" defaultRowHeight="14.25"/>
  <cols>
    <col min="4" max="13" width="11.53125" bestFit="1" customWidth="1"/>
  </cols>
  <sheetData>
    <row r="1" spans="1:17" ht="14.65" thickBot="1">
      <c r="A1" s="329" t="s">
        <v>574</v>
      </c>
    </row>
    <row r="2" spans="1:17">
      <c r="A2" s="951"/>
      <c r="B2" s="952"/>
      <c r="C2" s="953"/>
      <c r="D2" s="952" t="s">
        <v>567</v>
      </c>
      <c r="E2" s="952" t="s">
        <v>566</v>
      </c>
      <c r="F2" s="952" t="s">
        <v>568</v>
      </c>
      <c r="G2" s="952" t="s">
        <v>569</v>
      </c>
      <c r="H2" s="952" t="s">
        <v>570</v>
      </c>
      <c r="I2" s="952" t="s">
        <v>571</v>
      </c>
      <c r="J2" s="952" t="s">
        <v>572</v>
      </c>
      <c r="K2" s="953" t="s">
        <v>573</v>
      </c>
    </row>
    <row r="3" spans="1:17" ht="78.400000000000006" customHeight="1" thickBot="1">
      <c r="A3" s="982"/>
      <c r="B3" s="970"/>
      <c r="C3" s="971"/>
      <c r="D3" s="970" t="s">
        <v>527</v>
      </c>
      <c r="E3" s="970" t="s">
        <v>363</v>
      </c>
      <c r="F3" s="970" t="s">
        <v>418</v>
      </c>
      <c r="G3" s="970" t="s">
        <v>528</v>
      </c>
      <c r="H3" s="970" t="s">
        <v>529</v>
      </c>
      <c r="I3" s="970" t="s">
        <v>530</v>
      </c>
      <c r="J3" s="970" t="s">
        <v>531</v>
      </c>
      <c r="K3" s="971" t="s">
        <v>532</v>
      </c>
      <c r="Q3" s="984"/>
    </row>
    <row r="4" spans="1:17" ht="27">
      <c r="A4" s="951" t="s">
        <v>558</v>
      </c>
      <c r="B4" s="952" t="s">
        <v>406</v>
      </c>
      <c r="C4" s="983" t="s">
        <v>489</v>
      </c>
      <c r="D4" s="1102">
        <v>0.28263899999999997</v>
      </c>
      <c r="E4" s="1103">
        <v>0.15351300000000001</v>
      </c>
      <c r="F4" s="1103">
        <v>0.25737199999999999</v>
      </c>
      <c r="G4" s="1103">
        <v>0.33402999999999999</v>
      </c>
      <c r="H4" s="973">
        <v>6.0010000000000003E-3</v>
      </c>
      <c r="I4" s="972">
        <v>0</v>
      </c>
      <c r="J4" s="973">
        <v>1.8242000000000001E-2</v>
      </c>
      <c r="K4" s="974">
        <v>4.1180000000000001E-3</v>
      </c>
    </row>
    <row r="5" spans="1:17" ht="27">
      <c r="A5" s="960" t="s">
        <v>559</v>
      </c>
      <c r="B5" s="961" t="s">
        <v>405</v>
      </c>
      <c r="C5" s="968" t="s">
        <v>491</v>
      </c>
      <c r="D5" s="975">
        <v>0.197745</v>
      </c>
      <c r="E5" s="976">
        <v>0.16825899999999999</v>
      </c>
      <c r="F5" s="976">
        <v>0.22678200000000001</v>
      </c>
      <c r="G5" s="976">
        <v>0.29436299999999999</v>
      </c>
      <c r="H5" s="977">
        <v>3.4657E-2</v>
      </c>
      <c r="I5" s="963">
        <v>0</v>
      </c>
      <c r="J5" s="976">
        <v>0.350742</v>
      </c>
      <c r="K5" s="978">
        <v>7.3130000000000001E-2</v>
      </c>
    </row>
    <row r="6" spans="1:17" ht="27">
      <c r="A6" s="960" t="s">
        <v>560</v>
      </c>
      <c r="B6" s="961" t="s">
        <v>404</v>
      </c>
      <c r="C6" s="968" t="s">
        <v>493</v>
      </c>
      <c r="D6" s="975">
        <v>0.28364899999999998</v>
      </c>
      <c r="E6" s="976">
        <v>0.15411</v>
      </c>
      <c r="F6" s="976">
        <v>0.25783400000000001</v>
      </c>
      <c r="G6" s="976">
        <v>0.33478200000000002</v>
      </c>
      <c r="H6" s="977">
        <v>7.7510000000000001E-3</v>
      </c>
      <c r="I6" s="963">
        <v>0</v>
      </c>
      <c r="J6" s="977">
        <v>2.0230999999999999E-2</v>
      </c>
      <c r="K6" s="978">
        <v>4.7369999999999999E-3</v>
      </c>
    </row>
    <row r="7" spans="1:17" ht="54">
      <c r="A7" s="960" t="s">
        <v>561</v>
      </c>
      <c r="B7" s="961" t="s">
        <v>585</v>
      </c>
      <c r="C7" s="968" t="s">
        <v>498</v>
      </c>
      <c r="D7" s="975">
        <v>0.14813299999999999</v>
      </c>
      <c r="E7" s="977">
        <v>6.4349999999999997E-3</v>
      </c>
      <c r="F7" s="977">
        <v>1.9057000000000001E-2</v>
      </c>
      <c r="G7" s="977">
        <v>2.5144E-2</v>
      </c>
      <c r="H7" s="976">
        <v>0.61022600000000005</v>
      </c>
      <c r="I7" s="963">
        <v>0</v>
      </c>
      <c r="J7" s="977">
        <v>8.0314999999999998E-2</v>
      </c>
      <c r="K7" s="978">
        <v>7.3235999999999996E-2</v>
      </c>
    </row>
    <row r="8" spans="1:17" ht="54">
      <c r="A8" s="960" t="s">
        <v>562</v>
      </c>
      <c r="B8" s="961" t="s">
        <v>581</v>
      </c>
      <c r="C8" s="968" t="s">
        <v>506</v>
      </c>
      <c r="D8" s="979">
        <v>2.5857999999999999E-2</v>
      </c>
      <c r="E8" s="977">
        <v>1.08E-3</v>
      </c>
      <c r="F8" s="977">
        <v>3.385E-3</v>
      </c>
      <c r="G8" s="977">
        <v>4.3889999999999997E-3</v>
      </c>
      <c r="H8" s="976">
        <v>0.100533</v>
      </c>
      <c r="I8" s="963">
        <v>0</v>
      </c>
      <c r="J8" s="977">
        <v>1.3727E-2</v>
      </c>
      <c r="K8" s="978">
        <v>1.1731999999999999E-2</v>
      </c>
    </row>
    <row r="9" spans="1:17" ht="54">
      <c r="A9" s="960" t="s">
        <v>563</v>
      </c>
      <c r="B9" s="961" t="s">
        <v>582</v>
      </c>
      <c r="C9" s="968" t="s">
        <v>498</v>
      </c>
      <c r="D9" s="979">
        <v>7.1990999999999999E-2</v>
      </c>
      <c r="E9" s="977">
        <v>3.0130000000000001E-3</v>
      </c>
      <c r="F9" s="977">
        <v>9.4020000000000006E-3</v>
      </c>
      <c r="G9" s="977">
        <v>1.222E-2</v>
      </c>
      <c r="H9" s="976">
        <v>0.289296</v>
      </c>
      <c r="I9" s="963">
        <v>0</v>
      </c>
      <c r="J9" s="977">
        <v>3.8085000000000001E-2</v>
      </c>
      <c r="K9" s="978">
        <v>3.4514000000000003E-2</v>
      </c>
    </row>
    <row r="10" spans="1:17" ht="54">
      <c r="A10" s="960" t="s">
        <v>564</v>
      </c>
      <c r="B10" s="961" t="s">
        <v>583</v>
      </c>
      <c r="C10" s="968" t="s">
        <v>503</v>
      </c>
      <c r="D10" s="980">
        <v>0</v>
      </c>
      <c r="E10" s="963">
        <v>0</v>
      </c>
      <c r="F10" s="963">
        <v>0</v>
      </c>
      <c r="G10" s="963">
        <v>0</v>
      </c>
      <c r="H10" s="963">
        <v>0</v>
      </c>
      <c r="I10" s="963">
        <v>0</v>
      </c>
      <c r="J10" s="976">
        <v>0.48798900000000001</v>
      </c>
      <c r="K10" s="964">
        <v>0</v>
      </c>
    </row>
    <row r="11" spans="1:17" ht="54">
      <c r="A11" s="960" t="s">
        <v>511</v>
      </c>
      <c r="B11" s="961" t="s">
        <v>584</v>
      </c>
      <c r="C11" s="968" t="s">
        <v>508</v>
      </c>
      <c r="D11" s="980">
        <v>0</v>
      </c>
      <c r="E11" s="963">
        <v>0</v>
      </c>
      <c r="F11" s="963">
        <v>0</v>
      </c>
      <c r="G11" s="963">
        <v>0</v>
      </c>
      <c r="H11" s="963">
        <v>0</v>
      </c>
      <c r="I11" s="963">
        <v>0</v>
      </c>
      <c r="J11" s="963">
        <v>0</v>
      </c>
      <c r="K11" s="1104">
        <v>0.88629199999999997</v>
      </c>
    </row>
    <row r="12" spans="1:17" ht="40.9" thickBot="1">
      <c r="A12" s="955" t="s">
        <v>565</v>
      </c>
      <c r="B12" s="956" t="s">
        <v>557</v>
      </c>
      <c r="C12" s="969" t="s">
        <v>510</v>
      </c>
      <c r="D12" s="981">
        <v>0</v>
      </c>
      <c r="E12" s="1105">
        <v>0.52188999999999997</v>
      </c>
      <c r="F12" s="1105">
        <v>0.23202500000000001</v>
      </c>
      <c r="G12" s="965">
        <v>0</v>
      </c>
      <c r="H12" s="965">
        <v>0</v>
      </c>
      <c r="I12" s="1105">
        <v>1</v>
      </c>
      <c r="J12" s="965">
        <v>0</v>
      </c>
      <c r="K12" s="966">
        <v>0</v>
      </c>
    </row>
    <row r="14" spans="1:17" ht="14.65" thickBot="1">
      <c r="A14" s="329" t="s">
        <v>575</v>
      </c>
    </row>
    <row r="15" spans="1:17">
      <c r="A15" s="951"/>
      <c r="B15" s="952"/>
      <c r="C15" s="953"/>
      <c r="D15" s="954" t="s">
        <v>478</v>
      </c>
      <c r="E15" s="952" t="s">
        <v>479</v>
      </c>
      <c r="F15" s="952" t="s">
        <v>481</v>
      </c>
      <c r="G15" s="952" t="s">
        <v>480</v>
      </c>
      <c r="H15" s="952" t="s">
        <v>482</v>
      </c>
      <c r="I15" s="952" t="s">
        <v>483</v>
      </c>
      <c r="J15" s="952" t="s">
        <v>484</v>
      </c>
      <c r="K15" s="952" t="s">
        <v>485</v>
      </c>
      <c r="L15" s="952" t="s">
        <v>486</v>
      </c>
      <c r="M15" s="953" t="s">
        <v>487</v>
      </c>
    </row>
    <row r="16" spans="1:17" ht="67.900000000000006" thickBot="1">
      <c r="A16" s="955"/>
      <c r="B16" s="956"/>
      <c r="C16" s="957"/>
      <c r="D16" s="1113" t="s">
        <v>334</v>
      </c>
      <c r="E16" s="970" t="s">
        <v>526</v>
      </c>
      <c r="F16" s="970" t="s">
        <v>527</v>
      </c>
      <c r="G16" s="970" t="s">
        <v>363</v>
      </c>
      <c r="H16" s="970" t="s">
        <v>418</v>
      </c>
      <c r="I16" s="970" t="s">
        <v>528</v>
      </c>
      <c r="J16" s="970" t="s">
        <v>529</v>
      </c>
      <c r="K16" s="970" t="s">
        <v>530</v>
      </c>
      <c r="L16" s="970" t="s">
        <v>531</v>
      </c>
      <c r="M16" s="971" t="s">
        <v>532</v>
      </c>
    </row>
    <row r="17" spans="1:13" ht="51" customHeight="1">
      <c r="A17" s="958" t="s">
        <v>488</v>
      </c>
      <c r="B17" s="959" t="s">
        <v>406</v>
      </c>
      <c r="C17" s="1112" t="s">
        <v>489</v>
      </c>
      <c r="D17" s="1114">
        <v>0</v>
      </c>
      <c r="E17" s="972">
        <v>0</v>
      </c>
      <c r="F17" s="1103">
        <v>0.34871000000000002</v>
      </c>
      <c r="G17" s="1103">
        <v>0.10609200000000001</v>
      </c>
      <c r="H17" s="1103">
        <v>0.37886300000000001</v>
      </c>
      <c r="I17" s="1103">
        <v>0.471134</v>
      </c>
      <c r="J17" s="972">
        <v>0</v>
      </c>
      <c r="K17" s="972">
        <v>0</v>
      </c>
      <c r="L17" s="1115">
        <v>1.0902999999999999E-2</v>
      </c>
      <c r="M17" s="1116">
        <v>1.7349E-2</v>
      </c>
    </row>
    <row r="18" spans="1:13" ht="27">
      <c r="A18" s="960" t="s">
        <v>490</v>
      </c>
      <c r="B18" s="961" t="s">
        <v>405</v>
      </c>
      <c r="C18" s="968" t="s">
        <v>491</v>
      </c>
      <c r="D18" s="980">
        <v>0</v>
      </c>
      <c r="E18" s="963">
        <v>0</v>
      </c>
      <c r="F18" s="976">
        <v>0.28378399999999998</v>
      </c>
      <c r="G18" s="976">
        <v>0.105619</v>
      </c>
      <c r="H18" s="976">
        <v>0.39122699999999999</v>
      </c>
      <c r="I18" s="976">
        <v>0.48548200000000002</v>
      </c>
      <c r="J18" s="1106">
        <v>2.8416E-2</v>
      </c>
      <c r="K18" s="963">
        <v>0</v>
      </c>
      <c r="L18" s="1107">
        <v>0.31028099999999997</v>
      </c>
      <c r="M18" s="1108">
        <v>3.2300000000000002E-2</v>
      </c>
    </row>
    <row r="19" spans="1:13" ht="27">
      <c r="A19" s="960" t="s">
        <v>492</v>
      </c>
      <c r="B19" s="961" t="s">
        <v>404</v>
      </c>
      <c r="C19" s="968" t="s">
        <v>493</v>
      </c>
      <c r="D19" s="1117">
        <v>1</v>
      </c>
      <c r="E19" s="1107">
        <v>0.23088900000000001</v>
      </c>
      <c r="F19" s="1109">
        <v>4.764E-3</v>
      </c>
      <c r="G19" s="976">
        <v>0.39829300000000001</v>
      </c>
      <c r="H19" s="1109">
        <v>2.2210000000000001E-2</v>
      </c>
      <c r="I19" s="1109">
        <v>2.3861E-2</v>
      </c>
      <c r="J19" s="963">
        <v>0</v>
      </c>
      <c r="K19" s="963">
        <v>0</v>
      </c>
      <c r="L19" s="1106">
        <v>4.2700000000000002E-2</v>
      </c>
      <c r="M19" s="1108">
        <v>2.1496000000000001E-2</v>
      </c>
    </row>
    <row r="20" spans="1:13" ht="27">
      <c r="A20" s="960" t="s">
        <v>504</v>
      </c>
      <c r="B20" s="961" t="s">
        <v>585</v>
      </c>
      <c r="C20" s="968" t="s">
        <v>498</v>
      </c>
      <c r="D20" s="980">
        <v>0</v>
      </c>
      <c r="E20" s="963">
        <v>0</v>
      </c>
      <c r="F20" s="1107">
        <v>0.17541000000000001</v>
      </c>
      <c r="G20" s="1106">
        <v>4.4079999999999996E-3</v>
      </c>
      <c r="H20" s="1106">
        <v>2.9527000000000001E-2</v>
      </c>
      <c r="I20" s="1106">
        <v>3.3942E-2</v>
      </c>
      <c r="J20" s="1107">
        <v>0.39715499999999998</v>
      </c>
      <c r="K20" s="963">
        <v>0</v>
      </c>
      <c r="L20" s="1106">
        <v>6.1430999999999999E-2</v>
      </c>
      <c r="M20" s="1108">
        <v>4.7565999999999997E-2</v>
      </c>
    </row>
    <row r="21" spans="1:13" ht="27">
      <c r="A21" s="960" t="s">
        <v>505</v>
      </c>
      <c r="B21" s="961" t="s">
        <v>581</v>
      </c>
      <c r="C21" s="968" t="s">
        <v>506</v>
      </c>
      <c r="D21" s="980">
        <v>0</v>
      </c>
      <c r="E21" s="963">
        <v>0</v>
      </c>
      <c r="F21" s="1106">
        <v>3.7754000000000003E-2</v>
      </c>
      <c r="G21" s="1106">
        <v>3.3599999999999998E-4</v>
      </c>
      <c r="H21" s="1106">
        <v>5.5290000000000001E-3</v>
      </c>
      <c r="I21" s="1106">
        <v>7.8130000000000005E-3</v>
      </c>
      <c r="J21" s="1106">
        <v>7.7628000000000003E-2</v>
      </c>
      <c r="K21" s="963">
        <v>0</v>
      </c>
      <c r="L21" s="1106">
        <v>8.5280000000000009E-3</v>
      </c>
      <c r="M21" s="1108">
        <v>9.6410000000000003E-3</v>
      </c>
    </row>
    <row r="22" spans="1:13" ht="27">
      <c r="A22" s="960" t="s">
        <v>497</v>
      </c>
      <c r="B22" s="961" t="s">
        <v>582</v>
      </c>
      <c r="C22" s="968" t="s">
        <v>498</v>
      </c>
      <c r="D22" s="980">
        <v>0</v>
      </c>
      <c r="E22" s="963">
        <v>0</v>
      </c>
      <c r="F22" s="1106">
        <v>2.6360000000000001E-2</v>
      </c>
      <c r="G22" s="1106">
        <v>2.3990000000000001E-3</v>
      </c>
      <c r="H22" s="1106">
        <v>7.2810000000000001E-3</v>
      </c>
      <c r="I22" s="1106">
        <v>6.3039999999999997E-3</v>
      </c>
      <c r="J22" s="1106">
        <v>4.9882999999999997E-2</v>
      </c>
      <c r="K22" s="963">
        <v>0</v>
      </c>
      <c r="L22" s="1106">
        <v>9.5060000000000006E-3</v>
      </c>
      <c r="M22" s="1108">
        <v>5.0470000000000003E-3</v>
      </c>
    </row>
    <row r="23" spans="1:13" ht="40.5">
      <c r="A23" s="960" t="s">
        <v>502</v>
      </c>
      <c r="B23" s="961" t="s">
        <v>583</v>
      </c>
      <c r="C23" s="968" t="s">
        <v>503</v>
      </c>
      <c r="D23" s="980">
        <v>0</v>
      </c>
      <c r="E23" s="963">
        <v>0</v>
      </c>
      <c r="F23" s="963">
        <v>0</v>
      </c>
      <c r="G23" s="963">
        <v>0</v>
      </c>
      <c r="H23" s="963">
        <v>0</v>
      </c>
      <c r="I23" s="963">
        <v>0</v>
      </c>
      <c r="J23" s="963">
        <v>0</v>
      </c>
      <c r="K23" s="963">
        <v>0</v>
      </c>
      <c r="L23" s="1107">
        <v>0.43221199999999999</v>
      </c>
      <c r="M23" s="964">
        <v>0</v>
      </c>
    </row>
    <row r="24" spans="1:13" ht="40.5">
      <c r="A24" s="960" t="s">
        <v>507</v>
      </c>
      <c r="B24" s="961" t="s">
        <v>584</v>
      </c>
      <c r="C24" s="968" t="s">
        <v>508</v>
      </c>
      <c r="D24" s="980">
        <v>0</v>
      </c>
      <c r="E24" s="963">
        <v>0</v>
      </c>
      <c r="F24" s="963">
        <v>0</v>
      </c>
      <c r="G24" s="963">
        <v>0</v>
      </c>
      <c r="H24" s="963">
        <v>0</v>
      </c>
      <c r="I24" s="963">
        <v>0</v>
      </c>
      <c r="J24" s="963">
        <v>0</v>
      </c>
      <c r="K24" s="963">
        <v>0</v>
      </c>
      <c r="L24" s="963">
        <v>0</v>
      </c>
      <c r="M24" s="1110">
        <v>0.72716099999999995</v>
      </c>
    </row>
    <row r="25" spans="1:13" ht="40.5">
      <c r="A25" s="960" t="s">
        <v>514</v>
      </c>
      <c r="B25" s="961" t="s">
        <v>515</v>
      </c>
      <c r="C25" s="968" t="s">
        <v>516</v>
      </c>
      <c r="D25" s="980">
        <v>0</v>
      </c>
      <c r="E25" s="963">
        <v>0</v>
      </c>
      <c r="F25" s="1106">
        <v>1.3637E-2</v>
      </c>
      <c r="G25" s="963">
        <v>0</v>
      </c>
      <c r="H25" s="1106">
        <v>1.1280999999999999E-2</v>
      </c>
      <c r="I25" s="1106">
        <v>1.7531000000000001E-2</v>
      </c>
      <c r="J25" s="963">
        <v>0</v>
      </c>
      <c r="K25" s="963">
        <v>0</v>
      </c>
      <c r="L25" s="1106">
        <v>3.6103000000000003E-2</v>
      </c>
      <c r="M25" s="1108">
        <v>2.6797999999999999E-2</v>
      </c>
    </row>
    <row r="26" spans="1:13" ht="40.5">
      <c r="A26" s="960" t="s">
        <v>517</v>
      </c>
      <c r="B26" s="961" t="s">
        <v>518</v>
      </c>
      <c r="C26" s="968" t="s">
        <v>519</v>
      </c>
      <c r="D26" s="980">
        <v>0</v>
      </c>
      <c r="E26" s="976">
        <v>0.59387100000000004</v>
      </c>
      <c r="F26" s="1106">
        <v>1.5015000000000001E-2</v>
      </c>
      <c r="G26" s="1107">
        <v>0.40188499999999999</v>
      </c>
      <c r="H26" s="1106">
        <v>1.0246E-2</v>
      </c>
      <c r="I26" s="1106">
        <v>8.5089999999999992E-3</v>
      </c>
      <c r="J26" s="1106">
        <v>1.4269E-2</v>
      </c>
      <c r="K26" s="963">
        <v>0</v>
      </c>
      <c r="L26" s="1106">
        <v>1.6263E-2</v>
      </c>
      <c r="M26" s="1108">
        <v>2.026E-2</v>
      </c>
    </row>
    <row r="27" spans="1:13" ht="40.5">
      <c r="A27" s="960" t="s">
        <v>509</v>
      </c>
      <c r="B27" s="961" t="s">
        <v>557</v>
      </c>
      <c r="C27" s="968" t="s">
        <v>510</v>
      </c>
      <c r="D27" s="980">
        <v>0</v>
      </c>
      <c r="E27" s="963">
        <v>0</v>
      </c>
      <c r="F27" s="963">
        <v>0</v>
      </c>
      <c r="G27" s="1106">
        <v>6.0496000000000001E-2</v>
      </c>
      <c r="H27" s="1107">
        <v>0.193716</v>
      </c>
      <c r="I27" s="963">
        <v>0</v>
      </c>
      <c r="J27" s="963">
        <v>0</v>
      </c>
      <c r="K27" s="1107">
        <v>1</v>
      </c>
      <c r="L27" s="963">
        <v>0</v>
      </c>
      <c r="M27" s="964">
        <v>0</v>
      </c>
    </row>
    <row r="28" spans="1:13" ht="27">
      <c r="A28" s="960" t="s">
        <v>511</v>
      </c>
      <c r="B28" s="961" t="s">
        <v>512</v>
      </c>
      <c r="C28" s="968" t="s">
        <v>513</v>
      </c>
      <c r="D28" s="980">
        <v>0</v>
      </c>
      <c r="E28" s="963">
        <v>0</v>
      </c>
      <c r="F28" s="1106">
        <v>4.3699000000000002E-2</v>
      </c>
      <c r="G28" s="1106">
        <v>1.6249999999999999E-3</v>
      </c>
      <c r="H28" s="1106">
        <v>7.1339999999999997E-3</v>
      </c>
      <c r="I28" s="1106">
        <v>9.9649999999999999E-3</v>
      </c>
      <c r="J28" s="1107">
        <v>0.104321</v>
      </c>
      <c r="K28" s="963">
        <v>0</v>
      </c>
      <c r="L28" s="1106">
        <v>5.0769999999999999E-3</v>
      </c>
      <c r="M28" s="1108">
        <v>1.8603000000000001E-2</v>
      </c>
    </row>
    <row r="29" spans="1:13" ht="40.5">
      <c r="A29" s="960" t="s">
        <v>494</v>
      </c>
      <c r="B29" s="961" t="s">
        <v>495</v>
      </c>
      <c r="C29" s="968" t="s">
        <v>496</v>
      </c>
      <c r="D29" s="980">
        <v>0</v>
      </c>
      <c r="E29" s="963">
        <v>0</v>
      </c>
      <c r="F29" s="1106">
        <v>2.9012E-2</v>
      </c>
      <c r="G29" s="1106">
        <v>9.8499999999999998E-4</v>
      </c>
      <c r="H29" s="1106">
        <v>4.9890000000000004E-3</v>
      </c>
      <c r="I29" s="1106">
        <v>4.8500000000000001E-3</v>
      </c>
      <c r="J29" s="1106">
        <v>7.3510000000000006E-2</v>
      </c>
      <c r="K29" s="963">
        <v>0</v>
      </c>
      <c r="L29" s="1106">
        <v>1.572E-3</v>
      </c>
      <c r="M29" s="1108">
        <v>9.3609999999999995E-3</v>
      </c>
    </row>
    <row r="30" spans="1:13" ht="40.5">
      <c r="A30" s="960" t="s">
        <v>520</v>
      </c>
      <c r="B30" s="961" t="s">
        <v>521</v>
      </c>
      <c r="C30" s="968" t="s">
        <v>522</v>
      </c>
      <c r="D30" s="980">
        <v>0</v>
      </c>
      <c r="E30" s="963">
        <v>0</v>
      </c>
      <c r="F30" s="963">
        <v>0</v>
      </c>
      <c r="G30" s="963">
        <v>0</v>
      </c>
      <c r="H30" s="963">
        <v>0</v>
      </c>
      <c r="I30" s="963">
        <v>0</v>
      </c>
      <c r="J30" s="963">
        <v>0</v>
      </c>
      <c r="K30" s="963">
        <v>0</v>
      </c>
      <c r="L30" s="963">
        <v>0</v>
      </c>
      <c r="M30" s="1108">
        <v>1.846E-3</v>
      </c>
    </row>
    <row r="31" spans="1:13" ht="40.5">
      <c r="A31" s="960" t="s">
        <v>499</v>
      </c>
      <c r="B31" s="961" t="s">
        <v>500</v>
      </c>
      <c r="C31" s="968" t="s">
        <v>501</v>
      </c>
      <c r="D31" s="980">
        <v>0</v>
      </c>
      <c r="E31" s="963">
        <v>0</v>
      </c>
      <c r="F31" s="1111">
        <v>9.2989000000000002E-2</v>
      </c>
      <c r="G31" s="963">
        <v>0</v>
      </c>
      <c r="H31" s="1106">
        <v>1.2329E-2</v>
      </c>
      <c r="I31" s="1106">
        <v>1.5213000000000001E-2</v>
      </c>
      <c r="J31" s="1107">
        <v>0.25962299999999999</v>
      </c>
      <c r="K31" s="963">
        <v>0</v>
      </c>
      <c r="L31" s="1106">
        <v>3.4660999999999997E-2</v>
      </c>
      <c r="M31" s="1108">
        <v>2.5293E-2</v>
      </c>
    </row>
    <row r="32" spans="1:13" ht="40.9" thickBot="1">
      <c r="A32" s="960" t="s">
        <v>523</v>
      </c>
      <c r="B32" s="961" t="s">
        <v>524</v>
      </c>
      <c r="C32" s="968" t="s">
        <v>525</v>
      </c>
      <c r="D32" s="981">
        <v>0</v>
      </c>
      <c r="E32" s="965">
        <v>0</v>
      </c>
      <c r="F32" s="965">
        <v>0</v>
      </c>
      <c r="G32" s="965">
        <v>0</v>
      </c>
      <c r="H32" s="965">
        <v>0</v>
      </c>
      <c r="I32" s="965">
        <v>0</v>
      </c>
      <c r="J32" s="965">
        <v>0</v>
      </c>
      <c r="K32" s="965">
        <v>0</v>
      </c>
      <c r="L32" s="965">
        <v>0</v>
      </c>
      <c r="M32" s="1118">
        <v>3.7060000000000001E-3</v>
      </c>
    </row>
    <row r="33" spans="1:16">
      <c r="A33" s="985"/>
      <c r="B33" s="985"/>
      <c r="C33" s="985"/>
      <c r="D33" s="967"/>
      <c r="E33" s="967"/>
      <c r="F33" s="967"/>
      <c r="G33" s="967"/>
      <c r="H33" s="967"/>
      <c r="I33" s="967"/>
      <c r="J33" s="967"/>
      <c r="K33" s="967"/>
      <c r="L33" s="967"/>
      <c r="M33" s="967"/>
      <c r="N33" s="967"/>
      <c r="O33" s="967"/>
      <c r="P33" s="967"/>
    </row>
    <row r="34" spans="1:16" ht="14.65" thickBot="1">
      <c r="A34" s="329" t="s">
        <v>576</v>
      </c>
    </row>
    <row r="35" spans="1:16">
      <c r="A35" s="951"/>
      <c r="B35" s="952"/>
      <c r="C35" s="953"/>
      <c r="D35" s="954" t="s">
        <v>533</v>
      </c>
      <c r="E35" s="952" t="s">
        <v>534</v>
      </c>
      <c r="F35" s="952" t="s">
        <v>536</v>
      </c>
      <c r="G35" s="952" t="s">
        <v>535</v>
      </c>
      <c r="H35" s="952" t="s">
        <v>537</v>
      </c>
      <c r="I35" s="952" t="s">
        <v>538</v>
      </c>
      <c r="J35" s="952" t="s">
        <v>539</v>
      </c>
      <c r="K35" s="952" t="s">
        <v>540</v>
      </c>
      <c r="L35" s="952" t="s">
        <v>541</v>
      </c>
      <c r="M35" s="953" t="s">
        <v>542</v>
      </c>
    </row>
    <row r="36" spans="1:16" ht="67.900000000000006" thickBot="1">
      <c r="A36" s="955"/>
      <c r="B36" s="956"/>
      <c r="C36" s="957"/>
      <c r="D36" s="1113" t="s">
        <v>334</v>
      </c>
      <c r="E36" s="970" t="s">
        <v>526</v>
      </c>
      <c r="F36" s="970" t="s">
        <v>527</v>
      </c>
      <c r="G36" s="970" t="s">
        <v>363</v>
      </c>
      <c r="H36" s="970" t="s">
        <v>418</v>
      </c>
      <c r="I36" s="970" t="s">
        <v>528</v>
      </c>
      <c r="J36" s="970" t="s">
        <v>529</v>
      </c>
      <c r="K36" s="970" t="s">
        <v>530</v>
      </c>
      <c r="L36" s="970" t="s">
        <v>531</v>
      </c>
      <c r="M36" s="971" t="s">
        <v>532</v>
      </c>
    </row>
    <row r="37" spans="1:16" ht="27">
      <c r="A37" s="951" t="s">
        <v>488</v>
      </c>
      <c r="B37" s="952" t="s">
        <v>406</v>
      </c>
      <c r="C37" s="953" t="s">
        <v>489</v>
      </c>
      <c r="D37" s="1114">
        <v>0</v>
      </c>
      <c r="E37" s="972">
        <v>0</v>
      </c>
      <c r="F37" s="1103">
        <v>0.20250599999999999</v>
      </c>
      <c r="G37" s="1103">
        <v>0.29734300000000002</v>
      </c>
      <c r="H37" s="1103">
        <v>0.22278000000000001</v>
      </c>
      <c r="I37" s="1103">
        <v>0.28510799999999997</v>
      </c>
      <c r="J37" s="1115">
        <v>1.0626999999999999E-2</v>
      </c>
      <c r="K37" s="972">
        <v>0</v>
      </c>
      <c r="L37" s="1115">
        <v>3.9069999999999999E-3</v>
      </c>
      <c r="M37" s="1116">
        <v>1.1761000000000001E-2</v>
      </c>
    </row>
    <row r="38" spans="1:16" ht="27">
      <c r="A38" s="960" t="s">
        <v>490</v>
      </c>
      <c r="B38" s="961" t="s">
        <v>405</v>
      </c>
      <c r="C38" s="962" t="s">
        <v>491</v>
      </c>
      <c r="D38" s="980">
        <v>0</v>
      </c>
      <c r="E38" s="963">
        <v>0</v>
      </c>
      <c r="F38" s="976">
        <v>0.14057900000000001</v>
      </c>
      <c r="G38" s="976">
        <v>0.26785599999999998</v>
      </c>
      <c r="H38" s="976">
        <v>0.19508400000000001</v>
      </c>
      <c r="I38" s="976">
        <v>0.25053399999999998</v>
      </c>
      <c r="J38" s="1106">
        <v>4.9487999999999997E-2</v>
      </c>
      <c r="K38" s="963">
        <v>0</v>
      </c>
      <c r="L38" s="1107">
        <v>0.36076999999999998</v>
      </c>
      <c r="M38" s="1108">
        <v>7.3233000000000006E-2</v>
      </c>
    </row>
    <row r="39" spans="1:16" ht="27">
      <c r="A39" s="960" t="s">
        <v>492</v>
      </c>
      <c r="B39" s="961" t="s">
        <v>404</v>
      </c>
      <c r="C39" s="962" t="s">
        <v>493</v>
      </c>
      <c r="D39" s="1117">
        <v>0.43341000000000002</v>
      </c>
      <c r="E39" s="1107">
        <v>0.18124299999999999</v>
      </c>
      <c r="F39" s="976">
        <v>0.41746899999999998</v>
      </c>
      <c r="G39" s="977">
        <v>6.1577E-2</v>
      </c>
      <c r="H39" s="976">
        <v>0.32285700000000001</v>
      </c>
      <c r="I39" s="976">
        <v>0.41531400000000002</v>
      </c>
      <c r="J39" s="1106">
        <v>6.3739000000000004E-2</v>
      </c>
      <c r="K39" s="963">
        <v>0</v>
      </c>
      <c r="L39" s="1107">
        <v>0.11978</v>
      </c>
      <c r="M39" s="1108">
        <v>5.1610000000000003E-2</v>
      </c>
    </row>
    <row r="40" spans="1:16" ht="27">
      <c r="A40" s="960" t="s">
        <v>545</v>
      </c>
      <c r="B40" s="961" t="s">
        <v>585</v>
      </c>
      <c r="C40" s="962" t="s">
        <v>498</v>
      </c>
      <c r="D40" s="980">
        <v>0</v>
      </c>
      <c r="E40" s="963">
        <v>0</v>
      </c>
      <c r="F40" s="1107">
        <v>0.106934</v>
      </c>
      <c r="G40" s="1106">
        <v>1.3964000000000001E-2</v>
      </c>
      <c r="H40" s="1106">
        <v>1.6778000000000001E-2</v>
      </c>
      <c r="I40" s="1106">
        <v>2.1573999999999999E-2</v>
      </c>
      <c r="J40" s="1107">
        <v>0.375612</v>
      </c>
      <c r="K40" s="963">
        <v>0</v>
      </c>
      <c r="L40" s="1106">
        <v>4.6720999999999999E-2</v>
      </c>
      <c r="M40" s="1108">
        <v>4.3382999999999998E-2</v>
      </c>
    </row>
    <row r="41" spans="1:16" ht="27">
      <c r="A41" s="960" t="s">
        <v>546</v>
      </c>
      <c r="B41" s="961" t="s">
        <v>581</v>
      </c>
      <c r="C41" s="962" t="s">
        <v>506</v>
      </c>
      <c r="D41" s="980">
        <v>0</v>
      </c>
      <c r="E41" s="963">
        <v>0</v>
      </c>
      <c r="F41" s="1106">
        <v>2.2013999999999999E-2</v>
      </c>
      <c r="G41" s="1106">
        <v>2.934E-3</v>
      </c>
      <c r="H41" s="1106">
        <v>3.5070000000000001E-3</v>
      </c>
      <c r="I41" s="1106">
        <v>4.4409999999999996E-3</v>
      </c>
      <c r="J41" s="1106">
        <v>7.5199000000000002E-2</v>
      </c>
      <c r="K41" s="963">
        <v>0</v>
      </c>
      <c r="L41" s="1106">
        <v>1.0016000000000001E-2</v>
      </c>
      <c r="M41" s="1108">
        <v>9.018E-3</v>
      </c>
    </row>
    <row r="42" spans="1:16" ht="27">
      <c r="A42" s="960" t="s">
        <v>497</v>
      </c>
      <c r="B42" s="961" t="s">
        <v>582</v>
      </c>
      <c r="C42" s="962" t="s">
        <v>498</v>
      </c>
      <c r="D42" s="980">
        <v>0</v>
      </c>
      <c r="E42" s="963">
        <v>0</v>
      </c>
      <c r="F42" s="1106">
        <v>4.4500999999999999E-2</v>
      </c>
      <c r="G42" s="1106">
        <v>5.7029999999999997E-3</v>
      </c>
      <c r="H42" s="1106">
        <v>6.8869999999999999E-3</v>
      </c>
      <c r="I42" s="1106">
        <v>8.9779999999999999E-3</v>
      </c>
      <c r="J42" s="1107">
        <v>0.15281600000000001</v>
      </c>
      <c r="K42" s="963">
        <v>0</v>
      </c>
      <c r="L42" s="1106">
        <v>1.8887999999999999E-2</v>
      </c>
      <c r="M42" s="1108">
        <v>1.7635999999999999E-2</v>
      </c>
    </row>
    <row r="43" spans="1:16" ht="40.5">
      <c r="A43" s="960" t="s">
        <v>544</v>
      </c>
      <c r="B43" s="961" t="s">
        <v>583</v>
      </c>
      <c r="C43" s="962" t="s">
        <v>503</v>
      </c>
      <c r="D43" s="980">
        <v>0</v>
      </c>
      <c r="E43" s="963">
        <v>0</v>
      </c>
      <c r="F43" s="963">
        <v>0</v>
      </c>
      <c r="G43" s="963">
        <v>0</v>
      </c>
      <c r="H43" s="963">
        <v>0</v>
      </c>
      <c r="I43" s="963">
        <v>0</v>
      </c>
      <c r="J43" s="963">
        <v>0</v>
      </c>
      <c r="K43" s="963">
        <v>0</v>
      </c>
      <c r="L43" s="1107">
        <v>0.408688</v>
      </c>
      <c r="M43" s="964">
        <v>0</v>
      </c>
    </row>
    <row r="44" spans="1:16" ht="40.5">
      <c r="A44" s="960" t="s">
        <v>547</v>
      </c>
      <c r="B44" s="961" t="s">
        <v>584</v>
      </c>
      <c r="C44" s="962" t="s">
        <v>508</v>
      </c>
      <c r="D44" s="980">
        <v>0</v>
      </c>
      <c r="E44" s="963">
        <v>0</v>
      </c>
      <c r="F44" s="963">
        <v>0</v>
      </c>
      <c r="G44" s="963">
        <v>0</v>
      </c>
      <c r="H44" s="963">
        <v>0</v>
      </c>
      <c r="I44" s="963">
        <v>0</v>
      </c>
      <c r="J44" s="963">
        <v>0</v>
      </c>
      <c r="K44" s="963">
        <v>0</v>
      </c>
      <c r="L44" s="963">
        <v>0</v>
      </c>
      <c r="M44" s="1110">
        <v>0.74848800000000004</v>
      </c>
    </row>
    <row r="45" spans="1:16" ht="40.5">
      <c r="A45" s="960" t="s">
        <v>549</v>
      </c>
      <c r="B45" s="961" t="s">
        <v>515</v>
      </c>
      <c r="C45" s="962" t="s">
        <v>516</v>
      </c>
      <c r="D45" s="1119">
        <v>2.2850000000000001E-3</v>
      </c>
      <c r="E45" s="1106">
        <v>1.2440000000000001E-3</v>
      </c>
      <c r="F45" s="1106">
        <v>5.2589999999999998E-3</v>
      </c>
      <c r="G45" s="1106">
        <v>4.6730000000000001E-3</v>
      </c>
      <c r="H45" s="1106">
        <v>8.1449999999999995E-3</v>
      </c>
      <c r="I45" s="1106">
        <v>1.0449999999999999E-2</v>
      </c>
      <c r="J45" s="1106">
        <v>5.6639999999999998E-3</v>
      </c>
      <c r="K45" s="963">
        <v>0</v>
      </c>
      <c r="L45" s="1106">
        <v>1.0963000000000001E-2</v>
      </c>
      <c r="M45" s="1108">
        <v>8.8979999999999997E-3</v>
      </c>
    </row>
    <row r="46" spans="1:16" ht="40.5">
      <c r="A46" s="960" t="s">
        <v>478</v>
      </c>
      <c r="B46" s="961" t="s">
        <v>550</v>
      </c>
      <c r="C46" s="962" t="s">
        <v>551</v>
      </c>
      <c r="D46" s="1117">
        <v>0.42092600000000002</v>
      </c>
      <c r="E46" s="1107">
        <v>0.23424</v>
      </c>
      <c r="F46" s="1106">
        <v>5.8789999999999997E-3</v>
      </c>
      <c r="G46" s="1106">
        <v>9.0639999999999991E-3</v>
      </c>
      <c r="H46" s="1106">
        <v>3.2940000000000001E-3</v>
      </c>
      <c r="I46" s="1106">
        <v>4.3070000000000001E-3</v>
      </c>
      <c r="J46" s="1106">
        <v>3.6619999999999999E-3</v>
      </c>
      <c r="K46" s="963">
        <v>0</v>
      </c>
      <c r="L46" s="1106">
        <v>9.587E-3</v>
      </c>
      <c r="M46" s="1108">
        <v>9.214E-3</v>
      </c>
    </row>
    <row r="47" spans="1:16" ht="40.5">
      <c r="A47" s="960" t="s">
        <v>552</v>
      </c>
      <c r="B47" s="961" t="s">
        <v>553</v>
      </c>
      <c r="C47" s="962" t="s">
        <v>554</v>
      </c>
      <c r="D47" s="980">
        <v>0</v>
      </c>
      <c r="E47" s="1107">
        <v>0.54602899999999999</v>
      </c>
      <c r="F47" s="963">
        <v>0</v>
      </c>
      <c r="G47" s="1106">
        <v>2.5599999999999999E-4</v>
      </c>
      <c r="H47" s="963">
        <v>0</v>
      </c>
      <c r="I47" s="963">
        <v>0</v>
      </c>
      <c r="J47" s="963">
        <v>0</v>
      </c>
      <c r="K47" s="963">
        <v>0</v>
      </c>
      <c r="L47" s="963">
        <v>0</v>
      </c>
      <c r="M47" s="964">
        <v>0</v>
      </c>
    </row>
    <row r="48" spans="1:16" ht="40.5">
      <c r="A48" s="960" t="s">
        <v>548</v>
      </c>
      <c r="B48" s="961" t="s">
        <v>557</v>
      </c>
      <c r="C48" s="962" t="s">
        <v>510</v>
      </c>
      <c r="D48" s="980">
        <v>0</v>
      </c>
      <c r="E48" s="963">
        <v>0</v>
      </c>
      <c r="F48" s="963">
        <v>0</v>
      </c>
      <c r="G48" s="1107">
        <v>0.34782800000000003</v>
      </c>
      <c r="H48" s="1107">
        <v>0.22586700000000001</v>
      </c>
      <c r="I48" s="963">
        <v>0</v>
      </c>
      <c r="J48" s="963">
        <v>0</v>
      </c>
      <c r="K48" s="1107">
        <v>1</v>
      </c>
      <c r="L48" s="963">
        <v>0</v>
      </c>
      <c r="M48" s="964">
        <v>0</v>
      </c>
    </row>
    <row r="49" spans="1:13" ht="27">
      <c r="A49" s="960" t="s">
        <v>511</v>
      </c>
      <c r="B49" s="961" t="s">
        <v>512</v>
      </c>
      <c r="C49" s="962" t="s">
        <v>513</v>
      </c>
      <c r="D49" s="1117">
        <v>0.18781900000000001</v>
      </c>
      <c r="E49" s="1106">
        <v>1.4E-5</v>
      </c>
      <c r="F49" s="1106">
        <v>9.9999999999999995E-7</v>
      </c>
      <c r="G49" s="1106">
        <v>3.3000000000000003E-5</v>
      </c>
      <c r="H49" s="963">
        <v>0</v>
      </c>
      <c r="I49" s="963">
        <v>0</v>
      </c>
      <c r="J49" s="963">
        <v>0</v>
      </c>
      <c r="K49" s="963">
        <v>0</v>
      </c>
      <c r="L49" s="1106">
        <v>9.9419999999999994E-3</v>
      </c>
      <c r="M49" s="1108">
        <v>1.1825E-2</v>
      </c>
    </row>
    <row r="50" spans="1:13" ht="40.5">
      <c r="A50" s="960" t="s">
        <v>520</v>
      </c>
      <c r="B50" s="961" t="s">
        <v>521</v>
      </c>
      <c r="C50" s="962" t="s">
        <v>555</v>
      </c>
      <c r="D50" s="980">
        <v>0</v>
      </c>
      <c r="E50" s="963">
        <v>0</v>
      </c>
      <c r="F50" s="963">
        <v>0</v>
      </c>
      <c r="G50" s="963">
        <v>0</v>
      </c>
      <c r="H50" s="963">
        <v>0</v>
      </c>
      <c r="I50" s="963">
        <v>0</v>
      </c>
      <c r="J50" s="963">
        <v>0</v>
      </c>
      <c r="K50" s="963">
        <v>0</v>
      </c>
      <c r="L50" s="963">
        <v>0</v>
      </c>
      <c r="M50" s="1108">
        <v>7.9767000000000005E-2</v>
      </c>
    </row>
    <row r="51" spans="1:13" ht="40.5">
      <c r="A51" s="960" t="s">
        <v>543</v>
      </c>
      <c r="B51" s="961" t="s">
        <v>500</v>
      </c>
      <c r="C51" s="962" t="s">
        <v>501</v>
      </c>
      <c r="D51" s="980">
        <v>0</v>
      </c>
      <c r="E51" s="963">
        <v>0</v>
      </c>
      <c r="F51" s="1106">
        <v>9.4188999999999995E-2</v>
      </c>
      <c r="G51" s="1106">
        <v>1.2728E-2</v>
      </c>
      <c r="H51" s="1106">
        <v>1.5158E-2</v>
      </c>
      <c r="I51" s="1106">
        <v>1.9002000000000002E-2</v>
      </c>
      <c r="J51" s="1107">
        <v>0.32912799999999998</v>
      </c>
      <c r="K51" s="963">
        <v>0</v>
      </c>
      <c r="L51" s="1106">
        <v>4.0284E-2</v>
      </c>
      <c r="M51" s="1108">
        <v>3.7835000000000001E-2</v>
      </c>
    </row>
    <row r="52" spans="1:13" ht="40.9" thickBot="1">
      <c r="A52" s="955" t="s">
        <v>556</v>
      </c>
      <c r="B52" s="956" t="s">
        <v>524</v>
      </c>
      <c r="C52" s="957" t="s">
        <v>525</v>
      </c>
      <c r="D52" s="981">
        <v>0</v>
      </c>
      <c r="E52" s="965">
        <v>0</v>
      </c>
      <c r="F52" s="965">
        <v>0</v>
      </c>
      <c r="G52" s="965">
        <v>0</v>
      </c>
      <c r="H52" s="965">
        <v>0</v>
      </c>
      <c r="I52" s="965">
        <v>0</v>
      </c>
      <c r="J52" s="965">
        <v>0</v>
      </c>
      <c r="K52" s="965">
        <v>0</v>
      </c>
      <c r="L52" s="965">
        <v>0</v>
      </c>
      <c r="M52" s="1118">
        <v>3.0760000000000002E-3</v>
      </c>
    </row>
  </sheetData>
  <phoneticPr fontId="20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07DAF-70C4-41EA-93DF-E324DD8A599D}">
  <sheetPr codeName="Tabelle4"/>
  <dimension ref="A1:N414"/>
  <sheetViews>
    <sheetView tabSelected="1" zoomScale="70" zoomScaleNormal="70" workbookViewId="0">
      <selection activeCell="C439" sqref="C439"/>
    </sheetView>
  </sheetViews>
  <sheetFormatPr baseColWidth="10" defaultRowHeight="15" customHeight="1"/>
  <cols>
    <col min="1" max="1" width="31.796875" customWidth="1"/>
    <col min="2" max="3" width="38.06640625" customWidth="1"/>
    <col min="4" max="4" width="41.46484375" customWidth="1"/>
    <col min="5" max="5" width="43.59765625" customWidth="1"/>
    <col min="6" max="6" width="35.73046875" customWidth="1"/>
    <col min="7" max="7" width="29" customWidth="1"/>
    <col min="8" max="8" width="35.9296875" customWidth="1"/>
    <col min="9" max="9" width="34.33203125" customWidth="1"/>
    <col min="10" max="10" width="30.6640625" customWidth="1"/>
    <col min="11" max="11" width="35.46484375" customWidth="1"/>
    <col min="12" max="12" width="27.9296875" customWidth="1"/>
    <col min="13" max="13" width="29.19921875" customWidth="1"/>
    <col min="14" max="14" width="32.06640625" customWidth="1"/>
    <col min="15" max="15" width="32.3984375" customWidth="1"/>
    <col min="16" max="16" width="28.73046875" customWidth="1"/>
    <col min="17" max="17" width="28.796875" customWidth="1"/>
  </cols>
  <sheetData>
    <row r="1" spans="1:5" ht="15" customHeight="1">
      <c r="A1" s="329" t="s">
        <v>415</v>
      </c>
    </row>
    <row r="2" spans="1:5" ht="15" customHeight="1">
      <c r="A2" s="329" t="s">
        <v>423</v>
      </c>
    </row>
    <row r="4" spans="1:5" ht="15" customHeight="1" thickBot="1">
      <c r="A4" s="329" t="s">
        <v>655</v>
      </c>
    </row>
    <row r="5" spans="1:5" ht="15" customHeight="1">
      <c r="A5" s="798" t="s">
        <v>399</v>
      </c>
      <c r="B5" s="797" t="s">
        <v>412</v>
      </c>
      <c r="C5" s="796" t="s">
        <v>363</v>
      </c>
      <c r="D5" s="796" t="s">
        <v>418</v>
      </c>
      <c r="E5" s="788" t="s">
        <v>390</v>
      </c>
    </row>
    <row r="6" spans="1:5" ht="15" customHeight="1" thickBot="1">
      <c r="A6" s="73" t="s">
        <v>35</v>
      </c>
      <c r="B6" s="1307" t="s">
        <v>35</v>
      </c>
      <c r="C6" s="1308" t="s">
        <v>35</v>
      </c>
      <c r="D6" s="1308" t="s">
        <v>35</v>
      </c>
      <c r="E6" s="155" t="s">
        <v>35</v>
      </c>
    </row>
    <row r="7" spans="1:5" ht="15" customHeight="1">
      <c r="A7" s="1304">
        <f t="shared" ref="A7:A9" si="0">A8-1000</f>
        <v>13500</v>
      </c>
      <c r="B7" s="1317">
        <v>19086</v>
      </c>
      <c r="C7" s="1312">
        <v>56688</v>
      </c>
      <c r="D7" s="1312">
        <v>60335</v>
      </c>
      <c r="E7" s="1313">
        <v>54301</v>
      </c>
    </row>
    <row r="8" spans="1:5" ht="15" customHeight="1">
      <c r="A8" s="712">
        <f t="shared" si="0"/>
        <v>14500</v>
      </c>
      <c r="B8" s="1309">
        <v>19720</v>
      </c>
      <c r="C8" s="1310">
        <v>58473</v>
      </c>
      <c r="D8" s="1310">
        <v>62246</v>
      </c>
      <c r="E8" s="1311">
        <v>56021</v>
      </c>
    </row>
    <row r="9" spans="1:5" ht="15" customHeight="1">
      <c r="A9" s="712">
        <f t="shared" si="0"/>
        <v>15500</v>
      </c>
      <c r="B9" s="1309">
        <v>20354</v>
      </c>
      <c r="C9" s="1310">
        <v>60259</v>
      </c>
      <c r="D9" s="1310">
        <v>64157</v>
      </c>
      <c r="E9" s="1311">
        <v>57741</v>
      </c>
    </row>
    <row r="10" spans="1:5" ht="15" customHeight="1">
      <c r="A10" s="712">
        <f>A11-1000</f>
        <v>16500</v>
      </c>
      <c r="B10" s="1309">
        <v>20988</v>
      </c>
      <c r="C10" s="1310">
        <v>62045</v>
      </c>
      <c r="D10" s="1310">
        <v>66068</v>
      </c>
      <c r="E10" s="1311">
        <v>59461</v>
      </c>
    </row>
    <row r="11" spans="1:5" ht="15" customHeight="1">
      <c r="A11" s="805">
        <v>17500</v>
      </c>
      <c r="B11" s="786">
        <v>21622</v>
      </c>
      <c r="C11" s="799">
        <v>63831</v>
      </c>
      <c r="D11" s="799">
        <v>67979</v>
      </c>
      <c r="E11" s="787">
        <v>61181</v>
      </c>
    </row>
    <row r="12" spans="1:5" ht="15" customHeight="1">
      <c r="A12" s="712">
        <f>A11+1000</f>
        <v>18500</v>
      </c>
      <c r="B12" s="1309">
        <v>22256</v>
      </c>
      <c r="C12" s="1310">
        <v>65616</v>
      </c>
      <c r="D12" s="1310">
        <v>69890</v>
      </c>
      <c r="E12" s="1311">
        <v>62901</v>
      </c>
    </row>
    <row r="13" spans="1:5" ht="15" customHeight="1">
      <c r="A13" s="712">
        <f t="shared" ref="A13:A15" si="1">A12+1000</f>
        <v>19500</v>
      </c>
      <c r="B13" s="1309">
        <v>22890</v>
      </c>
      <c r="C13" s="1310">
        <v>67402</v>
      </c>
      <c r="D13" s="1310">
        <v>71801</v>
      </c>
      <c r="E13" s="1311">
        <v>64621</v>
      </c>
    </row>
    <row r="14" spans="1:5" ht="15" customHeight="1">
      <c r="A14" s="712">
        <f t="shared" si="1"/>
        <v>20500</v>
      </c>
      <c r="B14" s="1309">
        <v>23524</v>
      </c>
      <c r="C14" s="1310">
        <v>69188</v>
      </c>
      <c r="D14" s="1310">
        <v>73712</v>
      </c>
      <c r="E14" s="1311">
        <v>66341</v>
      </c>
    </row>
    <row r="15" spans="1:5" ht="15" customHeight="1" thickBot="1">
      <c r="A15" s="802">
        <f t="shared" si="1"/>
        <v>21500</v>
      </c>
      <c r="B15" s="1314">
        <v>24158</v>
      </c>
      <c r="C15" s="1315">
        <v>70974</v>
      </c>
      <c r="D15" s="1315">
        <v>75623</v>
      </c>
      <c r="E15" s="1316">
        <v>68061</v>
      </c>
    </row>
    <row r="16" spans="1:5" ht="15" customHeight="1" thickBot="1"/>
    <row r="17" spans="1:5" ht="15" customHeight="1">
      <c r="A17" s="798" t="s">
        <v>400</v>
      </c>
      <c r="B17" s="797" t="s">
        <v>412</v>
      </c>
      <c r="C17" s="796" t="s">
        <v>363</v>
      </c>
      <c r="D17" s="796" t="s">
        <v>418</v>
      </c>
      <c r="E17" s="788" t="s">
        <v>390</v>
      </c>
    </row>
    <row r="18" spans="1:5" ht="15" customHeight="1" thickBot="1">
      <c r="A18" s="73" t="s">
        <v>35</v>
      </c>
      <c r="B18" s="1307" t="s">
        <v>35</v>
      </c>
      <c r="C18" s="1308" t="s">
        <v>35</v>
      </c>
      <c r="D18" s="1308" t="s">
        <v>35</v>
      </c>
      <c r="E18" s="24" t="s">
        <v>35</v>
      </c>
    </row>
    <row r="19" spans="1:5" ht="15" customHeight="1">
      <c r="A19" s="1300">
        <f t="shared" ref="A19:A21" si="2">A20-1000</f>
        <v>3000</v>
      </c>
      <c r="B19" s="1329">
        <v>19455</v>
      </c>
      <c r="C19" s="1312">
        <v>57016</v>
      </c>
      <c r="D19" s="1312">
        <v>60766</v>
      </c>
      <c r="E19" s="1330">
        <v>54690</v>
      </c>
    </row>
    <row r="20" spans="1:5" ht="15" customHeight="1">
      <c r="A20" s="1301">
        <f t="shared" si="2"/>
        <v>4000</v>
      </c>
      <c r="B20" s="1332">
        <v>19996</v>
      </c>
      <c r="C20" s="1310">
        <v>58719</v>
      </c>
      <c r="D20" s="1310">
        <v>62570</v>
      </c>
      <c r="E20" s="1311">
        <v>56312</v>
      </c>
    </row>
    <row r="21" spans="1:5" ht="15" customHeight="1">
      <c r="A21" s="1301">
        <f t="shared" si="2"/>
        <v>5000</v>
      </c>
      <c r="B21" s="1332">
        <v>20538</v>
      </c>
      <c r="C21" s="1310">
        <v>60423</v>
      </c>
      <c r="D21" s="1310">
        <v>64373</v>
      </c>
      <c r="E21" s="1311">
        <v>57935</v>
      </c>
    </row>
    <row r="22" spans="1:5" ht="15" customHeight="1">
      <c r="A22" s="1301">
        <f>A23-1000</f>
        <v>6000</v>
      </c>
      <c r="B22" s="1332">
        <v>21080</v>
      </c>
      <c r="C22" s="1310">
        <v>62127</v>
      </c>
      <c r="D22" s="1310">
        <v>66176</v>
      </c>
      <c r="E22" s="1311">
        <v>59558</v>
      </c>
    </row>
    <row r="23" spans="1:5" ht="15" customHeight="1">
      <c r="A23" s="1302">
        <v>7000</v>
      </c>
      <c r="B23" s="786">
        <v>21622</v>
      </c>
      <c r="C23" s="799">
        <v>63831</v>
      </c>
      <c r="D23" s="799">
        <v>67979</v>
      </c>
      <c r="E23" s="787">
        <v>61181</v>
      </c>
    </row>
    <row r="24" spans="1:5" ht="15" customHeight="1">
      <c r="A24" s="1301">
        <f>A23+1000</f>
        <v>8000</v>
      </c>
      <c r="B24" s="1332">
        <v>22164</v>
      </c>
      <c r="C24" s="1310">
        <v>65535</v>
      </c>
      <c r="D24" s="1310">
        <v>69782</v>
      </c>
      <c r="E24" s="1311">
        <v>62804</v>
      </c>
    </row>
    <row r="25" spans="1:5" ht="15" customHeight="1">
      <c r="A25" s="1301">
        <f t="shared" ref="A25:A27" si="3">A24+1000</f>
        <v>9000</v>
      </c>
      <c r="B25" s="1332">
        <v>22706</v>
      </c>
      <c r="C25" s="1310">
        <v>67239</v>
      </c>
      <c r="D25" s="1310">
        <v>71585</v>
      </c>
      <c r="E25" s="1311">
        <v>64427</v>
      </c>
    </row>
    <row r="26" spans="1:5" ht="15" customHeight="1">
      <c r="A26" s="1301">
        <f t="shared" si="3"/>
        <v>10000</v>
      </c>
      <c r="B26" s="1332">
        <v>23248</v>
      </c>
      <c r="C26" s="1310">
        <v>68943</v>
      </c>
      <c r="D26" s="1310">
        <v>73388</v>
      </c>
      <c r="E26" s="1311">
        <v>66050</v>
      </c>
    </row>
    <row r="27" spans="1:5" ht="15" customHeight="1" thickBot="1">
      <c r="A27" s="1303">
        <f t="shared" si="3"/>
        <v>11000</v>
      </c>
      <c r="B27" s="1331">
        <v>23789</v>
      </c>
      <c r="C27" s="1315">
        <v>70646</v>
      </c>
      <c r="D27" s="1315">
        <v>75192</v>
      </c>
      <c r="E27" s="1316">
        <v>67672</v>
      </c>
    </row>
    <row r="28" spans="1:5" ht="15" customHeight="1" thickBot="1"/>
    <row r="29" spans="1:5" ht="15" customHeight="1">
      <c r="A29" s="798" t="s">
        <v>424</v>
      </c>
      <c r="B29" s="797" t="s">
        <v>412</v>
      </c>
      <c r="C29" s="796" t="s">
        <v>363</v>
      </c>
      <c r="D29" s="796" t="s">
        <v>418</v>
      </c>
      <c r="E29" s="788" t="s">
        <v>390</v>
      </c>
    </row>
    <row r="30" spans="1:5" ht="15" customHeight="1" thickBot="1">
      <c r="A30" s="73" t="s">
        <v>35</v>
      </c>
      <c r="B30" s="1307" t="s">
        <v>35</v>
      </c>
      <c r="C30" s="1308" t="s">
        <v>35</v>
      </c>
      <c r="D30" s="1308" t="s">
        <v>35</v>
      </c>
      <c r="E30" s="24" t="s">
        <v>35</v>
      </c>
    </row>
    <row r="31" spans="1:5" ht="15" customHeight="1">
      <c r="A31" s="1300">
        <f t="shared" ref="A31:A33" si="4">A32-1000</f>
        <v>8000</v>
      </c>
      <c r="B31" s="1329">
        <v>19377</v>
      </c>
      <c r="C31" s="1312">
        <v>56946</v>
      </c>
      <c r="D31" s="1312">
        <v>60675</v>
      </c>
      <c r="E31" s="1330">
        <v>54607</v>
      </c>
    </row>
    <row r="32" spans="1:5" ht="15" customHeight="1">
      <c r="A32" s="1301">
        <f t="shared" si="4"/>
        <v>9000</v>
      </c>
      <c r="B32" s="1332">
        <v>19939</v>
      </c>
      <c r="C32" s="1310">
        <v>58668</v>
      </c>
      <c r="D32" s="1310">
        <v>62501</v>
      </c>
      <c r="E32" s="1311">
        <v>56252</v>
      </c>
    </row>
    <row r="33" spans="1:5" ht="15" customHeight="1">
      <c r="A33" s="1301">
        <f t="shared" si="4"/>
        <v>10000</v>
      </c>
      <c r="B33" s="1332">
        <v>20500</v>
      </c>
      <c r="C33" s="1310">
        <v>60389</v>
      </c>
      <c r="D33" s="1310">
        <v>64327</v>
      </c>
      <c r="E33" s="1311">
        <v>57895</v>
      </c>
    </row>
    <row r="34" spans="1:5" ht="15" customHeight="1">
      <c r="A34" s="1301">
        <f>A35-1000</f>
        <v>11000</v>
      </c>
      <c r="B34" s="1332">
        <v>21061</v>
      </c>
      <c r="C34" s="1310">
        <v>62110</v>
      </c>
      <c r="D34" s="1310">
        <v>66153</v>
      </c>
      <c r="E34" s="1311">
        <v>59538</v>
      </c>
    </row>
    <row r="35" spans="1:5" ht="15" customHeight="1">
      <c r="A35" s="1302">
        <v>12000</v>
      </c>
      <c r="B35" s="786">
        <v>21622</v>
      </c>
      <c r="C35" s="799">
        <v>63831</v>
      </c>
      <c r="D35" s="799">
        <v>67979</v>
      </c>
      <c r="E35" s="787">
        <v>61181</v>
      </c>
    </row>
    <row r="36" spans="1:5" ht="15" customHeight="1">
      <c r="A36" s="1301">
        <f>A35+1000</f>
        <v>13000</v>
      </c>
      <c r="B36" s="1332">
        <v>22183</v>
      </c>
      <c r="C36" s="1310">
        <v>65552</v>
      </c>
      <c r="D36" s="1310">
        <v>69805</v>
      </c>
      <c r="E36" s="1311">
        <v>62824</v>
      </c>
    </row>
    <row r="37" spans="1:5" ht="15" customHeight="1">
      <c r="A37" s="1301">
        <f t="shared" ref="A37:A39" si="5">A36+1000</f>
        <v>14000</v>
      </c>
      <c r="B37" s="1332">
        <v>22744</v>
      </c>
      <c r="C37" s="1310">
        <v>67273</v>
      </c>
      <c r="D37" s="1310">
        <v>71631</v>
      </c>
      <c r="E37" s="1311">
        <v>64467</v>
      </c>
    </row>
    <row r="38" spans="1:5" ht="15" customHeight="1">
      <c r="A38" s="1301">
        <f t="shared" si="5"/>
        <v>15000</v>
      </c>
      <c r="B38" s="1332">
        <v>23305</v>
      </c>
      <c r="C38" s="1310">
        <v>68994</v>
      </c>
      <c r="D38" s="1310">
        <v>73457</v>
      </c>
      <c r="E38" s="1311">
        <v>66110</v>
      </c>
    </row>
    <row r="39" spans="1:5" ht="15" customHeight="1" thickBot="1">
      <c r="A39" s="1303">
        <f t="shared" si="5"/>
        <v>16000</v>
      </c>
      <c r="B39" s="1331">
        <v>23867</v>
      </c>
      <c r="C39" s="1315">
        <v>70715</v>
      </c>
      <c r="D39" s="1315">
        <v>75283</v>
      </c>
      <c r="E39" s="1316">
        <v>67755</v>
      </c>
    </row>
    <row r="41" spans="1:5" ht="15" customHeight="1" thickBot="1">
      <c r="A41" s="329" t="s">
        <v>656</v>
      </c>
    </row>
    <row r="42" spans="1:5" ht="15" customHeight="1">
      <c r="A42" s="798" t="s">
        <v>585</v>
      </c>
      <c r="B42" s="797" t="s">
        <v>412</v>
      </c>
      <c r="C42" s="796" t="s">
        <v>390</v>
      </c>
      <c r="D42" s="788" t="s">
        <v>413</v>
      </c>
    </row>
    <row r="43" spans="1:5" ht="15" customHeight="1" thickBot="1">
      <c r="A43" s="530" t="s">
        <v>71</v>
      </c>
      <c r="B43" s="153" t="s">
        <v>35</v>
      </c>
      <c r="C43" s="154" t="s">
        <v>35</v>
      </c>
      <c r="D43" s="155" t="s">
        <v>414</v>
      </c>
    </row>
    <row r="44" spans="1:5" ht="15" customHeight="1">
      <c r="A44" s="801">
        <f>A45-5000</f>
        <v>60000</v>
      </c>
      <c r="B44" s="540">
        <v>22868</v>
      </c>
      <c r="C44" s="428">
        <v>62492</v>
      </c>
      <c r="D44" s="1333">
        <f t="shared" ref="D44:D46" si="6">B44/C44</f>
        <v>0.36593483965947643</v>
      </c>
    </row>
    <row r="45" spans="1:5" ht="15" customHeight="1">
      <c r="A45" s="712">
        <f>A46-5000</f>
        <v>65000</v>
      </c>
      <c r="B45" s="541">
        <v>22286</v>
      </c>
      <c r="C45" s="235">
        <v>61880</v>
      </c>
      <c r="D45" s="940">
        <f t="shared" si="6"/>
        <v>0.3601486748545572</v>
      </c>
    </row>
    <row r="46" spans="1:5" ht="15" customHeight="1">
      <c r="A46" s="712">
        <v>70000</v>
      </c>
      <c r="B46" s="541">
        <v>21704</v>
      </c>
      <c r="C46" s="235">
        <v>61267</v>
      </c>
      <c r="D46" s="940">
        <f t="shared" si="6"/>
        <v>0.35425269721057012</v>
      </c>
    </row>
    <row r="47" spans="1:5" ht="15" customHeight="1">
      <c r="A47" s="805">
        <v>70700</v>
      </c>
      <c r="B47" s="786">
        <v>21622</v>
      </c>
      <c r="C47" s="799">
        <v>61181</v>
      </c>
      <c r="D47" s="940">
        <f>B47/C47</f>
        <v>0.35341037250126672</v>
      </c>
    </row>
    <row r="48" spans="1:5" ht="15" customHeight="1">
      <c r="A48" s="712">
        <f>A46+5000</f>
        <v>75000</v>
      </c>
      <c r="B48" s="541">
        <v>21121</v>
      </c>
      <c r="C48" s="235">
        <v>60654</v>
      </c>
      <c r="D48" s="940">
        <f t="shared" ref="D48:D51" si="7">B48/C48</f>
        <v>0.34822105714379925</v>
      </c>
    </row>
    <row r="49" spans="1:4" ht="15" customHeight="1">
      <c r="A49" s="712">
        <f>A48+5000</f>
        <v>80000</v>
      </c>
      <c r="B49" s="541">
        <v>20539</v>
      </c>
      <c r="C49" s="235">
        <v>60041</v>
      </c>
      <c r="D49" s="940">
        <f t="shared" si="7"/>
        <v>0.34208291001149216</v>
      </c>
    </row>
    <row r="50" spans="1:4" ht="15" customHeight="1">
      <c r="A50" s="712">
        <f t="shared" ref="A50:A51" si="8">A49+5000</f>
        <v>85000</v>
      </c>
      <c r="B50" s="541">
        <v>19957</v>
      </c>
      <c r="C50" s="235">
        <v>59428</v>
      </c>
      <c r="D50" s="940">
        <f t="shared" si="7"/>
        <v>0.33581813286666218</v>
      </c>
    </row>
    <row r="51" spans="1:4" ht="15" customHeight="1" thickBot="1">
      <c r="A51" s="802">
        <f t="shared" si="8"/>
        <v>90000</v>
      </c>
      <c r="B51" s="542">
        <v>19375</v>
      </c>
      <c r="C51" s="236">
        <v>58816</v>
      </c>
      <c r="D51" s="1334">
        <f t="shared" si="7"/>
        <v>0.32941716539717086</v>
      </c>
    </row>
    <row r="52" spans="1:4" ht="15" customHeight="1" thickBot="1"/>
    <row r="53" spans="1:4" ht="15" customHeight="1">
      <c r="A53" s="798" t="s">
        <v>581</v>
      </c>
      <c r="B53" s="797" t="s">
        <v>412</v>
      </c>
      <c r="C53" s="796" t="s">
        <v>390</v>
      </c>
      <c r="D53" s="788" t="s">
        <v>413</v>
      </c>
    </row>
    <row r="54" spans="1:4" ht="15" customHeight="1" thickBot="1">
      <c r="A54" s="530" t="s">
        <v>71</v>
      </c>
      <c r="B54" s="153" t="s">
        <v>35</v>
      </c>
      <c r="C54" s="154" t="s">
        <v>35</v>
      </c>
      <c r="D54" s="155" t="s">
        <v>414</v>
      </c>
    </row>
    <row r="55" spans="1:4" ht="15" customHeight="1">
      <c r="A55" s="801">
        <f>A56-5000</f>
        <v>75000</v>
      </c>
      <c r="B55" s="540">
        <v>22068</v>
      </c>
      <c r="C55" s="428">
        <v>61650</v>
      </c>
      <c r="D55" s="938">
        <f>B55/C55</f>
        <v>0.35795620437956205</v>
      </c>
    </row>
    <row r="56" spans="1:4" ht="15" customHeight="1">
      <c r="A56" s="712">
        <f>A58-5000</f>
        <v>80000</v>
      </c>
      <c r="B56" s="541">
        <v>21835</v>
      </c>
      <c r="C56" s="235">
        <v>61405</v>
      </c>
      <c r="D56" s="939">
        <f>B56/C56</f>
        <v>0.3555899356729908</v>
      </c>
    </row>
    <row r="57" spans="1:4" ht="15" customHeight="1">
      <c r="A57" s="805">
        <v>84567</v>
      </c>
      <c r="B57" s="786">
        <v>21622</v>
      </c>
      <c r="C57" s="799">
        <v>61181</v>
      </c>
      <c r="D57" s="940">
        <f>B57/C57</f>
        <v>0.35341037250126672</v>
      </c>
    </row>
    <row r="58" spans="1:4" ht="15" customHeight="1">
      <c r="A58" s="712">
        <v>85000</v>
      </c>
      <c r="B58" s="541">
        <v>21602</v>
      </c>
      <c r="C58" s="235">
        <v>61160</v>
      </c>
      <c r="D58" s="939">
        <f>B58/C58</f>
        <v>0.35320470896010464</v>
      </c>
    </row>
    <row r="59" spans="1:4" ht="15" customHeight="1">
      <c r="A59" s="712">
        <f>A58+5000</f>
        <v>90000</v>
      </c>
      <c r="B59" s="541">
        <v>21369</v>
      </c>
      <c r="C59" s="235">
        <v>60915</v>
      </c>
      <c r="D59" s="939">
        <f>B59/C59</f>
        <v>0.35080029549372077</v>
      </c>
    </row>
    <row r="60" spans="1:4" ht="15" customHeight="1">
      <c r="A60" s="712">
        <f t="shared" ref="A60:A62" si="9">A59+5000</f>
        <v>95000</v>
      </c>
      <c r="B60" s="541">
        <v>21136</v>
      </c>
      <c r="C60" s="235">
        <v>60670</v>
      </c>
      <c r="D60" s="939">
        <f>B60/C60</f>
        <v>0.34837646283171253</v>
      </c>
    </row>
    <row r="61" spans="1:4" ht="15" customHeight="1">
      <c r="A61" s="712">
        <f t="shared" si="9"/>
        <v>100000</v>
      </c>
      <c r="B61" s="541">
        <v>20903</v>
      </c>
      <c r="C61" s="235">
        <v>60425</v>
      </c>
      <c r="D61" s="939">
        <f>B61/C61</f>
        <v>0.34593297476210177</v>
      </c>
    </row>
    <row r="62" spans="1:4" ht="15" customHeight="1" thickBot="1">
      <c r="A62" s="802">
        <f t="shared" si="9"/>
        <v>105000</v>
      </c>
      <c r="B62" s="542">
        <v>20671</v>
      </c>
      <c r="C62" s="236">
        <v>60180</v>
      </c>
      <c r="D62" s="942">
        <f>B62/C62</f>
        <v>0.34348620804253904</v>
      </c>
    </row>
    <row r="63" spans="1:4" ht="15" customHeight="1" thickBot="1"/>
    <row r="64" spans="1:4" ht="15" customHeight="1">
      <c r="A64" s="798" t="s">
        <v>582</v>
      </c>
      <c r="B64" s="797" t="s">
        <v>412</v>
      </c>
      <c r="C64" s="796" t="s">
        <v>390</v>
      </c>
      <c r="D64" s="788" t="s">
        <v>413</v>
      </c>
    </row>
    <row r="65" spans="1:4" ht="15" customHeight="1" thickBot="1">
      <c r="A65" s="530" t="s">
        <v>71</v>
      </c>
      <c r="B65" s="153" t="s">
        <v>35</v>
      </c>
      <c r="C65" s="154" t="s">
        <v>35</v>
      </c>
      <c r="D65" s="155" t="s">
        <v>414</v>
      </c>
    </row>
    <row r="66" spans="1:4" ht="15" customHeight="1">
      <c r="A66" s="801">
        <f>A67-5000</f>
        <v>60000</v>
      </c>
      <c r="B66" s="540">
        <v>23348</v>
      </c>
      <c r="C66" s="428">
        <v>62998</v>
      </c>
      <c r="D66" s="938">
        <f>B66/C66</f>
        <v>0.37061494015683039</v>
      </c>
    </row>
    <row r="67" spans="1:4" ht="15" customHeight="1">
      <c r="A67" s="712">
        <f>A68-5000</f>
        <v>65000</v>
      </c>
      <c r="B67" s="541">
        <v>22948</v>
      </c>
      <c r="C67" s="235">
        <v>62580</v>
      </c>
      <c r="D67" s="939">
        <f>B67/C67</f>
        <v>0.36669862575902845</v>
      </c>
    </row>
    <row r="68" spans="1:4" ht="15" customHeight="1">
      <c r="A68" s="712">
        <v>70000</v>
      </c>
      <c r="B68" s="541">
        <v>22549</v>
      </c>
      <c r="C68" s="235">
        <v>62159</v>
      </c>
      <c r="D68" s="939">
        <f>B68/C68</f>
        <v>0.36276323621679885</v>
      </c>
    </row>
    <row r="69" spans="1:4" ht="15" customHeight="1">
      <c r="A69" s="712">
        <f>A68+5000</f>
        <v>75000</v>
      </c>
      <c r="B69" s="541">
        <v>22150</v>
      </c>
      <c r="C69" s="235">
        <v>61738</v>
      </c>
      <c r="D69" s="939">
        <f>B69/C69</f>
        <v>0.35877417473841072</v>
      </c>
    </row>
    <row r="70" spans="1:4" ht="15" customHeight="1">
      <c r="A70" s="712">
        <f>A69+5000</f>
        <v>80000</v>
      </c>
      <c r="B70" s="541">
        <v>21751</v>
      </c>
      <c r="C70" s="235">
        <v>61317</v>
      </c>
      <c r="D70" s="939">
        <f>B70/C70</f>
        <v>0.35473033579594565</v>
      </c>
    </row>
    <row r="71" spans="1:4" ht="15" customHeight="1">
      <c r="A71" s="805">
        <v>81618</v>
      </c>
      <c r="B71" s="786">
        <v>21622</v>
      </c>
      <c r="C71" s="799">
        <v>61181</v>
      </c>
      <c r="D71" s="940">
        <f>B71/C71</f>
        <v>0.35341037250126672</v>
      </c>
    </row>
    <row r="72" spans="1:4" ht="15" customHeight="1">
      <c r="A72" s="712">
        <f>A70+5000</f>
        <v>85000</v>
      </c>
      <c r="B72" s="541">
        <v>21352</v>
      </c>
      <c r="C72" s="235">
        <v>60897</v>
      </c>
      <c r="D72" s="939">
        <f>B72/C72</f>
        <v>0.35062482552506691</v>
      </c>
    </row>
    <row r="73" spans="1:4" ht="15" customHeight="1" thickBot="1">
      <c r="A73" s="802">
        <f t="shared" ref="A73" si="10">A72+5000</f>
        <v>90000</v>
      </c>
      <c r="B73" s="542">
        <v>20953</v>
      </c>
      <c r="C73" s="236">
        <v>60447</v>
      </c>
      <c r="D73" s="942">
        <f>B73/C73</f>
        <v>0.34663424156699257</v>
      </c>
    </row>
    <row r="75" spans="1:4" ht="15" customHeight="1" thickBot="1">
      <c r="A75" s="329" t="s">
        <v>652</v>
      </c>
    </row>
    <row r="76" spans="1:4" ht="15" customHeight="1">
      <c r="A76" s="809" t="s">
        <v>416</v>
      </c>
      <c r="B76" s="785" t="s">
        <v>363</v>
      </c>
      <c r="C76" s="796" t="s">
        <v>418</v>
      </c>
      <c r="D76" s="788" t="s">
        <v>477</v>
      </c>
    </row>
    <row r="77" spans="1:4" ht="15" customHeight="1" thickBot="1">
      <c r="A77" s="233" t="s">
        <v>417</v>
      </c>
      <c r="B77" s="1314" t="s">
        <v>35</v>
      </c>
      <c r="C77" s="7" t="s">
        <v>35</v>
      </c>
      <c r="D77" s="24" t="s">
        <v>414</v>
      </c>
    </row>
    <row r="78" spans="1:4" ht="15" customHeight="1">
      <c r="A78" s="1337">
        <v>0.45</v>
      </c>
      <c r="B78" s="1319">
        <v>63831</v>
      </c>
      <c r="C78" s="1338">
        <v>67979</v>
      </c>
      <c r="D78" s="1339">
        <v>1.1111</v>
      </c>
    </row>
    <row r="79" spans="1:4" ht="15" customHeight="1">
      <c r="A79" s="810">
        <v>0.46</v>
      </c>
      <c r="B79" s="1309">
        <v>61023</v>
      </c>
      <c r="C79" s="1310">
        <v>65171</v>
      </c>
      <c r="D79" s="1335">
        <v>1.0651999999999999</v>
      </c>
    </row>
    <row r="80" spans="1:4" ht="15" customHeight="1">
      <c r="A80" s="810">
        <v>0.47</v>
      </c>
      <c r="B80" s="1309">
        <v>58335</v>
      </c>
      <c r="C80" s="1310">
        <v>62483</v>
      </c>
      <c r="D80" s="1335">
        <v>1.0213000000000001</v>
      </c>
    </row>
    <row r="81" spans="1:4" ht="15" customHeight="1">
      <c r="A81" s="810">
        <v>0.48</v>
      </c>
      <c r="B81" s="1309">
        <v>55758</v>
      </c>
      <c r="C81" s="1310">
        <v>59906</v>
      </c>
      <c r="D81" s="1335">
        <v>0.97919999999999996</v>
      </c>
    </row>
    <row r="82" spans="1:4" ht="15" customHeight="1">
      <c r="A82" s="810">
        <v>0.49</v>
      </c>
      <c r="B82" s="1309">
        <v>53287</v>
      </c>
      <c r="C82" s="1310">
        <v>57435</v>
      </c>
      <c r="D82" s="1335">
        <v>0.93879999999999997</v>
      </c>
    </row>
    <row r="83" spans="1:4" ht="15" customHeight="1" thickBot="1">
      <c r="A83" s="811">
        <v>0.5</v>
      </c>
      <c r="B83" s="1314">
        <v>50915</v>
      </c>
      <c r="C83" s="1315">
        <v>55063</v>
      </c>
      <c r="D83" s="1336">
        <v>0.9</v>
      </c>
    </row>
    <row r="104" spans="1:5" ht="15" customHeight="1" thickBot="1">
      <c r="A104" s="329" t="s">
        <v>653</v>
      </c>
    </row>
    <row r="105" spans="1:5" ht="15" customHeight="1">
      <c r="A105" s="785" t="s">
        <v>583</v>
      </c>
      <c r="B105" s="788" t="s">
        <v>659</v>
      </c>
      <c r="C105" s="715"/>
      <c r="D105" s="785" t="s">
        <v>584</v>
      </c>
      <c r="E105" s="788" t="s">
        <v>660</v>
      </c>
    </row>
    <row r="106" spans="1:5" ht="15" customHeight="1" thickBot="1">
      <c r="A106" s="6" t="s">
        <v>71</v>
      </c>
      <c r="B106" s="24" t="s">
        <v>71</v>
      </c>
      <c r="C106" s="77"/>
      <c r="D106" s="6" t="s">
        <v>71</v>
      </c>
      <c r="E106" s="24" t="s">
        <v>71</v>
      </c>
    </row>
    <row r="107" spans="1:5" ht="15" customHeight="1">
      <c r="A107" s="543">
        <f>A108-100</f>
        <v>800</v>
      </c>
      <c r="B107" s="110">
        <v>431</v>
      </c>
      <c r="C107" s="812"/>
      <c r="D107" s="543">
        <f>D108-500</f>
        <v>1000</v>
      </c>
      <c r="E107" s="110">
        <v>1287</v>
      </c>
    </row>
    <row r="108" spans="1:5" ht="15" customHeight="1">
      <c r="A108" s="541">
        <f>A109-100</f>
        <v>900</v>
      </c>
      <c r="B108" s="82">
        <v>443</v>
      </c>
      <c r="C108" s="812"/>
      <c r="D108" s="541">
        <f>D110-500</f>
        <v>1500</v>
      </c>
      <c r="E108" s="82">
        <v>1347</v>
      </c>
    </row>
    <row r="109" spans="1:5" ht="15" customHeight="1">
      <c r="A109" s="541">
        <f>A111-100</f>
        <v>1000</v>
      </c>
      <c r="B109" s="82">
        <v>455</v>
      </c>
      <c r="C109" s="812"/>
      <c r="D109" s="786">
        <v>1989</v>
      </c>
      <c r="E109" s="787">
        <v>1406</v>
      </c>
    </row>
    <row r="110" spans="1:5" ht="15" customHeight="1">
      <c r="A110" s="786">
        <v>1099</v>
      </c>
      <c r="B110" s="787">
        <v>467</v>
      </c>
      <c r="C110" s="813"/>
      <c r="D110" s="541">
        <f>D111-500</f>
        <v>2000</v>
      </c>
      <c r="E110" s="82">
        <v>1407</v>
      </c>
    </row>
    <row r="111" spans="1:5" ht="15" customHeight="1">
      <c r="A111" s="541">
        <f t="shared" ref="A111:A112" si="11">A112-100</f>
        <v>1100</v>
      </c>
      <c r="B111" s="82">
        <v>468</v>
      </c>
      <c r="C111" s="812"/>
      <c r="D111" s="541">
        <f t="shared" ref="D111:D112" si="12">D112-500</f>
        <v>2500</v>
      </c>
      <c r="E111" s="82">
        <v>1467</v>
      </c>
    </row>
    <row r="112" spans="1:5" ht="15" customHeight="1">
      <c r="A112" s="541">
        <f t="shared" si="11"/>
        <v>1200</v>
      </c>
      <c r="B112" s="82">
        <v>480</v>
      </c>
      <c r="C112" s="812"/>
      <c r="D112" s="541">
        <f t="shared" si="12"/>
        <v>3000</v>
      </c>
      <c r="E112" s="82">
        <v>1528</v>
      </c>
    </row>
    <row r="113" spans="1:5" ht="15" customHeight="1">
      <c r="A113" s="541">
        <f>A114-100</f>
        <v>1300</v>
      </c>
      <c r="B113" s="82">
        <v>492</v>
      </c>
      <c r="C113" s="812"/>
      <c r="D113" s="541">
        <f>D114-500</f>
        <v>3500</v>
      </c>
      <c r="E113" s="82">
        <v>1588</v>
      </c>
    </row>
    <row r="114" spans="1:5" ht="15" customHeight="1" thickBot="1">
      <c r="A114" s="542">
        <v>1400</v>
      </c>
      <c r="B114" s="237">
        <v>504</v>
      </c>
      <c r="C114" s="812"/>
      <c r="D114" s="542">
        <v>4000</v>
      </c>
      <c r="E114" s="237">
        <v>1648</v>
      </c>
    </row>
    <row r="116" spans="1:5" ht="15" customHeight="1">
      <c r="A116" s="329" t="s">
        <v>398</v>
      </c>
    </row>
    <row r="117" spans="1:5" ht="15" customHeight="1">
      <c r="A117" s="329" t="s">
        <v>654</v>
      </c>
    </row>
    <row r="119" spans="1:5" ht="15" customHeight="1" thickBot="1">
      <c r="A119" s="329" t="s">
        <v>655</v>
      </c>
    </row>
    <row r="120" spans="1:5" ht="15" customHeight="1">
      <c r="A120" s="785" t="s">
        <v>399</v>
      </c>
      <c r="B120" s="797" t="s">
        <v>412</v>
      </c>
      <c r="C120" s="796" t="s">
        <v>363</v>
      </c>
      <c r="D120" s="796" t="s">
        <v>418</v>
      </c>
      <c r="E120" s="788" t="s">
        <v>390</v>
      </c>
    </row>
    <row r="121" spans="1:5" ht="15" customHeight="1" thickBot="1">
      <c r="A121" s="6" t="s">
        <v>35</v>
      </c>
      <c r="B121" s="1307" t="s">
        <v>35</v>
      </c>
      <c r="C121" s="1308" t="s">
        <v>35</v>
      </c>
      <c r="D121" s="1308" t="s">
        <v>35</v>
      </c>
      <c r="E121" s="24" t="s">
        <v>35</v>
      </c>
    </row>
    <row r="122" spans="1:5" ht="15" customHeight="1">
      <c r="A122" s="543">
        <f t="shared" ref="A122:A124" si="13">A123-1000</f>
        <v>13500</v>
      </c>
      <c r="B122" s="1317">
        <v>12236</v>
      </c>
      <c r="C122" s="1312">
        <v>5874</v>
      </c>
      <c r="D122" s="1312">
        <v>42852</v>
      </c>
      <c r="E122" s="110">
        <v>38567</v>
      </c>
    </row>
    <row r="123" spans="1:5" ht="15" customHeight="1">
      <c r="A123" s="541">
        <f t="shared" si="13"/>
        <v>14500</v>
      </c>
      <c r="B123" s="1309">
        <v>12870</v>
      </c>
      <c r="C123" s="1310">
        <v>7660</v>
      </c>
      <c r="D123" s="1310">
        <v>44763</v>
      </c>
      <c r="E123" s="82">
        <v>40287</v>
      </c>
    </row>
    <row r="124" spans="1:5" ht="15" customHeight="1">
      <c r="A124" s="541">
        <f t="shared" si="13"/>
        <v>15500</v>
      </c>
      <c r="B124" s="1309">
        <v>13504</v>
      </c>
      <c r="C124" s="1310">
        <v>9446</v>
      </c>
      <c r="D124" s="1310">
        <v>46674</v>
      </c>
      <c r="E124" s="82">
        <v>42007</v>
      </c>
    </row>
    <row r="125" spans="1:5" ht="15" customHeight="1">
      <c r="A125" s="541">
        <f>A126-1000</f>
        <v>16500</v>
      </c>
      <c r="B125" s="1309">
        <v>14138</v>
      </c>
      <c r="C125" s="1310">
        <v>11232</v>
      </c>
      <c r="D125" s="1310">
        <v>48585</v>
      </c>
      <c r="E125" s="82">
        <v>43727</v>
      </c>
    </row>
    <row r="126" spans="1:5" ht="15" customHeight="1">
      <c r="A126" s="786">
        <v>17500</v>
      </c>
      <c r="B126" s="786">
        <v>14772</v>
      </c>
      <c r="C126" s="799">
        <v>13017</v>
      </c>
      <c r="D126" s="799">
        <v>50496</v>
      </c>
      <c r="E126" s="787">
        <v>45447</v>
      </c>
    </row>
    <row r="127" spans="1:5" ht="15" customHeight="1">
      <c r="A127" s="541">
        <f>A126+1000</f>
        <v>18500</v>
      </c>
      <c r="B127" s="1309">
        <v>15406</v>
      </c>
      <c r="C127" s="1310">
        <v>14804</v>
      </c>
      <c r="D127" s="1310">
        <v>52407</v>
      </c>
      <c r="E127" s="82">
        <v>47167</v>
      </c>
    </row>
    <row r="128" spans="1:5" ht="15" customHeight="1">
      <c r="A128" s="541">
        <f t="shared" ref="A128:A130" si="14">A127+1000</f>
        <v>19500</v>
      </c>
      <c r="B128" s="1309">
        <v>16040</v>
      </c>
      <c r="C128" s="1310">
        <v>16590</v>
      </c>
      <c r="D128" s="1310">
        <v>54318</v>
      </c>
      <c r="E128" s="82">
        <v>48887</v>
      </c>
    </row>
    <row r="129" spans="1:5" ht="15" customHeight="1">
      <c r="A129" s="541">
        <f t="shared" si="14"/>
        <v>20500</v>
      </c>
      <c r="B129" s="1309">
        <v>16674</v>
      </c>
      <c r="C129" s="1310">
        <v>18376</v>
      </c>
      <c r="D129" s="1310">
        <v>56229</v>
      </c>
      <c r="E129" s="82">
        <v>50607</v>
      </c>
    </row>
    <row r="130" spans="1:5" ht="15" customHeight="1" thickBot="1">
      <c r="A130" s="542">
        <f t="shared" si="14"/>
        <v>21500</v>
      </c>
      <c r="B130" s="1314">
        <v>17308</v>
      </c>
      <c r="C130" s="1315">
        <v>20160</v>
      </c>
      <c r="D130" s="1315">
        <v>58141</v>
      </c>
      <c r="E130" s="237">
        <v>52327</v>
      </c>
    </row>
    <row r="131" spans="1:5" ht="15" customHeight="1">
      <c r="A131" s="1320"/>
      <c r="B131" s="1321"/>
      <c r="C131" s="1321"/>
      <c r="D131" s="1321"/>
      <c r="E131" s="1320"/>
    </row>
    <row r="132" spans="1:5" ht="15" customHeight="1">
      <c r="A132" s="1320"/>
      <c r="B132" s="1321"/>
      <c r="C132" s="1321"/>
      <c r="D132" s="1321"/>
      <c r="E132" s="1320"/>
    </row>
    <row r="133" spans="1:5" ht="15" customHeight="1">
      <c r="A133" s="1320"/>
      <c r="B133" s="1321"/>
      <c r="C133" s="1321"/>
      <c r="D133" s="1321"/>
      <c r="E133" s="1320"/>
    </row>
    <row r="134" spans="1:5" ht="15" customHeight="1">
      <c r="A134" s="1320"/>
      <c r="B134" s="1321"/>
      <c r="C134" s="1321"/>
      <c r="D134" s="1321"/>
      <c r="E134" s="1320"/>
    </row>
    <row r="135" spans="1:5" ht="15" customHeight="1">
      <c r="A135" s="1320"/>
      <c r="B135" s="1321"/>
      <c r="C135" s="1321"/>
      <c r="D135" s="1321"/>
      <c r="E135" s="1320"/>
    </row>
    <row r="136" spans="1:5" ht="15" customHeight="1">
      <c r="A136" s="1320"/>
      <c r="B136" s="1321"/>
      <c r="C136" s="1321"/>
      <c r="D136" s="1321"/>
      <c r="E136" s="1320"/>
    </row>
    <row r="137" spans="1:5" ht="15" customHeight="1">
      <c r="A137" s="1320"/>
      <c r="B137" s="1321"/>
      <c r="C137" s="1321"/>
      <c r="D137" s="1321"/>
      <c r="E137" s="1320"/>
    </row>
    <row r="138" spans="1:5" ht="15" customHeight="1">
      <c r="A138" s="1320"/>
      <c r="B138" s="1321"/>
      <c r="C138" s="1321"/>
      <c r="D138" s="1321"/>
      <c r="E138" s="1320"/>
    </row>
    <row r="139" spans="1:5" ht="15" customHeight="1">
      <c r="A139" s="1320"/>
      <c r="B139" s="1321"/>
      <c r="C139" s="1321"/>
      <c r="D139" s="1321"/>
      <c r="E139" s="1320"/>
    </row>
    <row r="140" spans="1:5" ht="15" customHeight="1">
      <c r="A140" s="1320"/>
      <c r="B140" s="1321"/>
      <c r="C140" s="1321"/>
      <c r="D140" s="1321"/>
      <c r="E140" s="1320"/>
    </row>
    <row r="141" spans="1:5" ht="15" customHeight="1">
      <c r="A141" s="1320"/>
      <c r="B141" s="1321"/>
      <c r="C141" s="1321"/>
      <c r="D141" s="1321"/>
      <c r="E141" s="1320"/>
    </row>
    <row r="142" spans="1:5" ht="15" customHeight="1">
      <c r="A142" s="1320"/>
      <c r="B142" s="1321"/>
      <c r="C142" s="1321"/>
      <c r="D142" s="1321"/>
      <c r="E142" s="1320"/>
    </row>
    <row r="143" spans="1:5" ht="15" customHeight="1">
      <c r="A143" s="1320"/>
      <c r="B143" s="1321"/>
      <c r="C143" s="1321"/>
      <c r="D143" s="1321"/>
      <c r="E143" s="1320"/>
    </row>
    <row r="144" spans="1:5" ht="15" customHeight="1">
      <c r="A144" s="1320"/>
      <c r="B144" s="1321"/>
      <c r="C144" s="1321"/>
      <c r="D144" s="1321"/>
      <c r="E144" s="1320"/>
    </row>
    <row r="145" spans="1:5" ht="15" customHeight="1">
      <c r="A145" s="1320"/>
      <c r="B145" s="1321"/>
      <c r="C145" s="1321"/>
      <c r="D145" s="1321"/>
      <c r="E145" s="1320"/>
    </row>
    <row r="146" spans="1:5" ht="15" customHeight="1">
      <c r="A146" s="1320"/>
      <c r="B146" s="1321"/>
      <c r="C146" s="1321"/>
      <c r="D146" s="1321"/>
      <c r="E146" s="1320"/>
    </row>
    <row r="147" spans="1:5" ht="15" customHeight="1">
      <c r="A147" s="1320"/>
      <c r="B147" s="1321"/>
      <c r="C147" s="1321"/>
      <c r="D147" s="1321"/>
      <c r="E147" s="1320"/>
    </row>
    <row r="148" spans="1:5" ht="15" customHeight="1">
      <c r="A148" s="1320"/>
      <c r="B148" s="1321"/>
      <c r="C148" s="1321"/>
      <c r="D148" s="1321"/>
      <c r="E148" s="1320"/>
    </row>
    <row r="149" spans="1:5" ht="15" customHeight="1" thickBot="1">
      <c r="A149" s="1320"/>
      <c r="B149" s="1321"/>
      <c r="C149" s="1321"/>
      <c r="D149" s="1321"/>
      <c r="E149" s="1320"/>
    </row>
    <row r="150" spans="1:5" ht="15" customHeight="1">
      <c r="A150" s="809" t="s">
        <v>400</v>
      </c>
      <c r="B150" s="785" t="s">
        <v>412</v>
      </c>
      <c r="C150" s="796" t="s">
        <v>363</v>
      </c>
      <c r="D150" s="796" t="s">
        <v>418</v>
      </c>
      <c r="E150" s="788" t="s">
        <v>390</v>
      </c>
    </row>
    <row r="151" spans="1:5" ht="15" customHeight="1" thickBot="1">
      <c r="A151" s="233" t="s">
        <v>35</v>
      </c>
      <c r="B151" s="1340" t="s">
        <v>35</v>
      </c>
      <c r="C151" s="1308" t="s">
        <v>35</v>
      </c>
      <c r="D151" s="1308" t="s">
        <v>35</v>
      </c>
      <c r="E151" s="24" t="s">
        <v>35</v>
      </c>
    </row>
    <row r="152" spans="1:5" ht="15" customHeight="1">
      <c r="A152" s="1304">
        <f t="shared" ref="A152:A154" si="15">A153-1000</f>
        <v>3000</v>
      </c>
      <c r="B152" s="1317">
        <v>12605</v>
      </c>
      <c r="C152" s="1312">
        <v>6202</v>
      </c>
      <c r="D152" s="1312">
        <v>43284</v>
      </c>
      <c r="E152" s="1330">
        <v>38955</v>
      </c>
    </row>
    <row r="153" spans="1:5" ht="15" customHeight="1">
      <c r="A153" s="712">
        <f t="shared" si="15"/>
        <v>4000</v>
      </c>
      <c r="B153" s="1309">
        <v>13147</v>
      </c>
      <c r="C153" s="1310">
        <v>7906</v>
      </c>
      <c r="D153" s="1310">
        <v>45087</v>
      </c>
      <c r="E153" s="1311">
        <v>40578</v>
      </c>
    </row>
    <row r="154" spans="1:5" ht="15" customHeight="1">
      <c r="A154" s="712">
        <f t="shared" si="15"/>
        <v>5000</v>
      </c>
      <c r="B154" s="1309">
        <v>13689</v>
      </c>
      <c r="C154" s="1310">
        <v>9610</v>
      </c>
      <c r="D154" s="1310">
        <v>46890</v>
      </c>
      <c r="E154" s="1311">
        <v>42201</v>
      </c>
    </row>
    <row r="155" spans="1:5" ht="15" customHeight="1">
      <c r="A155" s="712">
        <f>A156-1000</f>
        <v>6000</v>
      </c>
      <c r="B155" s="1309">
        <v>14231</v>
      </c>
      <c r="C155" s="1310">
        <v>11314</v>
      </c>
      <c r="D155" s="1310">
        <v>48693</v>
      </c>
      <c r="E155" s="1311">
        <v>43824</v>
      </c>
    </row>
    <row r="156" spans="1:5" ht="15" customHeight="1">
      <c r="A156" s="805">
        <v>7000</v>
      </c>
      <c r="B156" s="786">
        <v>14772</v>
      </c>
      <c r="C156" s="799">
        <v>13017</v>
      </c>
      <c r="D156" s="799">
        <v>50496</v>
      </c>
      <c r="E156" s="787">
        <v>45447</v>
      </c>
    </row>
    <row r="157" spans="1:5" ht="15" customHeight="1">
      <c r="A157" s="712">
        <f>A156+1000</f>
        <v>8000</v>
      </c>
      <c r="B157" s="1309">
        <v>15315</v>
      </c>
      <c r="C157" s="1310">
        <v>14722</v>
      </c>
      <c r="D157" s="1310">
        <v>52299</v>
      </c>
      <c r="E157" s="1311">
        <v>47070</v>
      </c>
    </row>
    <row r="158" spans="1:5" ht="15" customHeight="1">
      <c r="A158" s="712">
        <f t="shared" ref="A158:A160" si="16">A157+1000</f>
        <v>9000</v>
      </c>
      <c r="B158" s="1309">
        <v>15857</v>
      </c>
      <c r="C158" s="1310">
        <v>16426</v>
      </c>
      <c r="D158" s="1310">
        <v>54102</v>
      </c>
      <c r="E158" s="1311">
        <v>48693</v>
      </c>
    </row>
    <row r="159" spans="1:5" ht="15" customHeight="1">
      <c r="A159" s="712">
        <f t="shared" si="16"/>
        <v>10000</v>
      </c>
      <c r="B159" s="1309">
        <v>16399</v>
      </c>
      <c r="C159" s="1310">
        <v>18130</v>
      </c>
      <c r="D159" s="1310">
        <v>55905</v>
      </c>
      <c r="E159" s="1311">
        <v>50316</v>
      </c>
    </row>
    <row r="160" spans="1:5" ht="15" customHeight="1" thickBot="1">
      <c r="A160" s="802">
        <f t="shared" si="16"/>
        <v>11000</v>
      </c>
      <c r="B160" s="1314">
        <v>16939</v>
      </c>
      <c r="C160" s="1315">
        <v>19832</v>
      </c>
      <c r="D160" s="1315">
        <v>57709</v>
      </c>
      <c r="E160" s="1316">
        <v>51938</v>
      </c>
    </row>
    <row r="161" spans="1:14" ht="15" customHeight="1" thickBot="1">
      <c r="A161" s="1320"/>
      <c r="B161" s="1322"/>
      <c r="C161" s="1322"/>
      <c r="D161" s="1322"/>
      <c r="E161" s="1320"/>
    </row>
    <row r="162" spans="1:14" ht="15" customHeight="1">
      <c r="A162" s="785" t="s">
        <v>424</v>
      </c>
      <c r="B162" s="797" t="s">
        <v>412</v>
      </c>
      <c r="C162" s="796" t="s">
        <v>363</v>
      </c>
      <c r="D162" s="796" t="s">
        <v>418</v>
      </c>
      <c r="E162" s="788" t="s">
        <v>390</v>
      </c>
    </row>
    <row r="163" spans="1:14" ht="15" customHeight="1" thickBot="1">
      <c r="A163" s="6" t="s">
        <v>35</v>
      </c>
      <c r="B163" s="1307" t="s">
        <v>35</v>
      </c>
      <c r="C163" s="1308" t="s">
        <v>35</v>
      </c>
      <c r="D163" s="1308" t="s">
        <v>35</v>
      </c>
      <c r="E163" s="24" t="s">
        <v>35</v>
      </c>
    </row>
    <row r="164" spans="1:14" ht="15" customHeight="1">
      <c r="A164" s="1304">
        <f t="shared" ref="A164:A166" si="17">A165-1000</f>
        <v>8000</v>
      </c>
      <c r="B164" s="1317">
        <v>14810</v>
      </c>
      <c r="C164" s="1312">
        <v>23070</v>
      </c>
      <c r="D164" s="1312">
        <v>49019</v>
      </c>
      <c r="E164" s="1313">
        <v>44118</v>
      </c>
    </row>
    <row r="165" spans="1:14" ht="15" customHeight="1">
      <c r="A165" s="712">
        <f t="shared" si="17"/>
        <v>9000</v>
      </c>
      <c r="B165" s="1309">
        <v>14800.5</v>
      </c>
      <c r="C165" s="1310">
        <v>20557</v>
      </c>
      <c r="D165" s="1310">
        <v>49388</v>
      </c>
      <c r="E165" s="1311">
        <v>44450</v>
      </c>
    </row>
    <row r="166" spans="1:14" ht="15" customHeight="1">
      <c r="A166" s="712">
        <f t="shared" si="17"/>
        <v>10000</v>
      </c>
      <c r="B166" s="1309">
        <v>14791</v>
      </c>
      <c r="C166" s="1310">
        <v>18044</v>
      </c>
      <c r="D166" s="1310">
        <v>49757</v>
      </c>
      <c r="E166" s="1311">
        <v>44782</v>
      </c>
    </row>
    <row r="167" spans="1:14" ht="15" customHeight="1">
      <c r="A167" s="712">
        <f>A168-1000</f>
        <v>11000</v>
      </c>
      <c r="B167" s="1309">
        <v>14781.5</v>
      </c>
      <c r="C167" s="1310">
        <v>15531</v>
      </c>
      <c r="D167" s="1310">
        <v>50126</v>
      </c>
      <c r="E167" s="1311">
        <v>45114</v>
      </c>
    </row>
    <row r="168" spans="1:14" ht="15" customHeight="1">
      <c r="A168" s="805">
        <v>12000</v>
      </c>
      <c r="B168" s="786">
        <v>14772</v>
      </c>
      <c r="C168" s="799">
        <v>13017</v>
      </c>
      <c r="D168" s="799">
        <v>50496</v>
      </c>
      <c r="E168" s="787">
        <v>45447</v>
      </c>
    </row>
    <row r="169" spans="1:14" ht="15" customHeight="1">
      <c r="A169" s="712">
        <f>A168+1000</f>
        <v>13000</v>
      </c>
      <c r="B169" s="1309">
        <v>14762.5</v>
      </c>
      <c r="C169" s="1310">
        <v>10505</v>
      </c>
      <c r="D169" s="1310">
        <v>50864</v>
      </c>
      <c r="E169" s="1311">
        <v>45778</v>
      </c>
    </row>
    <row r="170" spans="1:14" ht="15" customHeight="1">
      <c r="A170" s="712">
        <f t="shared" ref="A170:A172" si="18">A169+1000</f>
        <v>14000</v>
      </c>
      <c r="B170" s="1309">
        <v>14753</v>
      </c>
      <c r="C170" s="1310">
        <v>7992</v>
      </c>
      <c r="D170" s="1310">
        <v>51233</v>
      </c>
      <c r="E170" s="1311">
        <v>46110</v>
      </c>
    </row>
    <row r="171" spans="1:14" ht="15" customHeight="1">
      <c r="A171" s="712">
        <f t="shared" si="18"/>
        <v>15000</v>
      </c>
      <c r="B171" s="1309">
        <v>14743.5</v>
      </c>
      <c r="C171" s="1310">
        <v>5479</v>
      </c>
      <c r="D171" s="1310">
        <v>51602</v>
      </c>
      <c r="E171" s="1311">
        <v>46442</v>
      </c>
    </row>
    <row r="172" spans="1:14" ht="15" customHeight="1" thickBot="1">
      <c r="A172" s="802">
        <f t="shared" si="18"/>
        <v>16000</v>
      </c>
      <c r="B172" s="1314">
        <v>14734</v>
      </c>
      <c r="C172" s="1315">
        <v>2964</v>
      </c>
      <c r="D172" s="1315">
        <v>51973</v>
      </c>
      <c r="E172" s="1316">
        <v>46776</v>
      </c>
    </row>
    <row r="174" spans="1:14" ht="15" customHeight="1" thickBot="1">
      <c r="A174" s="329" t="s">
        <v>656</v>
      </c>
    </row>
    <row r="175" spans="1:14" ht="15" customHeight="1">
      <c r="A175" s="798" t="s">
        <v>585</v>
      </c>
      <c r="B175" s="797" t="s">
        <v>412</v>
      </c>
      <c r="C175" s="796" t="s">
        <v>390</v>
      </c>
      <c r="D175" s="788" t="s">
        <v>413</v>
      </c>
      <c r="F175" s="798" t="s">
        <v>581</v>
      </c>
      <c r="G175" s="797" t="s">
        <v>412</v>
      </c>
      <c r="H175" s="796" t="s">
        <v>390</v>
      </c>
      <c r="I175" s="788" t="s">
        <v>413</v>
      </c>
      <c r="K175" s="798" t="s">
        <v>582</v>
      </c>
      <c r="L175" s="797" t="s">
        <v>412</v>
      </c>
      <c r="M175" s="796" t="s">
        <v>390</v>
      </c>
      <c r="N175" s="788" t="s">
        <v>413</v>
      </c>
    </row>
    <row r="176" spans="1:14" ht="15" customHeight="1" thickBot="1">
      <c r="A176" s="530" t="s">
        <v>71</v>
      </c>
      <c r="B176" s="153" t="s">
        <v>35</v>
      </c>
      <c r="C176" s="154" t="s">
        <v>35</v>
      </c>
      <c r="D176" s="155" t="s">
        <v>414</v>
      </c>
      <c r="F176" s="530" t="s">
        <v>71</v>
      </c>
      <c r="G176" s="153" t="s">
        <v>35</v>
      </c>
      <c r="H176" s="154" t="s">
        <v>35</v>
      </c>
      <c r="I176" s="155" t="s">
        <v>414</v>
      </c>
      <c r="K176" s="530" t="s">
        <v>71</v>
      </c>
      <c r="L176" s="153" t="s">
        <v>35</v>
      </c>
      <c r="M176" s="154" t="s">
        <v>35</v>
      </c>
      <c r="N176" s="155" t="s">
        <v>414</v>
      </c>
    </row>
    <row r="177" spans="1:14" ht="15" customHeight="1">
      <c r="A177" s="801">
        <f>A178-5000</f>
        <v>60000</v>
      </c>
      <c r="B177" s="540">
        <v>16018</v>
      </c>
      <c r="C177" s="428">
        <v>46758</v>
      </c>
      <c r="D177" s="938">
        <f>B177/C177</f>
        <v>0.34257239402882927</v>
      </c>
      <c r="F177" s="801">
        <f>F178-5000</f>
        <v>75000</v>
      </c>
      <c r="G177" s="540">
        <v>15218</v>
      </c>
      <c r="H177" s="428">
        <v>45916</v>
      </c>
      <c r="I177" s="938">
        <f>G177/H177</f>
        <v>0.33143130934750414</v>
      </c>
      <c r="K177" s="801">
        <f>K178-5000</f>
        <v>60000</v>
      </c>
      <c r="L177" s="540">
        <v>16082</v>
      </c>
      <c r="M177" s="428">
        <v>46825</v>
      </c>
      <c r="N177" s="938">
        <f>L177/M177</f>
        <v>0.3434490122797651</v>
      </c>
    </row>
    <row r="178" spans="1:14" ht="15" customHeight="1">
      <c r="A178" s="712">
        <f>A179-5000</f>
        <v>65000</v>
      </c>
      <c r="B178" s="541">
        <v>15436</v>
      </c>
      <c r="C178" s="235">
        <v>46145</v>
      </c>
      <c r="D178" s="939">
        <f>B178/C178</f>
        <v>0.33451078123306965</v>
      </c>
      <c r="F178" s="712">
        <f>F180-5000</f>
        <v>80000</v>
      </c>
      <c r="G178" s="541">
        <v>14985</v>
      </c>
      <c r="H178" s="235">
        <v>45671</v>
      </c>
      <c r="I178" s="939">
        <f>G178/H178</f>
        <v>0.32810755183814677</v>
      </c>
      <c r="K178" s="712">
        <f>K179-5000</f>
        <v>65000</v>
      </c>
      <c r="L178" s="541">
        <v>15779</v>
      </c>
      <c r="M178" s="235">
        <v>46506</v>
      </c>
      <c r="N178" s="939">
        <f>L178/M178</f>
        <v>0.33928955403603839</v>
      </c>
    </row>
    <row r="179" spans="1:14" ht="15" customHeight="1">
      <c r="A179" s="712">
        <v>70000</v>
      </c>
      <c r="B179" s="541">
        <v>14854</v>
      </c>
      <c r="C179" s="235">
        <v>45532</v>
      </c>
      <c r="D179" s="939">
        <f>B179/C179</f>
        <v>0.32623210050074675</v>
      </c>
      <c r="F179" s="805">
        <v>84567</v>
      </c>
      <c r="G179" s="786">
        <v>14772</v>
      </c>
      <c r="H179" s="799">
        <v>45447</v>
      </c>
      <c r="I179" s="940">
        <f>G179/H179</f>
        <v>0.32503795630074594</v>
      </c>
      <c r="K179" s="712">
        <v>70000</v>
      </c>
      <c r="L179" s="541">
        <v>15476</v>
      </c>
      <c r="M179" s="235">
        <v>46187</v>
      </c>
      <c r="N179" s="939">
        <f>L179/M179</f>
        <v>0.33507263948730165</v>
      </c>
    </row>
    <row r="180" spans="1:14" ht="15" customHeight="1">
      <c r="A180" s="805">
        <v>70700</v>
      </c>
      <c r="B180" s="786">
        <v>14772</v>
      </c>
      <c r="C180" s="799">
        <v>45447</v>
      </c>
      <c r="D180" s="940">
        <f>B180/C180</f>
        <v>0.32503795630074594</v>
      </c>
      <c r="F180" s="712">
        <v>85000</v>
      </c>
      <c r="G180" s="541">
        <v>14752</v>
      </c>
      <c r="H180" s="235">
        <v>45425</v>
      </c>
      <c r="I180" s="939">
        <f>G180/H180</f>
        <v>0.32475509080902587</v>
      </c>
      <c r="K180" s="712">
        <f>K179+5000</f>
        <v>75000</v>
      </c>
      <c r="L180" s="541">
        <v>15173</v>
      </c>
      <c r="M180" s="235">
        <v>45869</v>
      </c>
      <c r="N180" s="939">
        <f>L180/M180</f>
        <v>0.33078985807408051</v>
      </c>
    </row>
    <row r="181" spans="1:14" ht="15" customHeight="1">
      <c r="A181" s="712">
        <f>A179+5000</f>
        <v>75000</v>
      </c>
      <c r="B181" s="541">
        <v>14272</v>
      </c>
      <c r="C181" s="235">
        <v>44920</v>
      </c>
      <c r="D181" s="941">
        <f>B181/C181</f>
        <v>0.31772039180765804</v>
      </c>
      <c r="F181" s="712">
        <f>F180+5000</f>
        <v>90000</v>
      </c>
      <c r="G181" s="541">
        <v>14519</v>
      </c>
      <c r="H181" s="235">
        <v>45180</v>
      </c>
      <c r="I181" s="939">
        <f>G181/H181</f>
        <v>0.32135900841080123</v>
      </c>
      <c r="K181" s="712">
        <f>K180+5000</f>
        <v>80000</v>
      </c>
      <c r="L181" s="541">
        <v>14870</v>
      </c>
      <c r="M181" s="235">
        <v>45550</v>
      </c>
      <c r="N181" s="939">
        <f>L181/M181</f>
        <v>0.32645444566410536</v>
      </c>
    </row>
    <row r="182" spans="1:14" ht="15" customHeight="1">
      <c r="A182" s="712">
        <f>A181+5000</f>
        <v>80000</v>
      </c>
      <c r="B182" s="541">
        <v>13690</v>
      </c>
      <c r="C182" s="235">
        <v>44307</v>
      </c>
      <c r="D182" s="939">
        <f>B182/C182</f>
        <v>0.30898052226510486</v>
      </c>
      <c r="F182" s="712">
        <f t="shared" ref="F182:F184" si="19">F181+5000</f>
        <v>95000</v>
      </c>
      <c r="G182" s="541">
        <v>14286</v>
      </c>
      <c r="H182" s="235">
        <v>44935</v>
      </c>
      <c r="I182" s="939">
        <f>G182/H182</f>
        <v>0.31792589295649271</v>
      </c>
      <c r="K182" s="805">
        <v>81618</v>
      </c>
      <c r="L182" s="786">
        <v>14772</v>
      </c>
      <c r="M182" s="799">
        <v>45447</v>
      </c>
      <c r="N182" s="940">
        <f>L182/M182</f>
        <v>0.32503795630074594</v>
      </c>
    </row>
    <row r="183" spans="1:14" ht="15" customHeight="1">
      <c r="A183" s="712">
        <f t="shared" ref="A183:A184" si="20">A182+5000</f>
        <v>85000</v>
      </c>
      <c r="B183" s="541">
        <v>13108</v>
      </c>
      <c r="C183" s="235">
        <v>43694</v>
      </c>
      <c r="D183" s="939">
        <f>B183/C183</f>
        <v>0.29999542271250057</v>
      </c>
      <c r="F183" s="712">
        <f t="shared" si="19"/>
        <v>100000</v>
      </c>
      <c r="G183" s="541">
        <v>14054</v>
      </c>
      <c r="H183" s="235">
        <v>44690</v>
      </c>
      <c r="I183" s="939">
        <f>G183/H183</f>
        <v>0.31447751174759453</v>
      </c>
      <c r="K183" s="712">
        <f>K181+5000</f>
        <v>85000</v>
      </c>
      <c r="L183" s="541">
        <v>14567</v>
      </c>
      <c r="M183" s="235">
        <v>45231</v>
      </c>
      <c r="N183" s="939">
        <f>L183/M183</f>
        <v>0.32205788065707147</v>
      </c>
    </row>
    <row r="184" spans="1:14" ht="15" customHeight="1" thickBot="1">
      <c r="A184" s="802">
        <f t="shared" si="20"/>
        <v>90000</v>
      </c>
      <c r="B184" s="542">
        <v>12526</v>
      </c>
      <c r="C184" s="236">
        <v>43082</v>
      </c>
      <c r="D184" s="942">
        <f>B184/C184</f>
        <v>0.29074787614316883</v>
      </c>
      <c r="F184" s="802">
        <f t="shared" si="19"/>
        <v>105000</v>
      </c>
      <c r="G184" s="542">
        <v>13821</v>
      </c>
      <c r="H184" s="236">
        <v>44445</v>
      </c>
      <c r="I184" s="942">
        <f>G184/H184</f>
        <v>0.31096861289233885</v>
      </c>
      <c r="K184" s="802">
        <f t="shared" ref="K184" si="21">K183+5000</f>
        <v>90000</v>
      </c>
      <c r="L184" s="542">
        <v>14265</v>
      </c>
      <c r="M184" s="236">
        <v>44912</v>
      </c>
      <c r="N184" s="942">
        <f>L184/M184</f>
        <v>0.31762112575703599</v>
      </c>
    </row>
    <row r="185" spans="1:14" ht="15" customHeight="1">
      <c r="A185" s="792"/>
    </row>
    <row r="186" spans="1:14" ht="15" customHeight="1">
      <c r="A186" s="791"/>
      <c r="F186" s="791"/>
    </row>
    <row r="244" spans="1:5" ht="15" customHeight="1" thickBot="1">
      <c r="A244" s="329" t="s">
        <v>652</v>
      </c>
    </row>
    <row r="245" spans="1:5" ht="15" customHeight="1">
      <c r="A245" s="809" t="s">
        <v>416</v>
      </c>
      <c r="B245" s="785" t="s">
        <v>363</v>
      </c>
      <c r="C245" s="796" t="s">
        <v>418</v>
      </c>
      <c r="D245" s="788" t="s">
        <v>530</v>
      </c>
    </row>
    <row r="246" spans="1:5" ht="15" customHeight="1" thickBot="1">
      <c r="A246" s="233" t="s">
        <v>417</v>
      </c>
      <c r="B246" s="1314" t="s">
        <v>35</v>
      </c>
      <c r="C246" s="7" t="s">
        <v>35</v>
      </c>
      <c r="D246" s="24" t="s">
        <v>414</v>
      </c>
    </row>
    <row r="247" spans="1:5" ht="15" customHeight="1">
      <c r="A247" s="1337">
        <v>0.45</v>
      </c>
      <c r="B247" s="1319">
        <v>13017</v>
      </c>
      <c r="C247" s="1338">
        <v>50496</v>
      </c>
      <c r="D247" s="1339">
        <v>1.1111</v>
      </c>
    </row>
    <row r="248" spans="1:5" ht="15" customHeight="1">
      <c r="A248" s="810">
        <v>0.46</v>
      </c>
      <c r="B248" s="1309">
        <v>10931</v>
      </c>
      <c r="C248" s="1310">
        <v>48411</v>
      </c>
      <c r="D248" s="1335">
        <v>1.0651999999999999</v>
      </c>
    </row>
    <row r="249" spans="1:5" ht="15" customHeight="1">
      <c r="A249" s="810">
        <v>0.47</v>
      </c>
      <c r="B249" s="1309">
        <v>8934</v>
      </c>
      <c r="C249" s="1310">
        <v>46414</v>
      </c>
      <c r="D249" s="1335">
        <v>1.0213000000000001</v>
      </c>
    </row>
    <row r="250" spans="1:5" ht="15" customHeight="1">
      <c r="A250" s="810">
        <v>0.48</v>
      </c>
      <c r="B250" s="1309">
        <v>7020</v>
      </c>
      <c r="C250" s="1310">
        <v>44500</v>
      </c>
      <c r="D250" s="1335">
        <v>0.97919999999999996</v>
      </c>
    </row>
    <row r="251" spans="1:5" ht="15" customHeight="1">
      <c r="A251" s="810">
        <v>0.49</v>
      </c>
      <c r="B251" s="1309">
        <v>5185</v>
      </c>
      <c r="C251" s="1310">
        <v>42664</v>
      </c>
      <c r="D251" s="1335">
        <v>0.93879999999999997</v>
      </c>
    </row>
    <row r="252" spans="1:5" ht="15" customHeight="1" thickBot="1">
      <c r="A252" s="811">
        <v>0.5</v>
      </c>
      <c r="B252" s="1314">
        <v>3423</v>
      </c>
      <c r="C252" s="1315">
        <v>40902</v>
      </c>
      <c r="D252" s="1336">
        <v>0.9</v>
      </c>
    </row>
    <row r="254" spans="1:5" ht="15" customHeight="1" thickBot="1">
      <c r="A254" s="329" t="s">
        <v>653</v>
      </c>
    </row>
    <row r="255" spans="1:5" ht="15" customHeight="1">
      <c r="A255" s="785" t="s">
        <v>583</v>
      </c>
      <c r="B255" s="788" t="s">
        <v>659</v>
      </c>
      <c r="C255" s="715"/>
      <c r="D255" s="785" t="s">
        <v>584</v>
      </c>
      <c r="E255" s="788" t="s">
        <v>660</v>
      </c>
    </row>
    <row r="256" spans="1:5" ht="15" customHeight="1" thickBot="1">
      <c r="A256" s="6" t="s">
        <v>71</v>
      </c>
      <c r="B256" s="24" t="s">
        <v>71</v>
      </c>
      <c r="C256" s="77"/>
      <c r="D256" s="6" t="s">
        <v>71</v>
      </c>
      <c r="E256" s="24" t="s">
        <v>71</v>
      </c>
    </row>
    <row r="257" spans="1:5" ht="15" customHeight="1">
      <c r="A257" s="543">
        <f>A258-100</f>
        <v>800</v>
      </c>
      <c r="B257" s="110">
        <v>399</v>
      </c>
      <c r="C257" s="812"/>
      <c r="D257" s="543">
        <f>D258-500</f>
        <v>1000</v>
      </c>
      <c r="E257" s="110">
        <v>1091</v>
      </c>
    </row>
    <row r="258" spans="1:5" ht="15" customHeight="1">
      <c r="A258" s="541">
        <f>A259-100</f>
        <v>900</v>
      </c>
      <c r="B258" s="82">
        <v>415</v>
      </c>
      <c r="C258" s="812"/>
      <c r="D258" s="541">
        <f>D260-500</f>
        <v>1500</v>
      </c>
      <c r="E258" s="82">
        <v>1172</v>
      </c>
    </row>
    <row r="259" spans="1:5" ht="15" customHeight="1">
      <c r="A259" s="541">
        <f>A261-100</f>
        <v>1000</v>
      </c>
      <c r="B259" s="82">
        <v>431</v>
      </c>
      <c r="C259" s="812"/>
      <c r="D259" s="541">
        <v>1989</v>
      </c>
      <c r="E259" s="82">
        <v>1251</v>
      </c>
    </row>
    <row r="260" spans="1:5" ht="15" customHeight="1">
      <c r="A260" s="786">
        <v>1099</v>
      </c>
      <c r="B260" s="787">
        <v>447</v>
      </c>
      <c r="C260" s="813"/>
      <c r="D260" s="541">
        <f>D261-500</f>
        <v>2000</v>
      </c>
      <c r="E260" s="82">
        <v>1253</v>
      </c>
    </row>
    <row r="261" spans="1:5" ht="15" customHeight="1">
      <c r="A261" s="541">
        <f t="shared" ref="A261:A262" si="22">A262-100</f>
        <v>1100</v>
      </c>
      <c r="B261" s="82">
        <v>447</v>
      </c>
      <c r="C261" s="812"/>
      <c r="D261" s="541">
        <f t="shared" ref="D261:D262" si="23">D262-500</f>
        <v>2500</v>
      </c>
      <c r="E261" s="82">
        <v>1334</v>
      </c>
    </row>
    <row r="262" spans="1:5" ht="15" customHeight="1">
      <c r="A262" s="541">
        <f t="shared" si="22"/>
        <v>1200</v>
      </c>
      <c r="B262" s="82">
        <v>464</v>
      </c>
      <c r="C262" s="812"/>
      <c r="D262" s="541">
        <f t="shared" si="23"/>
        <v>3000</v>
      </c>
      <c r="E262" s="82">
        <v>1415</v>
      </c>
    </row>
    <row r="263" spans="1:5" ht="15" customHeight="1">
      <c r="A263" s="541">
        <f>A264-100</f>
        <v>1300</v>
      </c>
      <c r="B263" s="82">
        <v>480</v>
      </c>
      <c r="C263" s="812"/>
      <c r="D263" s="541">
        <f>D264-500</f>
        <v>3500</v>
      </c>
      <c r="E263" s="82">
        <v>1496</v>
      </c>
    </row>
    <row r="264" spans="1:5" ht="15" customHeight="1" thickBot="1">
      <c r="A264" s="542">
        <v>1400</v>
      </c>
      <c r="B264" s="237">
        <v>496</v>
      </c>
      <c r="C264" s="812"/>
      <c r="D264" s="542">
        <v>4000</v>
      </c>
      <c r="E264" s="237">
        <v>1577</v>
      </c>
    </row>
    <row r="285" spans="1:5" ht="15" customHeight="1" thickBot="1">
      <c r="A285" s="329" t="s">
        <v>657</v>
      </c>
    </row>
    <row r="286" spans="1:5" ht="15" customHeight="1">
      <c r="A286" s="785" t="s">
        <v>419</v>
      </c>
      <c r="B286" s="944" t="s">
        <v>26</v>
      </c>
      <c r="C286" s="1133" t="s">
        <v>27</v>
      </c>
      <c r="D286" s="797" t="s">
        <v>425</v>
      </c>
      <c r="E286" s="788" t="s">
        <v>420</v>
      </c>
    </row>
    <row r="287" spans="1:5" ht="15" customHeight="1" thickBot="1">
      <c r="A287" s="6" t="s">
        <v>417</v>
      </c>
      <c r="B287" s="852" t="s">
        <v>417</v>
      </c>
      <c r="C287" s="868" t="s">
        <v>417</v>
      </c>
      <c r="D287" s="23" t="s">
        <v>35</v>
      </c>
      <c r="E287" s="24" t="s">
        <v>35</v>
      </c>
    </row>
    <row r="288" spans="1:5" ht="15" customHeight="1">
      <c r="A288" s="808">
        <v>0.3</v>
      </c>
      <c r="B288" s="946">
        <v>0.49</v>
      </c>
      <c r="C288" s="1328">
        <f>1-B288</f>
        <v>0.51</v>
      </c>
      <c r="D288" s="484">
        <v>37759</v>
      </c>
      <c r="E288" s="110">
        <v>24263</v>
      </c>
    </row>
    <row r="289" spans="1:5" ht="15" customHeight="1">
      <c r="A289" s="396">
        <f>A288+5%</f>
        <v>0.35</v>
      </c>
      <c r="B289" s="1323">
        <v>0.56299999999999994</v>
      </c>
      <c r="C289" s="1325">
        <f t="shared" ref="C289:C299" si="24">1-B289</f>
        <v>0.43700000000000006</v>
      </c>
      <c r="D289" s="485">
        <v>32365</v>
      </c>
      <c r="E289" s="82">
        <v>18869</v>
      </c>
    </row>
    <row r="290" spans="1:5" ht="15" customHeight="1">
      <c r="A290" s="396">
        <f>A289+5%</f>
        <v>0.39999999999999997</v>
      </c>
      <c r="B290" s="1323">
        <v>0.61799999999999999</v>
      </c>
      <c r="C290" s="1325">
        <f t="shared" si="24"/>
        <v>0.38200000000000001</v>
      </c>
      <c r="D290" s="485">
        <v>28319</v>
      </c>
      <c r="E290" s="82">
        <v>14823</v>
      </c>
    </row>
    <row r="291" spans="1:5" ht="15" customHeight="1">
      <c r="A291" s="1326">
        <v>0.41</v>
      </c>
      <c r="B291" s="1323">
        <v>0.627</v>
      </c>
      <c r="C291" s="1325">
        <f t="shared" si="24"/>
        <v>0.373</v>
      </c>
      <c r="D291" s="485">
        <v>27629</v>
      </c>
      <c r="E291" s="82">
        <v>14132</v>
      </c>
    </row>
    <row r="292" spans="1:5" ht="15" customHeight="1">
      <c r="A292" s="396">
        <f>A290+5%</f>
        <v>0.44999999999999996</v>
      </c>
      <c r="B292" s="1323">
        <v>0.66</v>
      </c>
      <c r="C292" s="1325">
        <f t="shared" si="24"/>
        <v>0.33999999999999997</v>
      </c>
      <c r="D292" s="485">
        <v>25173</v>
      </c>
      <c r="E292" s="82">
        <v>11676</v>
      </c>
    </row>
    <row r="293" spans="1:5" ht="15" customHeight="1">
      <c r="A293" s="396">
        <f>A292+5%</f>
        <v>0.49999999999999994</v>
      </c>
      <c r="B293" s="1323">
        <v>0.69399999999999995</v>
      </c>
      <c r="C293" s="1325">
        <f t="shared" si="24"/>
        <v>0.30600000000000005</v>
      </c>
      <c r="D293" s="485">
        <v>22655</v>
      </c>
      <c r="E293" s="82">
        <v>9159</v>
      </c>
    </row>
    <row r="294" spans="1:5" ht="15" customHeight="1">
      <c r="A294" s="396">
        <f t="shared" ref="A294" si="25">A293+5%</f>
        <v>0.54999999999999993</v>
      </c>
      <c r="B294" s="1323">
        <v>0.72699999999999998</v>
      </c>
      <c r="C294" s="1325">
        <f t="shared" si="24"/>
        <v>0.27300000000000002</v>
      </c>
      <c r="D294" s="485">
        <v>20596</v>
      </c>
      <c r="E294" s="82">
        <v>7100</v>
      </c>
    </row>
    <row r="295" spans="1:5" ht="15" customHeight="1">
      <c r="A295" s="396">
        <v>0.6</v>
      </c>
      <c r="B295" s="1323">
        <v>0.745</v>
      </c>
      <c r="C295" s="1325">
        <f t="shared" si="24"/>
        <v>0.255</v>
      </c>
      <c r="D295" s="485">
        <v>18880</v>
      </c>
      <c r="E295" s="82">
        <v>5383</v>
      </c>
    </row>
    <row r="296" spans="1:5" ht="15" customHeight="1">
      <c r="A296" s="396">
        <v>0.65</v>
      </c>
      <c r="B296" s="1323">
        <v>0.76500000000000001</v>
      </c>
      <c r="C296" s="1325">
        <f t="shared" si="24"/>
        <v>0.23499999999999999</v>
      </c>
      <c r="D296" s="485">
        <v>17427</v>
      </c>
      <c r="E296" s="82">
        <v>3931</v>
      </c>
    </row>
    <row r="297" spans="1:5" ht="15" customHeight="1">
      <c r="A297" s="396">
        <v>0.7</v>
      </c>
      <c r="B297" s="1323">
        <v>0.78100000000000003</v>
      </c>
      <c r="C297" s="1325">
        <f t="shared" si="24"/>
        <v>0.21899999999999997</v>
      </c>
      <c r="D297" s="485">
        <v>16182</v>
      </c>
      <c r="E297" s="82">
        <v>2686</v>
      </c>
    </row>
    <row r="298" spans="1:5" ht="15" customHeight="1">
      <c r="A298" s="396">
        <v>0.75</v>
      </c>
      <c r="B298" s="1323">
        <v>0.79600000000000004</v>
      </c>
      <c r="C298" s="1325">
        <f t="shared" si="24"/>
        <v>0.20399999999999996</v>
      </c>
      <c r="D298" s="1324">
        <v>15104</v>
      </c>
      <c r="E298" s="950">
        <v>1607</v>
      </c>
    </row>
    <row r="299" spans="1:5" ht="15" customHeight="1" thickBot="1">
      <c r="A299" s="933">
        <v>0.8</v>
      </c>
      <c r="B299" s="1269">
        <v>0.80900000000000005</v>
      </c>
      <c r="C299" s="1327">
        <f t="shared" si="24"/>
        <v>0.19099999999999995</v>
      </c>
      <c r="D299" s="486">
        <v>14160</v>
      </c>
      <c r="E299" s="237">
        <v>663</v>
      </c>
    </row>
    <row r="320" spans="1:1" ht="15" customHeight="1">
      <c r="A320" s="329" t="s">
        <v>422</v>
      </c>
    </row>
    <row r="321" spans="1:5" ht="15" customHeight="1">
      <c r="A321" s="329" t="s">
        <v>658</v>
      </c>
    </row>
    <row r="322" spans="1:5" ht="15" customHeight="1">
      <c r="A322" s="329"/>
    </row>
    <row r="323" spans="1:5" ht="15" customHeight="1" thickBot="1">
      <c r="A323" s="329" t="s">
        <v>655</v>
      </c>
    </row>
    <row r="324" spans="1:5" ht="15" customHeight="1">
      <c r="A324" s="798" t="s">
        <v>399</v>
      </c>
      <c r="B324" s="797" t="s">
        <v>412</v>
      </c>
      <c r="C324" s="796" t="s">
        <v>363</v>
      </c>
      <c r="D324" s="796" t="s">
        <v>418</v>
      </c>
      <c r="E324" s="788" t="s">
        <v>390</v>
      </c>
    </row>
    <row r="325" spans="1:5" ht="15" customHeight="1" thickBot="1">
      <c r="A325" s="73" t="s">
        <v>35</v>
      </c>
      <c r="B325" s="1307" t="s">
        <v>35</v>
      </c>
      <c r="C325" s="1308" t="s">
        <v>35</v>
      </c>
      <c r="D325" s="1308" t="s">
        <v>35</v>
      </c>
      <c r="E325" s="155" t="s">
        <v>35</v>
      </c>
    </row>
    <row r="326" spans="1:5" ht="15" customHeight="1">
      <c r="A326" s="1304">
        <f t="shared" ref="A326:A328" si="26">A327-1000</f>
        <v>13500</v>
      </c>
      <c r="B326" s="1317">
        <v>21224</v>
      </c>
      <c r="C326" s="1312">
        <v>29091</v>
      </c>
      <c r="D326" s="1312">
        <v>64162</v>
      </c>
      <c r="E326" s="1313">
        <v>57746</v>
      </c>
    </row>
    <row r="327" spans="1:5" ht="15" customHeight="1">
      <c r="A327" s="712">
        <f t="shared" si="26"/>
        <v>14500</v>
      </c>
      <c r="B327" s="1309">
        <v>21858</v>
      </c>
      <c r="C327" s="1310">
        <v>30877</v>
      </c>
      <c r="D327" s="1310">
        <v>66073</v>
      </c>
      <c r="E327" s="1311">
        <v>59466</v>
      </c>
    </row>
    <row r="328" spans="1:5" ht="15" customHeight="1">
      <c r="A328" s="712">
        <f t="shared" si="26"/>
        <v>15500</v>
      </c>
      <c r="B328" s="1309">
        <v>22492</v>
      </c>
      <c r="C328" s="1310">
        <v>32663</v>
      </c>
      <c r="D328" s="1310">
        <v>67984</v>
      </c>
      <c r="E328" s="1311">
        <v>61186</v>
      </c>
    </row>
    <row r="329" spans="1:5" ht="15" customHeight="1">
      <c r="A329" s="712">
        <f>A330-1000</f>
        <v>16500</v>
      </c>
      <c r="B329" s="1309">
        <v>23126</v>
      </c>
      <c r="C329" s="1310">
        <v>34449</v>
      </c>
      <c r="D329" s="1310">
        <v>69895</v>
      </c>
      <c r="E329" s="1311">
        <v>62906</v>
      </c>
    </row>
    <row r="330" spans="1:5" ht="15" customHeight="1">
      <c r="A330" s="805">
        <v>17500</v>
      </c>
      <c r="B330" s="786">
        <v>23760</v>
      </c>
      <c r="C330" s="799">
        <v>36234</v>
      </c>
      <c r="D330" s="799">
        <v>71806</v>
      </c>
      <c r="E330" s="787">
        <v>64626</v>
      </c>
    </row>
    <row r="331" spans="1:5" ht="15" customHeight="1">
      <c r="A331" s="712">
        <f>A330+1000</f>
        <v>18500</v>
      </c>
      <c r="B331" s="1309">
        <v>24394</v>
      </c>
      <c r="C331" s="1310">
        <v>38021</v>
      </c>
      <c r="D331" s="1310">
        <v>73717</v>
      </c>
      <c r="E331" s="1311">
        <v>66346</v>
      </c>
    </row>
    <row r="332" spans="1:5" ht="15" customHeight="1">
      <c r="A332" s="712">
        <f t="shared" ref="A332:A334" si="27">A331+1000</f>
        <v>19500</v>
      </c>
      <c r="B332" s="1309">
        <v>25028</v>
      </c>
      <c r="C332" s="1310">
        <v>39807</v>
      </c>
      <c r="D332" s="1310">
        <v>75628</v>
      </c>
      <c r="E332" s="1311">
        <v>68066</v>
      </c>
    </row>
    <row r="333" spans="1:5" ht="15" customHeight="1">
      <c r="A333" s="712">
        <f t="shared" si="27"/>
        <v>20500</v>
      </c>
      <c r="B333" s="1309">
        <v>25662</v>
      </c>
      <c r="C333" s="1310">
        <v>41593</v>
      </c>
      <c r="D333" s="1310">
        <v>77539</v>
      </c>
      <c r="E333" s="1311">
        <v>69786</v>
      </c>
    </row>
    <row r="334" spans="1:5" ht="15" customHeight="1" thickBot="1">
      <c r="A334" s="802">
        <f t="shared" si="27"/>
        <v>21500</v>
      </c>
      <c r="B334" s="1314">
        <v>26296</v>
      </c>
      <c r="C334" s="1315">
        <v>43377</v>
      </c>
      <c r="D334" s="1315">
        <v>79451</v>
      </c>
      <c r="E334" s="1316">
        <v>71506</v>
      </c>
    </row>
    <row r="335" spans="1:5" ht="15" customHeight="1" thickBot="1"/>
    <row r="336" spans="1:5" ht="15" customHeight="1">
      <c r="A336" s="798" t="s">
        <v>400</v>
      </c>
      <c r="B336" s="797" t="s">
        <v>412</v>
      </c>
      <c r="C336" s="796" t="s">
        <v>363</v>
      </c>
      <c r="D336" s="796" t="s">
        <v>418</v>
      </c>
      <c r="E336" s="788" t="s">
        <v>390</v>
      </c>
    </row>
    <row r="337" spans="1:5" ht="15" customHeight="1" thickBot="1">
      <c r="A337" s="73" t="s">
        <v>35</v>
      </c>
      <c r="B337" s="1307" t="s">
        <v>35</v>
      </c>
      <c r="C337" s="1308" t="s">
        <v>35</v>
      </c>
      <c r="D337" s="1308" t="s">
        <v>35</v>
      </c>
      <c r="E337" s="24" t="s">
        <v>35</v>
      </c>
    </row>
    <row r="338" spans="1:5" ht="15" customHeight="1">
      <c r="A338" s="1300">
        <f t="shared" ref="A338:A340" si="28">A339-1000</f>
        <v>3000</v>
      </c>
      <c r="B338" s="1329">
        <v>21593</v>
      </c>
      <c r="C338" s="1312">
        <v>29419</v>
      </c>
      <c r="D338" s="1312">
        <v>64594</v>
      </c>
      <c r="E338" s="1330">
        <v>58134</v>
      </c>
    </row>
    <row r="339" spans="1:5" ht="15" customHeight="1">
      <c r="A339" s="1301">
        <f t="shared" si="28"/>
        <v>4000</v>
      </c>
      <c r="B339" s="1332">
        <v>22135</v>
      </c>
      <c r="C339" s="1310">
        <v>31123</v>
      </c>
      <c r="D339" s="1310">
        <v>66397</v>
      </c>
      <c r="E339" s="1311">
        <v>59757</v>
      </c>
    </row>
    <row r="340" spans="1:5" ht="15" customHeight="1">
      <c r="A340" s="1301">
        <f t="shared" si="28"/>
        <v>5000</v>
      </c>
      <c r="B340" s="1332">
        <v>22677</v>
      </c>
      <c r="C340" s="1310">
        <v>32827</v>
      </c>
      <c r="D340" s="1310">
        <v>68200</v>
      </c>
      <c r="E340" s="1311">
        <v>61380</v>
      </c>
    </row>
    <row r="341" spans="1:5" ht="15" customHeight="1">
      <c r="A341" s="1301">
        <f>A342-1000</f>
        <v>6000</v>
      </c>
      <c r="B341" s="1332">
        <v>23219</v>
      </c>
      <c r="C341" s="1310">
        <v>34531</v>
      </c>
      <c r="D341" s="1310">
        <v>70003</v>
      </c>
      <c r="E341" s="1311">
        <v>63003</v>
      </c>
    </row>
    <row r="342" spans="1:5" ht="15" customHeight="1">
      <c r="A342" s="1302">
        <v>7000</v>
      </c>
      <c r="B342" s="786">
        <v>23760</v>
      </c>
      <c r="C342" s="799">
        <v>36234</v>
      </c>
      <c r="D342" s="799">
        <v>71806</v>
      </c>
      <c r="E342" s="787">
        <v>64626</v>
      </c>
    </row>
    <row r="343" spans="1:5" ht="15" customHeight="1">
      <c r="A343" s="1301">
        <f>A342+1000</f>
        <v>8000</v>
      </c>
      <c r="B343" s="1332">
        <v>24303</v>
      </c>
      <c r="C343" s="1310">
        <v>37939</v>
      </c>
      <c r="D343" s="1310">
        <v>73609</v>
      </c>
      <c r="E343" s="1311">
        <v>66249</v>
      </c>
    </row>
    <row r="344" spans="1:5" ht="15" customHeight="1">
      <c r="A344" s="1301">
        <f t="shared" ref="A344:A346" si="29">A343+1000</f>
        <v>9000</v>
      </c>
      <c r="B344" s="1332">
        <v>24845</v>
      </c>
      <c r="C344" s="1310">
        <v>39643</v>
      </c>
      <c r="D344" s="1310">
        <v>75412</v>
      </c>
      <c r="E344" s="1311">
        <v>67872</v>
      </c>
    </row>
    <row r="345" spans="1:5" ht="15" customHeight="1">
      <c r="A345" s="1301">
        <f t="shared" si="29"/>
        <v>10000</v>
      </c>
      <c r="B345" s="1332">
        <v>25387</v>
      </c>
      <c r="C345" s="1310">
        <v>41347</v>
      </c>
      <c r="D345" s="1310">
        <v>77215</v>
      </c>
      <c r="E345" s="1311">
        <v>69495</v>
      </c>
    </row>
    <row r="346" spans="1:5" ht="15" customHeight="1" thickBot="1">
      <c r="A346" s="1303">
        <f t="shared" si="29"/>
        <v>11000</v>
      </c>
      <c r="B346" s="1331">
        <v>25927</v>
      </c>
      <c r="C346" s="1315">
        <v>43049</v>
      </c>
      <c r="D346" s="1315">
        <v>79019</v>
      </c>
      <c r="E346" s="1316">
        <v>71117</v>
      </c>
    </row>
    <row r="347" spans="1:5" ht="15" customHeight="1" thickBot="1"/>
    <row r="348" spans="1:5" ht="15" customHeight="1">
      <c r="A348" s="798" t="s">
        <v>424</v>
      </c>
      <c r="B348" s="797" t="s">
        <v>412</v>
      </c>
      <c r="C348" s="796" t="s">
        <v>363</v>
      </c>
      <c r="D348" s="796" t="s">
        <v>418</v>
      </c>
      <c r="E348" s="788" t="s">
        <v>390</v>
      </c>
    </row>
    <row r="349" spans="1:5" ht="15" customHeight="1" thickBot="1">
      <c r="A349" s="73" t="s">
        <v>35</v>
      </c>
      <c r="B349" s="1307" t="s">
        <v>35</v>
      </c>
      <c r="C349" s="1308" t="s">
        <v>35</v>
      </c>
      <c r="D349" s="1308" t="s">
        <v>35</v>
      </c>
      <c r="E349" s="24" t="s">
        <v>35</v>
      </c>
    </row>
    <row r="350" spans="1:5" ht="15" customHeight="1">
      <c r="A350" s="1300">
        <f t="shared" ref="A350:A352" si="30">A351-1000</f>
        <v>8000</v>
      </c>
      <c r="B350" s="1329">
        <v>20802</v>
      </c>
      <c r="C350" s="1305">
        <v>38548</v>
      </c>
      <c r="D350" s="1305">
        <v>63226</v>
      </c>
      <c r="E350" s="110">
        <v>56904</v>
      </c>
    </row>
    <row r="351" spans="1:5" ht="15" customHeight="1">
      <c r="A351" s="1301">
        <f t="shared" si="30"/>
        <v>9000</v>
      </c>
      <c r="B351" s="814">
        <v>21541</v>
      </c>
      <c r="C351" s="799">
        <v>37969</v>
      </c>
      <c r="D351" s="799">
        <v>65371</v>
      </c>
      <c r="E351" s="82">
        <v>58835</v>
      </c>
    </row>
    <row r="352" spans="1:5" ht="15" customHeight="1">
      <c r="A352" s="1301">
        <f t="shared" si="30"/>
        <v>10000</v>
      </c>
      <c r="B352" s="814">
        <v>22280</v>
      </c>
      <c r="C352" s="799">
        <v>37390</v>
      </c>
      <c r="D352" s="799">
        <v>67516</v>
      </c>
      <c r="E352" s="82">
        <v>60766</v>
      </c>
    </row>
    <row r="353" spans="1:5" ht="15" customHeight="1">
      <c r="A353" s="1301">
        <f>A354-1000</f>
        <v>11000</v>
      </c>
      <c r="B353" s="814">
        <v>23019</v>
      </c>
      <c r="C353" s="799">
        <v>36811</v>
      </c>
      <c r="D353" s="799">
        <v>69661</v>
      </c>
      <c r="E353" s="82">
        <v>62697</v>
      </c>
    </row>
    <row r="354" spans="1:5" ht="15" customHeight="1">
      <c r="A354" s="1302">
        <v>12000</v>
      </c>
      <c r="B354" s="786">
        <v>23760</v>
      </c>
      <c r="C354" s="799">
        <v>36234</v>
      </c>
      <c r="D354" s="799">
        <v>71806</v>
      </c>
      <c r="E354" s="787">
        <v>64626</v>
      </c>
    </row>
    <row r="355" spans="1:5" ht="15" customHeight="1">
      <c r="A355" s="1301">
        <f>A354+1000</f>
        <v>13000</v>
      </c>
      <c r="B355" s="814">
        <v>24497</v>
      </c>
      <c r="C355" s="799">
        <v>35653</v>
      </c>
      <c r="D355" s="799">
        <v>73951</v>
      </c>
      <c r="E355" s="82">
        <v>66559</v>
      </c>
    </row>
    <row r="356" spans="1:5" ht="15" customHeight="1">
      <c r="A356" s="1301">
        <f t="shared" ref="A356:A358" si="31">A355+1000</f>
        <v>14000</v>
      </c>
      <c r="B356" s="814">
        <v>25236</v>
      </c>
      <c r="C356" s="799">
        <v>35074</v>
      </c>
      <c r="D356" s="799">
        <v>76096</v>
      </c>
      <c r="E356" s="82">
        <v>68490</v>
      </c>
    </row>
    <row r="357" spans="1:5" ht="15" customHeight="1">
      <c r="A357" s="1301">
        <f t="shared" si="31"/>
        <v>15000</v>
      </c>
      <c r="B357" s="814">
        <v>25975</v>
      </c>
      <c r="C357" s="799">
        <v>34495</v>
      </c>
      <c r="D357" s="799">
        <v>78241</v>
      </c>
      <c r="E357" s="82">
        <v>70421</v>
      </c>
    </row>
    <row r="358" spans="1:5" ht="15" customHeight="1" thickBot="1">
      <c r="A358" s="1303">
        <f t="shared" si="31"/>
        <v>16000</v>
      </c>
      <c r="B358" s="1299">
        <v>26718</v>
      </c>
      <c r="C358" s="1298">
        <v>33920</v>
      </c>
      <c r="D358" s="1298">
        <v>80387</v>
      </c>
      <c r="E358" s="237">
        <v>72348</v>
      </c>
    </row>
    <row r="359" spans="1:5" ht="15" customHeight="1">
      <c r="A359" s="329"/>
    </row>
    <row r="360" spans="1:5" ht="15" customHeight="1" thickBot="1">
      <c r="A360" s="329" t="s">
        <v>656</v>
      </c>
    </row>
    <row r="361" spans="1:5" ht="15" customHeight="1">
      <c r="A361" s="798" t="s">
        <v>585</v>
      </c>
      <c r="B361" s="797" t="s">
        <v>412</v>
      </c>
      <c r="C361" s="796" t="s">
        <v>390</v>
      </c>
      <c r="D361" s="788" t="s">
        <v>413</v>
      </c>
    </row>
    <row r="362" spans="1:5" ht="15" customHeight="1" thickBot="1">
      <c r="A362" s="530" t="s">
        <v>71</v>
      </c>
      <c r="B362" s="153" t="s">
        <v>35</v>
      </c>
      <c r="C362" s="154" t="s">
        <v>35</v>
      </c>
      <c r="D362" s="155" t="s">
        <v>414</v>
      </c>
    </row>
    <row r="363" spans="1:5" ht="15" customHeight="1">
      <c r="A363" s="801">
        <f>A364-5000</f>
        <v>60000</v>
      </c>
      <c r="B363" s="540">
        <v>25006</v>
      </c>
      <c r="C363" s="428">
        <v>65937</v>
      </c>
      <c r="D363" s="800">
        <f>B363/C363</f>
        <v>0.37924079045149156</v>
      </c>
    </row>
    <row r="364" spans="1:5" ht="15" customHeight="1">
      <c r="A364" s="712">
        <f>A365-5000</f>
        <v>65000</v>
      </c>
      <c r="B364" s="541">
        <v>24424</v>
      </c>
      <c r="C364" s="235">
        <v>65324</v>
      </c>
      <c r="D364" s="803">
        <f>B364/C364</f>
        <v>0.37389014757210215</v>
      </c>
    </row>
    <row r="365" spans="1:5" ht="15" customHeight="1">
      <c r="A365" s="712">
        <v>70000</v>
      </c>
      <c r="B365" s="541">
        <v>23842</v>
      </c>
      <c r="C365" s="235">
        <v>64711</v>
      </c>
      <c r="D365" s="803">
        <f>B365/C365</f>
        <v>0.36843813262042002</v>
      </c>
    </row>
    <row r="366" spans="1:5" ht="15" customHeight="1">
      <c r="A366" s="805">
        <v>70700</v>
      </c>
      <c r="B366" s="786">
        <v>23760</v>
      </c>
      <c r="C366" s="799">
        <v>64626</v>
      </c>
      <c r="D366" s="806">
        <f>B366/C366</f>
        <v>0.3676538854331074</v>
      </c>
    </row>
    <row r="367" spans="1:5" ht="15" customHeight="1">
      <c r="A367" s="712">
        <f>A365+5000</f>
        <v>75000</v>
      </c>
      <c r="B367" s="541">
        <v>23260</v>
      </c>
      <c r="C367" s="235">
        <v>64098</v>
      </c>
      <c r="D367" s="807">
        <f>B367/C367</f>
        <v>0.36288183718680772</v>
      </c>
    </row>
    <row r="368" spans="1:5" ht="15" customHeight="1">
      <c r="A368" s="712">
        <f>A367+5000</f>
        <v>80000</v>
      </c>
      <c r="B368" s="541">
        <v>22678</v>
      </c>
      <c r="C368" s="235">
        <v>63485</v>
      </c>
      <c r="D368" s="803">
        <f>B368/C368</f>
        <v>0.35721824052925888</v>
      </c>
    </row>
    <row r="369" spans="1:4" ht="15" customHeight="1">
      <c r="A369" s="712">
        <f t="shared" ref="A369:A370" si="32">A368+5000</f>
        <v>85000</v>
      </c>
      <c r="B369" s="541">
        <v>22096</v>
      </c>
      <c r="C369" s="235">
        <v>62872</v>
      </c>
      <c r="D369" s="803">
        <f>B369/C369</f>
        <v>0.35144420409721339</v>
      </c>
    </row>
    <row r="370" spans="1:4" ht="15" customHeight="1" thickBot="1">
      <c r="A370" s="802">
        <f t="shared" si="32"/>
        <v>90000</v>
      </c>
      <c r="B370" s="542">
        <v>21513</v>
      </c>
      <c r="C370" s="236">
        <v>62261</v>
      </c>
      <c r="D370" s="804">
        <f>B370/C370</f>
        <v>0.34552930405872057</v>
      </c>
    </row>
    <row r="371" spans="1:4" ht="15" customHeight="1" thickBot="1">
      <c r="A371" s="792"/>
    </row>
    <row r="372" spans="1:4" ht="15" customHeight="1">
      <c r="A372" s="798" t="s">
        <v>581</v>
      </c>
      <c r="B372" s="797" t="s">
        <v>412</v>
      </c>
      <c r="C372" s="796" t="s">
        <v>390</v>
      </c>
      <c r="D372" s="788" t="s">
        <v>413</v>
      </c>
    </row>
    <row r="373" spans="1:4" ht="15" customHeight="1" thickBot="1">
      <c r="A373" s="530" t="s">
        <v>71</v>
      </c>
      <c r="B373" s="153" t="s">
        <v>35</v>
      </c>
      <c r="C373" s="154" t="s">
        <v>35</v>
      </c>
      <c r="D373" s="155" t="s">
        <v>414</v>
      </c>
    </row>
    <row r="374" spans="1:4" ht="15" customHeight="1">
      <c r="A374" s="801">
        <f>A375-5000</f>
        <v>75000</v>
      </c>
      <c r="B374" s="540">
        <v>24205</v>
      </c>
      <c r="C374" s="428">
        <v>65095</v>
      </c>
      <c r="D374" s="800">
        <f>B374/C374</f>
        <v>0.37184115523465705</v>
      </c>
    </row>
    <row r="375" spans="1:4" ht="15" customHeight="1">
      <c r="A375" s="712">
        <f>A377-5000</f>
        <v>80000</v>
      </c>
      <c r="B375" s="541">
        <v>23973</v>
      </c>
      <c r="C375" s="235">
        <v>64850</v>
      </c>
      <c r="D375" s="803">
        <f>B375/C375</f>
        <v>0.36966846569005396</v>
      </c>
    </row>
    <row r="376" spans="1:4" ht="15" customHeight="1">
      <c r="A376" s="805">
        <v>84567</v>
      </c>
      <c r="B376" s="786">
        <v>23760</v>
      </c>
      <c r="C376" s="799">
        <v>64626</v>
      </c>
      <c r="D376" s="806">
        <f>B376/C376</f>
        <v>0.3676538854331074</v>
      </c>
    </row>
    <row r="377" spans="1:4" ht="15" customHeight="1">
      <c r="A377" s="712">
        <v>85000</v>
      </c>
      <c r="B377" s="541">
        <v>23740</v>
      </c>
      <c r="C377" s="235">
        <v>64605</v>
      </c>
      <c r="D377" s="803">
        <f>B377/C377</f>
        <v>0.36746381858989241</v>
      </c>
    </row>
    <row r="378" spans="1:4" ht="15" customHeight="1">
      <c r="A378" s="712">
        <f>A377+5000</f>
        <v>90000</v>
      </c>
      <c r="B378" s="541">
        <v>23507</v>
      </c>
      <c r="C378" s="235">
        <v>64360</v>
      </c>
      <c r="D378" s="803">
        <f>B378/C378</f>
        <v>0.36524238657551272</v>
      </c>
    </row>
    <row r="379" spans="1:4" ht="15" customHeight="1">
      <c r="A379" s="712">
        <f t="shared" ref="A379:A381" si="33">A378+5000</f>
        <v>95000</v>
      </c>
      <c r="B379" s="541">
        <v>23274</v>
      </c>
      <c r="C379" s="235">
        <v>64115</v>
      </c>
      <c r="D379" s="803">
        <f>B379/C379</f>
        <v>0.36300397722841771</v>
      </c>
    </row>
    <row r="380" spans="1:4" ht="15" customHeight="1">
      <c r="A380" s="712">
        <f t="shared" si="33"/>
        <v>100000</v>
      </c>
      <c r="B380" s="541">
        <v>23041</v>
      </c>
      <c r="C380" s="235">
        <v>63870</v>
      </c>
      <c r="D380" s="803">
        <f>B380/C380</f>
        <v>0.36074839517770474</v>
      </c>
    </row>
    <row r="381" spans="1:4" ht="15" customHeight="1" thickBot="1">
      <c r="A381" s="802">
        <f t="shared" si="33"/>
        <v>105000</v>
      </c>
      <c r="B381" s="542">
        <v>22808</v>
      </c>
      <c r="C381" s="236">
        <v>63624</v>
      </c>
      <c r="D381" s="804">
        <f>B381/C381</f>
        <v>0.35848107632339998</v>
      </c>
    </row>
    <row r="382" spans="1:4" ht="15" customHeight="1" thickBot="1">
      <c r="A382" s="792"/>
    </row>
    <row r="383" spans="1:4" ht="15" customHeight="1">
      <c r="A383" s="798" t="s">
        <v>582</v>
      </c>
      <c r="B383" s="797" t="s">
        <v>412</v>
      </c>
      <c r="C383" s="796" t="s">
        <v>390</v>
      </c>
      <c r="D383" s="788" t="s">
        <v>413</v>
      </c>
    </row>
    <row r="384" spans="1:4" ht="15" customHeight="1" thickBot="1">
      <c r="A384" s="530" t="s">
        <v>71</v>
      </c>
      <c r="B384" s="153" t="s">
        <v>35</v>
      </c>
      <c r="C384" s="154" t="s">
        <v>35</v>
      </c>
      <c r="D384" s="155" t="s">
        <v>414</v>
      </c>
    </row>
    <row r="385" spans="1:4" ht="15" customHeight="1">
      <c r="A385" s="801">
        <f>A386-5000</f>
        <v>60000</v>
      </c>
      <c r="B385" s="540">
        <v>25440</v>
      </c>
      <c r="C385" s="428">
        <v>66394</v>
      </c>
      <c r="D385" s="800">
        <f>B385/C385</f>
        <v>0.3831671536584631</v>
      </c>
    </row>
    <row r="386" spans="1:4" ht="15" customHeight="1">
      <c r="A386" s="712">
        <f>A387-5000</f>
        <v>65000</v>
      </c>
      <c r="B386" s="541">
        <v>25052</v>
      </c>
      <c r="C386" s="235">
        <v>65985</v>
      </c>
      <c r="D386" s="803">
        <f>B386/C386</f>
        <v>0.37966204440403123</v>
      </c>
    </row>
    <row r="387" spans="1:4" ht="15" customHeight="1">
      <c r="A387" s="712">
        <v>70000</v>
      </c>
      <c r="B387" s="541">
        <v>24664</v>
      </c>
      <c r="C387" s="235">
        <v>65576</v>
      </c>
      <c r="D387" s="803">
        <f>B387/C387</f>
        <v>0.37611321215078686</v>
      </c>
    </row>
    <row r="388" spans="1:4" ht="15" customHeight="1">
      <c r="A388" s="712">
        <f>A387+5000</f>
        <v>75000</v>
      </c>
      <c r="B388" s="541">
        <v>24276</v>
      </c>
      <c r="C388" s="235">
        <v>65167</v>
      </c>
      <c r="D388" s="803">
        <f>B388/C388</f>
        <v>0.37251983365813984</v>
      </c>
    </row>
    <row r="389" spans="1:4" ht="15" customHeight="1">
      <c r="A389" s="712">
        <f>A388+5000</f>
        <v>80000</v>
      </c>
      <c r="B389" s="541">
        <v>23886</v>
      </c>
      <c r="C389" s="235">
        <v>64758</v>
      </c>
      <c r="D389" s="803">
        <f>B389/C389</f>
        <v>0.36885018067265818</v>
      </c>
    </row>
    <row r="390" spans="1:4" ht="15" customHeight="1">
      <c r="A390" s="805">
        <v>81618</v>
      </c>
      <c r="B390" s="786">
        <v>23760</v>
      </c>
      <c r="C390" s="799">
        <v>64626</v>
      </c>
      <c r="D390" s="806">
        <f>B390/C390</f>
        <v>0.3676538854331074</v>
      </c>
    </row>
    <row r="391" spans="1:4" ht="15" customHeight="1">
      <c r="A391" s="712">
        <f>A389+5000</f>
        <v>85000</v>
      </c>
      <c r="B391" s="541">
        <v>23503</v>
      </c>
      <c r="C391" s="235">
        <v>64349</v>
      </c>
      <c r="D391" s="803">
        <f>B391/C391</f>
        <v>0.36524266111361481</v>
      </c>
    </row>
    <row r="392" spans="1:4" ht="15" customHeight="1" thickBot="1">
      <c r="A392" s="802">
        <f t="shared" ref="A392" si="34">A391+5000</f>
        <v>90000</v>
      </c>
      <c r="B392" s="542">
        <v>23109</v>
      </c>
      <c r="C392" s="236">
        <v>63940</v>
      </c>
      <c r="D392" s="804">
        <f>B392/C392</f>
        <v>0.36141695339380669</v>
      </c>
    </row>
    <row r="393" spans="1:4" ht="15" customHeight="1">
      <c r="A393" s="792"/>
    </row>
    <row r="394" spans="1:4" ht="15" customHeight="1" thickBot="1">
      <c r="A394" s="329" t="s">
        <v>652</v>
      </c>
    </row>
    <row r="395" spans="1:4" ht="15" customHeight="1">
      <c r="A395" s="809" t="s">
        <v>416</v>
      </c>
      <c r="B395" s="785" t="s">
        <v>363</v>
      </c>
      <c r="C395" s="796" t="s">
        <v>418</v>
      </c>
      <c r="D395" s="788" t="s">
        <v>530</v>
      </c>
    </row>
    <row r="396" spans="1:4" ht="15" customHeight="1" thickBot="1">
      <c r="A396" s="233" t="s">
        <v>417</v>
      </c>
      <c r="B396" s="1314" t="s">
        <v>35</v>
      </c>
      <c r="C396" s="7" t="s">
        <v>35</v>
      </c>
      <c r="D396" s="24" t="s">
        <v>414</v>
      </c>
    </row>
    <row r="397" spans="1:4" ht="15" customHeight="1">
      <c r="A397" s="1318">
        <v>0.45</v>
      </c>
      <c r="B397" s="1319">
        <v>36234</v>
      </c>
      <c r="C397" s="238">
        <v>71806</v>
      </c>
      <c r="D397" s="935">
        <v>1.1111</v>
      </c>
    </row>
    <row r="398" spans="1:4" ht="15" customHeight="1">
      <c r="A398" s="810">
        <v>0.46</v>
      </c>
      <c r="B398" s="786">
        <v>33268</v>
      </c>
      <c r="C398" s="235">
        <v>68841</v>
      </c>
      <c r="D398" s="936">
        <v>1.0651999999999999</v>
      </c>
    </row>
    <row r="399" spans="1:4" ht="15" customHeight="1">
      <c r="A399" s="810">
        <v>0.47</v>
      </c>
      <c r="B399" s="786">
        <v>30428</v>
      </c>
      <c r="C399" s="235">
        <v>66001</v>
      </c>
      <c r="D399" s="936">
        <v>1.0213000000000001</v>
      </c>
    </row>
    <row r="400" spans="1:4" ht="15" customHeight="1">
      <c r="A400" s="810">
        <v>0.48</v>
      </c>
      <c r="B400" s="786">
        <v>27707</v>
      </c>
      <c r="C400" s="235">
        <v>63279</v>
      </c>
      <c r="D400" s="937">
        <v>0.97919999999999996</v>
      </c>
    </row>
    <row r="401" spans="1:6" ht="15" customHeight="1">
      <c r="A401" s="810">
        <v>0.49</v>
      </c>
      <c r="B401" s="786">
        <v>25097</v>
      </c>
      <c r="C401" s="235">
        <v>60669</v>
      </c>
      <c r="D401" s="936">
        <v>0.93879999999999997</v>
      </c>
    </row>
    <row r="402" spans="1:6" ht="15" customHeight="1" thickBot="1">
      <c r="A402" s="811">
        <v>0.5</v>
      </c>
      <c r="B402" s="1306">
        <v>22591</v>
      </c>
      <c r="C402" s="236">
        <v>58163</v>
      </c>
      <c r="D402" s="934">
        <v>0.9</v>
      </c>
    </row>
    <row r="404" spans="1:6" ht="15" customHeight="1" thickBot="1">
      <c r="A404" s="329" t="s">
        <v>653</v>
      </c>
    </row>
    <row r="405" spans="1:6" ht="15" customHeight="1">
      <c r="A405" s="785" t="s">
        <v>583</v>
      </c>
      <c r="B405" s="788" t="s">
        <v>659</v>
      </c>
      <c r="C405" s="715"/>
      <c r="E405" s="785" t="s">
        <v>584</v>
      </c>
      <c r="F405" s="788" t="s">
        <v>660</v>
      </c>
    </row>
    <row r="406" spans="1:6" ht="15" customHeight="1" thickBot="1">
      <c r="A406" s="6" t="s">
        <v>71</v>
      </c>
      <c r="B406" s="24" t="s">
        <v>71</v>
      </c>
      <c r="C406" s="77"/>
      <c r="E406" s="6" t="s">
        <v>71</v>
      </c>
      <c r="F406" s="24" t="s">
        <v>71</v>
      </c>
    </row>
    <row r="407" spans="1:6" ht="15" customHeight="1">
      <c r="A407" s="543">
        <f>A408-100</f>
        <v>800</v>
      </c>
      <c r="B407" s="110">
        <v>379</v>
      </c>
      <c r="C407" s="812"/>
      <c r="E407" s="543">
        <f>E408-500</f>
        <v>1000</v>
      </c>
      <c r="F407" s="110">
        <v>1112</v>
      </c>
    </row>
    <row r="408" spans="1:6" ht="15" customHeight="1">
      <c r="A408" s="541">
        <f>A409-100</f>
        <v>900</v>
      </c>
      <c r="B408" s="82">
        <v>390</v>
      </c>
      <c r="C408" s="812"/>
      <c r="E408" s="541">
        <f>E410-500</f>
        <v>1500</v>
      </c>
      <c r="F408" s="82">
        <v>1169</v>
      </c>
    </row>
    <row r="409" spans="1:6" ht="15" customHeight="1">
      <c r="A409" s="541">
        <f>A411-100</f>
        <v>1000</v>
      </c>
      <c r="B409" s="82">
        <v>402</v>
      </c>
      <c r="C409" s="812"/>
      <c r="E409" s="541">
        <v>1989</v>
      </c>
      <c r="F409" s="82">
        <v>1225</v>
      </c>
    </row>
    <row r="410" spans="1:6" ht="15" customHeight="1">
      <c r="A410" s="786">
        <v>1099</v>
      </c>
      <c r="B410" s="787">
        <v>413</v>
      </c>
      <c r="C410" s="813"/>
      <c r="E410" s="541">
        <f>E411-500</f>
        <v>2000</v>
      </c>
      <c r="F410" s="787">
        <v>1226</v>
      </c>
    </row>
    <row r="411" spans="1:6" ht="15" customHeight="1">
      <c r="A411" s="541">
        <f t="shared" ref="A411:A412" si="35">A412-100</f>
        <v>1100</v>
      </c>
      <c r="B411" s="82">
        <v>413</v>
      </c>
      <c r="C411" s="812"/>
      <c r="E411" s="541">
        <f t="shared" ref="E411:E412" si="36">E412-500</f>
        <v>2500</v>
      </c>
      <c r="F411" s="82">
        <v>1283</v>
      </c>
    </row>
    <row r="412" spans="1:6" ht="15" customHeight="1">
      <c r="A412" s="541">
        <f t="shared" si="35"/>
        <v>1200</v>
      </c>
      <c r="B412" s="82">
        <v>424</v>
      </c>
      <c r="C412" s="812"/>
      <c r="E412" s="541">
        <f t="shared" si="36"/>
        <v>3000</v>
      </c>
      <c r="F412" s="82">
        <v>1341</v>
      </c>
    </row>
    <row r="413" spans="1:6" ht="15" customHeight="1">
      <c r="A413" s="541">
        <f>A414-100</f>
        <v>1300</v>
      </c>
      <c r="B413" s="82">
        <v>436</v>
      </c>
      <c r="C413" s="812"/>
      <c r="E413" s="541">
        <f>E414-500</f>
        <v>3500</v>
      </c>
      <c r="F413" s="82">
        <v>1398</v>
      </c>
    </row>
    <row r="414" spans="1:6" ht="15" customHeight="1" thickBot="1">
      <c r="A414" s="542">
        <v>1400</v>
      </c>
      <c r="B414" s="237">
        <v>447</v>
      </c>
      <c r="C414" s="812"/>
      <c r="E414" s="542">
        <v>4000</v>
      </c>
      <c r="F414" s="237">
        <v>1455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098E-80ED-4353-8B8B-5661CB67AAAC}">
  <sheetPr codeName="Tabelle21"/>
  <dimension ref="A1:L653"/>
  <sheetViews>
    <sheetView topLeftCell="A476" zoomScale="58" zoomScaleNormal="70" workbookViewId="0">
      <selection activeCell="A476" sqref="A476"/>
    </sheetView>
  </sheetViews>
  <sheetFormatPr baseColWidth="10" defaultColWidth="8.86328125" defaultRowHeight="14.25"/>
  <cols>
    <col min="1" max="1" width="46.59765625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4.73046875" customWidth="1"/>
    <col min="7" max="7" width="34.59765625" customWidth="1"/>
    <col min="8" max="8" width="32.33203125" customWidth="1"/>
    <col min="9" max="9" width="20.0664062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246</v>
      </c>
    </row>
    <row r="3" spans="1:4">
      <c r="A3" s="91"/>
      <c r="B3" t="s">
        <v>247</v>
      </c>
    </row>
    <row r="5" spans="1:4">
      <c r="A5" s="1" t="s">
        <v>194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"/>
      <c r="B7" s="166" t="s">
        <v>43</v>
      </c>
      <c r="C7" s="189" t="s">
        <v>44</v>
      </c>
      <c r="D7" s="190" t="s">
        <v>45</v>
      </c>
    </row>
    <row r="8" spans="1:4" ht="14.65" thickBot="1">
      <c r="A8" s="5"/>
      <c r="B8" s="6" t="s">
        <v>35</v>
      </c>
      <c r="C8" s="7" t="s">
        <v>35</v>
      </c>
      <c r="D8" s="24" t="s">
        <v>35</v>
      </c>
    </row>
    <row r="9" spans="1:4" ht="14.65" thickBot="1">
      <c r="A9" s="513" t="s">
        <v>347</v>
      </c>
      <c r="B9" s="263">
        <v>17500</v>
      </c>
      <c r="C9" s="603">
        <v>7000</v>
      </c>
      <c r="D9" s="604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164"/>
      <c r="B12" s="192" t="s">
        <v>18</v>
      </c>
      <c r="C12" s="193" t="s">
        <v>48</v>
      </c>
    </row>
    <row r="13" spans="1:4">
      <c r="A13" s="528" t="s">
        <v>353</v>
      </c>
      <c r="B13" s="173" t="s">
        <v>21</v>
      </c>
      <c r="C13" s="518">
        <v>0.14399999999999999</v>
      </c>
    </row>
    <row r="14" spans="1:4">
      <c r="A14" s="415" t="s">
        <v>346</v>
      </c>
      <c r="B14" s="37" t="s">
        <v>22</v>
      </c>
      <c r="C14" s="529">
        <v>0.752</v>
      </c>
    </row>
    <row r="15" spans="1:4">
      <c r="A15" s="415" t="s">
        <v>332</v>
      </c>
      <c r="B15" s="37" t="s">
        <v>19</v>
      </c>
      <c r="C15" s="529">
        <v>2.8340000000000001</v>
      </c>
    </row>
    <row r="16" spans="1:4" ht="14.65" thickBot="1">
      <c r="A16" s="417" t="s">
        <v>23</v>
      </c>
      <c r="B16" s="215" t="s">
        <v>237</v>
      </c>
      <c r="C16" s="416">
        <v>1.8</v>
      </c>
    </row>
    <row r="17" spans="1:3">
      <c r="A17" s="5"/>
    </row>
    <row r="18" spans="1:3">
      <c r="A18" s="731" t="s">
        <v>325</v>
      </c>
    </row>
    <row r="20" spans="1:3" ht="14.65" thickBot="1">
      <c r="A20" s="79" t="s">
        <v>364</v>
      </c>
    </row>
    <row r="21" spans="1:3" ht="14.65" thickBot="1">
      <c r="A21" s="103" t="s">
        <v>53</v>
      </c>
      <c r="B21" s="192" t="s">
        <v>18</v>
      </c>
      <c r="C21" s="193" t="s">
        <v>54</v>
      </c>
    </row>
    <row r="22" spans="1:3">
      <c r="A22" s="733" t="s">
        <v>55</v>
      </c>
      <c r="B22" s="735" t="s">
        <v>35</v>
      </c>
      <c r="C22" s="736">
        <f>$D$9</f>
        <v>12000</v>
      </c>
    </row>
    <row r="23" spans="1:3" hidden="1">
      <c r="A23" s="679" t="s">
        <v>49</v>
      </c>
      <c r="B23" s="721" t="s">
        <v>21</v>
      </c>
      <c r="C23" s="87">
        <f>$C$13</f>
        <v>0.14399999999999999</v>
      </c>
    </row>
    <row r="24" spans="1:3">
      <c r="A24" s="232" t="s">
        <v>366</v>
      </c>
      <c r="B24" s="178" t="s">
        <v>35</v>
      </c>
      <c r="C24" s="468">
        <f>C22*WK</f>
        <v>34008</v>
      </c>
    </row>
    <row r="25" spans="1:3">
      <c r="A25" s="232" t="s">
        <v>329</v>
      </c>
      <c r="B25" s="178" t="s">
        <v>35</v>
      </c>
      <c r="C25" s="468">
        <f>C22*SSK</f>
        <v>1727.9999999999998</v>
      </c>
    </row>
    <row r="26" spans="1:3" hidden="1">
      <c r="A26" s="232" t="s">
        <v>50</v>
      </c>
      <c r="B26" s="178" t="s">
        <v>35</v>
      </c>
      <c r="C26" s="85">
        <f>$C$14</f>
        <v>0.752</v>
      </c>
    </row>
    <row r="27" spans="1:3">
      <c r="A27" s="232" t="s">
        <v>327</v>
      </c>
      <c r="B27" s="178" t="s">
        <v>237</v>
      </c>
      <c r="C27" s="732">
        <f>C25/(C25+C28)</f>
        <v>7.7837837837837834E-2</v>
      </c>
    </row>
    <row r="28" spans="1:3">
      <c r="A28" s="232" t="s">
        <v>367</v>
      </c>
      <c r="B28" s="178" t="s">
        <v>35</v>
      </c>
      <c r="C28" s="468">
        <f>C24-C33</f>
        <v>20472</v>
      </c>
    </row>
    <row r="29" spans="1:3">
      <c r="A29" s="720" t="s">
        <v>331</v>
      </c>
      <c r="B29" s="724" t="s">
        <v>35</v>
      </c>
      <c r="C29" s="737">
        <f>C25+C28</f>
        <v>22200</v>
      </c>
    </row>
    <row r="30" spans="1:3" hidden="1">
      <c r="A30" s="232" t="s">
        <v>51</v>
      </c>
      <c r="B30" s="178" t="s">
        <v>35</v>
      </c>
      <c r="C30" s="468">
        <f>$C$15</f>
        <v>2.8340000000000001</v>
      </c>
    </row>
    <row r="31" spans="1:3">
      <c r="A31" s="734" t="s">
        <v>428</v>
      </c>
      <c r="B31" s="178" t="s">
        <v>35</v>
      </c>
      <c r="C31" s="468">
        <f>C22*PSK</f>
        <v>9024</v>
      </c>
    </row>
    <row r="32" spans="1:3">
      <c r="A32" s="734" t="s">
        <v>326</v>
      </c>
      <c r="B32" s="37" t="s">
        <v>237</v>
      </c>
      <c r="C32" s="732">
        <v>0.4</v>
      </c>
    </row>
    <row r="33" spans="1:3">
      <c r="A33" s="734" t="s">
        <v>426</v>
      </c>
      <c r="B33" s="178" t="s">
        <v>35</v>
      </c>
      <c r="C33" s="468">
        <f>C31/C32*(1-C32)</f>
        <v>13536</v>
      </c>
    </row>
    <row r="34" spans="1:3" ht="14.65" thickBot="1">
      <c r="A34" s="680" t="s">
        <v>427</v>
      </c>
      <c r="B34" s="694" t="s">
        <v>35</v>
      </c>
      <c r="C34" s="738">
        <f>C31+C33</f>
        <v>22560</v>
      </c>
    </row>
    <row r="35" spans="1:3" hidden="1">
      <c r="A35" s="83"/>
      <c r="B35" s="77"/>
      <c r="C35" s="95"/>
    </row>
    <row r="36" spans="1:3" hidden="1">
      <c r="A36" s="79" t="s">
        <v>56</v>
      </c>
      <c r="B36" s="79"/>
      <c r="C36" s="79"/>
    </row>
    <row r="37" spans="1:3" hidden="1">
      <c r="A37" s="18" t="s">
        <v>53</v>
      </c>
      <c r="B37" s="104" t="s">
        <v>18</v>
      </c>
      <c r="C37" s="15" t="s">
        <v>54</v>
      </c>
    </row>
    <row r="38" spans="1:3" hidden="1">
      <c r="A38" s="272" t="s">
        <v>55</v>
      </c>
      <c r="B38" s="298" t="s">
        <v>35</v>
      </c>
      <c r="C38" s="294">
        <f>$C$22</f>
        <v>12000</v>
      </c>
    </row>
    <row r="39" spans="1:3" hidden="1">
      <c r="A39" s="257" t="s">
        <v>32</v>
      </c>
      <c r="B39" s="278" t="s">
        <v>35</v>
      </c>
      <c r="C39" s="295">
        <f>$C$25</f>
        <v>1727.9999999999998</v>
      </c>
    </row>
    <row r="40" spans="1:3" hidden="1">
      <c r="A40" s="257" t="s">
        <v>33</v>
      </c>
      <c r="B40" s="278" t="s">
        <v>35</v>
      </c>
      <c r="C40" s="295">
        <f>$C$31</f>
        <v>9024</v>
      </c>
    </row>
    <row r="41" spans="1:3" hidden="1">
      <c r="A41" s="257" t="s">
        <v>57</v>
      </c>
      <c r="B41" s="278" t="s">
        <v>35</v>
      </c>
      <c r="C41" s="279">
        <f>C38+C39+C40</f>
        <v>22752</v>
      </c>
    </row>
    <row r="42" spans="1:3" hidden="1">
      <c r="A42" s="257" t="s">
        <v>212</v>
      </c>
      <c r="B42" s="278" t="s">
        <v>35</v>
      </c>
      <c r="C42" s="279">
        <f>$C$22+$C$25+$C$31+$C$24</f>
        <v>56760</v>
      </c>
    </row>
    <row r="43" spans="1:3" hidden="1">
      <c r="A43" s="299" t="s">
        <v>59</v>
      </c>
      <c r="B43" s="260" t="s">
        <v>24</v>
      </c>
      <c r="C43" s="300">
        <f>C41/C42</f>
        <v>0.40084566596194504</v>
      </c>
    </row>
    <row r="44" spans="1:3" hidden="1">
      <c r="A44" s="257" t="s">
        <v>34</v>
      </c>
      <c r="B44" s="278" t="s">
        <v>35</v>
      </c>
      <c r="C44" s="279">
        <f>$C$24</f>
        <v>34008</v>
      </c>
    </row>
    <row r="45" spans="1:3" hidden="1">
      <c r="A45" s="257" t="s">
        <v>60</v>
      </c>
      <c r="B45" s="278" t="s">
        <v>35</v>
      </c>
      <c r="C45" s="279">
        <f>C44</f>
        <v>34008</v>
      </c>
    </row>
    <row r="46" spans="1:3" hidden="1">
      <c r="A46" s="257" t="s">
        <v>212</v>
      </c>
      <c r="B46" s="278" t="s">
        <v>35</v>
      </c>
      <c r="C46" s="279">
        <f>$C$22+$C$25+$C$31+$C$24</f>
        <v>56760</v>
      </c>
    </row>
    <row r="47" spans="1:3" ht="14.65" hidden="1" thickBot="1">
      <c r="A47" s="301" t="s">
        <v>61</v>
      </c>
      <c r="B47" s="277" t="s">
        <v>24</v>
      </c>
      <c r="C47" s="303">
        <f>C44/C46</f>
        <v>0.59915433403805496</v>
      </c>
    </row>
    <row r="48" spans="1:3" hidden="1"/>
    <row r="49" spans="1:6" hidden="1">
      <c r="A49" s="79" t="s">
        <v>47</v>
      </c>
      <c r="B49" s="79"/>
      <c r="C49" s="79"/>
    </row>
    <row r="50" spans="1:6" hidden="1">
      <c r="A50" s="18" t="s">
        <v>53</v>
      </c>
      <c r="B50" s="104" t="s">
        <v>18</v>
      </c>
      <c r="C50" s="15" t="s">
        <v>54</v>
      </c>
    </row>
    <row r="51" spans="1:6" hidden="1">
      <c r="A51" s="272" t="s">
        <v>55</v>
      </c>
      <c r="B51" s="298" t="s">
        <v>35</v>
      </c>
      <c r="C51" s="294">
        <f>$C$22</f>
        <v>12000</v>
      </c>
    </row>
    <row r="52" spans="1:6" hidden="1">
      <c r="A52" s="257" t="s">
        <v>32</v>
      </c>
      <c r="B52" s="278" t="s">
        <v>35</v>
      </c>
      <c r="C52" s="295">
        <f>$C$25</f>
        <v>1727.9999999999998</v>
      </c>
    </row>
    <row r="53" spans="1:6" hidden="1">
      <c r="A53" s="257" t="s">
        <v>33</v>
      </c>
      <c r="B53" s="278" t="s">
        <v>35</v>
      </c>
      <c r="C53" s="295">
        <f>$C$31</f>
        <v>9024</v>
      </c>
    </row>
    <row r="54" spans="1:6" hidden="1">
      <c r="A54" s="257" t="s">
        <v>430</v>
      </c>
      <c r="B54" s="278" t="s">
        <v>35</v>
      </c>
      <c r="C54" s="279">
        <f>C51+C52+C53</f>
        <v>22752</v>
      </c>
    </row>
    <row r="55" spans="1:6" hidden="1">
      <c r="A55" s="257" t="s">
        <v>58</v>
      </c>
      <c r="B55" s="278" t="s">
        <v>35</v>
      </c>
      <c r="C55" s="279">
        <f>$C$22+$C$25+$C$31+$C$24</f>
        <v>56760</v>
      </c>
    </row>
    <row r="56" spans="1:6" hidden="1">
      <c r="A56" s="299" t="s">
        <v>64</v>
      </c>
      <c r="B56" s="260" t="s">
        <v>24</v>
      </c>
      <c r="C56" s="300">
        <f>C54/C88</f>
        <v>0.40084566596194504</v>
      </c>
    </row>
    <row r="57" spans="1:6" hidden="1">
      <c r="A57" s="257" t="s">
        <v>34</v>
      </c>
      <c r="B57" s="278" t="s">
        <v>35</v>
      </c>
      <c r="C57" s="279">
        <f>$C$24</f>
        <v>34008</v>
      </c>
    </row>
    <row r="58" spans="1:6" hidden="1">
      <c r="A58" s="257" t="s">
        <v>65</v>
      </c>
      <c r="B58" s="278" t="s">
        <v>35</v>
      </c>
      <c r="C58" s="279">
        <f>C44</f>
        <v>34008</v>
      </c>
    </row>
    <row r="59" spans="1:6" hidden="1">
      <c r="A59" s="257" t="s">
        <v>58</v>
      </c>
      <c r="B59" s="278" t="s">
        <v>35</v>
      </c>
      <c r="C59" s="279">
        <f>$C$22+$C$25+$C$31+$C$24</f>
        <v>56760</v>
      </c>
    </row>
    <row r="60" spans="1:6" ht="14.65" hidden="1" thickBot="1">
      <c r="A60" s="301" t="s">
        <v>66</v>
      </c>
      <c r="B60" s="277" t="s">
        <v>24</v>
      </c>
      <c r="C60" s="303">
        <f>C58/C88</f>
        <v>0.59915433403805496</v>
      </c>
    </row>
    <row r="62" spans="1:6" ht="14.65" thickBot="1">
      <c r="A62" s="183" t="s">
        <v>303</v>
      </c>
    </row>
    <row r="63" spans="1:6" ht="14.65" thickBot="1">
      <c r="A63" s="410"/>
      <c r="B63" s="164"/>
      <c r="C63" s="514" t="s">
        <v>263</v>
      </c>
      <c r="D63" s="1043" t="s">
        <v>262</v>
      </c>
      <c r="E63" s="1044"/>
      <c r="F63" s="1045"/>
    </row>
    <row r="64" spans="1:6">
      <c r="A64" s="115"/>
      <c r="B64" s="537" t="s">
        <v>88</v>
      </c>
      <c r="C64" s="532" t="s">
        <v>45</v>
      </c>
      <c r="D64" s="521" t="s">
        <v>69</v>
      </c>
      <c r="E64" s="266" t="s">
        <v>253</v>
      </c>
      <c r="F64" s="275" t="s">
        <v>255</v>
      </c>
    </row>
    <row r="65" spans="1:6" ht="14.65" thickBot="1">
      <c r="A65" s="93" t="s">
        <v>93</v>
      </c>
      <c r="B65" s="538" t="s">
        <v>24</v>
      </c>
      <c r="C65" s="533" t="s">
        <v>71</v>
      </c>
      <c r="D65" s="530" t="s">
        <v>35</v>
      </c>
      <c r="E65" s="153" t="s">
        <v>35</v>
      </c>
      <c r="F65" s="155" t="s">
        <v>35</v>
      </c>
    </row>
    <row r="66" spans="1:6">
      <c r="A66" s="184" t="s">
        <v>72</v>
      </c>
      <c r="B66" s="539">
        <v>0.35466079587700855</v>
      </c>
      <c r="C66" s="534">
        <v>39002</v>
      </c>
      <c r="D66" s="531">
        <f t="shared" ref="D66:D80" si="0">$D$9*C66/1000000</f>
        <v>468.024</v>
      </c>
      <c r="E66" s="459">
        <f>B66*D66</f>
        <v>165.98976432954106</v>
      </c>
      <c r="F66" s="467">
        <f>D66*(1-B66)</f>
        <v>302.034235670459</v>
      </c>
    </row>
    <row r="67" spans="1:6">
      <c r="A67" s="185" t="s">
        <v>73</v>
      </c>
      <c r="B67" s="448">
        <v>0.50448951725767621</v>
      </c>
      <c r="C67" s="535">
        <v>28.6</v>
      </c>
      <c r="D67" s="473">
        <f t="shared" si="0"/>
        <v>0.34320000000000001</v>
      </c>
      <c r="E67" s="461">
        <f t="shared" ref="E67:E80" si="1">B67*D67</f>
        <v>0.17314080232283449</v>
      </c>
      <c r="F67" s="468">
        <f t="shared" ref="F67:F80" si="2">D67*(1-B67)</f>
        <v>0.17005919767716551</v>
      </c>
    </row>
    <row r="68" spans="1:6">
      <c r="A68" s="186" t="s">
        <v>74</v>
      </c>
      <c r="B68" s="448">
        <v>0.23599546857054995</v>
      </c>
      <c r="C68" s="535">
        <v>159000</v>
      </c>
      <c r="D68" s="473">
        <f t="shared" si="0"/>
        <v>1908</v>
      </c>
      <c r="E68" s="461">
        <f t="shared" si="1"/>
        <v>450.27935403260932</v>
      </c>
      <c r="F68" s="468">
        <f t="shared" si="2"/>
        <v>1457.7206459673907</v>
      </c>
    </row>
    <row r="69" spans="1:6">
      <c r="A69" s="186" t="s">
        <v>75</v>
      </c>
      <c r="B69" s="448" t="s">
        <v>89</v>
      </c>
      <c r="C69" s="535">
        <v>3.5</v>
      </c>
      <c r="D69" s="473">
        <f t="shared" si="0"/>
        <v>4.2000000000000003E-2</v>
      </c>
      <c r="E69" s="461" t="s">
        <v>89</v>
      </c>
      <c r="F69" s="468" t="s">
        <v>89</v>
      </c>
    </row>
    <row r="70" spans="1:6">
      <c r="A70" s="186" t="s">
        <v>76</v>
      </c>
      <c r="B70" s="448">
        <v>0.1621584892527064</v>
      </c>
      <c r="C70" s="535">
        <v>136</v>
      </c>
      <c r="D70" s="473">
        <f t="shared" si="0"/>
        <v>1.6319999999999999</v>
      </c>
      <c r="E70" s="461">
        <f t="shared" si="1"/>
        <v>0.26464265446041685</v>
      </c>
      <c r="F70" s="468">
        <f t="shared" si="2"/>
        <v>1.3673573455395831</v>
      </c>
    </row>
    <row r="71" spans="1:6">
      <c r="A71" s="186" t="s">
        <v>77</v>
      </c>
      <c r="B71" s="448">
        <v>0.24756668082287775</v>
      </c>
      <c r="C71" s="535">
        <v>656</v>
      </c>
      <c r="D71" s="473">
        <f t="shared" si="0"/>
        <v>7.8719999999999999</v>
      </c>
      <c r="E71" s="461">
        <f t="shared" si="1"/>
        <v>1.9488449114376936</v>
      </c>
      <c r="F71" s="468">
        <f t="shared" si="2"/>
        <v>5.9231550885623054</v>
      </c>
    </row>
    <row r="72" spans="1:6">
      <c r="A72" s="186" t="s">
        <v>78</v>
      </c>
      <c r="B72" s="448">
        <v>0.20907175359723923</v>
      </c>
      <c r="C72" s="535">
        <v>87577</v>
      </c>
      <c r="D72" s="473">
        <f t="shared" si="0"/>
        <v>1050.924</v>
      </c>
      <c r="E72" s="461">
        <f t="shared" si="1"/>
        <v>219.71852357742503</v>
      </c>
      <c r="F72" s="468">
        <f t="shared" si="2"/>
        <v>831.20547642257486</v>
      </c>
    </row>
    <row r="73" spans="1:6">
      <c r="A73" s="186" t="s">
        <v>79</v>
      </c>
      <c r="B73" s="448">
        <v>0.36314397789298258</v>
      </c>
      <c r="C73" s="535">
        <v>8230</v>
      </c>
      <c r="D73" s="473">
        <f t="shared" si="0"/>
        <v>98.76</v>
      </c>
      <c r="E73" s="461">
        <f t="shared" si="1"/>
        <v>35.864099256710965</v>
      </c>
      <c r="F73" s="468">
        <f t="shared" si="2"/>
        <v>62.89590074328904</v>
      </c>
    </row>
    <row r="74" spans="1:6">
      <c r="A74" s="186" t="s">
        <v>80</v>
      </c>
      <c r="B74" s="448">
        <v>0.43110184372496846</v>
      </c>
      <c r="C74" s="535">
        <v>12900</v>
      </c>
      <c r="D74" s="473">
        <f t="shared" si="0"/>
        <v>154.80000000000001</v>
      </c>
      <c r="E74" s="461">
        <f t="shared" si="1"/>
        <v>66.734565408625116</v>
      </c>
      <c r="F74" s="468">
        <f t="shared" si="2"/>
        <v>88.065434591374881</v>
      </c>
    </row>
    <row r="75" spans="1:6">
      <c r="A75" s="186" t="s">
        <v>81</v>
      </c>
      <c r="B75" s="448">
        <v>0.38317241660064177</v>
      </c>
      <c r="C75" s="535">
        <v>8100</v>
      </c>
      <c r="D75" s="473">
        <f t="shared" si="0"/>
        <v>97.2</v>
      </c>
      <c r="E75" s="461">
        <f t="shared" si="1"/>
        <v>37.24435889358238</v>
      </c>
      <c r="F75" s="468">
        <f t="shared" si="2"/>
        <v>59.955641106417616</v>
      </c>
    </row>
    <row r="76" spans="1:6">
      <c r="A76" s="186" t="s">
        <v>82</v>
      </c>
      <c r="B76" s="448">
        <v>0.30725168652454959</v>
      </c>
      <c r="C76" s="535">
        <v>125</v>
      </c>
      <c r="D76" s="473">
        <f t="shared" si="0"/>
        <v>1.5</v>
      </c>
      <c r="E76" s="461">
        <f t="shared" si="1"/>
        <v>0.46087752978682439</v>
      </c>
      <c r="F76" s="468">
        <f t="shared" si="2"/>
        <v>1.0391224702131756</v>
      </c>
    </row>
    <row r="77" spans="1:6">
      <c r="A77" s="186" t="s">
        <v>83</v>
      </c>
      <c r="B77" s="448" t="s">
        <v>89</v>
      </c>
      <c r="C77" s="535">
        <v>81618</v>
      </c>
      <c r="D77" s="473">
        <f t="shared" si="0"/>
        <v>979.41600000000005</v>
      </c>
      <c r="E77" s="461" t="s">
        <v>89</v>
      </c>
      <c r="F77" s="468" t="s">
        <v>89</v>
      </c>
    </row>
    <row r="78" spans="1:6">
      <c r="A78" s="186" t="s">
        <v>84</v>
      </c>
      <c r="B78" s="448">
        <v>6.169422691786923E-2</v>
      </c>
      <c r="C78" s="535">
        <v>124</v>
      </c>
      <c r="D78" s="473">
        <f t="shared" si="0"/>
        <v>1.488</v>
      </c>
      <c r="E78" s="461">
        <f t="shared" si="1"/>
        <v>9.1801009653789414E-2</v>
      </c>
      <c r="F78" s="468">
        <f t="shared" si="2"/>
        <v>1.3961989903462106</v>
      </c>
    </row>
    <row r="79" spans="1:6">
      <c r="A79" s="186" t="s">
        <v>85</v>
      </c>
      <c r="B79" s="448" t="s">
        <v>89</v>
      </c>
      <c r="C79" s="535">
        <v>18900</v>
      </c>
      <c r="D79" s="473">
        <f t="shared" si="0"/>
        <v>226.8</v>
      </c>
      <c r="E79" s="461" t="s">
        <v>89</v>
      </c>
      <c r="F79" s="578" t="s">
        <v>89</v>
      </c>
    </row>
    <row r="80" spans="1:6" ht="14.65" thickBot="1">
      <c r="A80" s="187" t="s">
        <v>86</v>
      </c>
      <c r="B80" s="449">
        <v>0.25701474780786782</v>
      </c>
      <c r="C80" s="536">
        <v>2353</v>
      </c>
      <c r="D80" s="474">
        <f t="shared" si="0"/>
        <v>28.236000000000001</v>
      </c>
      <c r="E80" s="463">
        <f t="shared" si="1"/>
        <v>7.2570684191029562</v>
      </c>
      <c r="F80" s="469">
        <f t="shared" si="2"/>
        <v>20.978931580897044</v>
      </c>
    </row>
    <row r="82" spans="1:3" ht="14.65" thickBot="1">
      <c r="A82" s="79" t="s">
        <v>368</v>
      </c>
    </row>
    <row r="83" spans="1:3" ht="14.65" thickBot="1">
      <c r="A83" s="103" t="s">
        <v>90</v>
      </c>
      <c r="B83" s="102" t="s">
        <v>18</v>
      </c>
      <c r="C83" s="17" t="s">
        <v>91</v>
      </c>
    </row>
    <row r="84" spans="1:3">
      <c r="A84" s="272" t="s">
        <v>301</v>
      </c>
      <c r="B84" s="298" t="s">
        <v>35</v>
      </c>
      <c r="C84" s="294">
        <f>C22</f>
        <v>12000</v>
      </c>
    </row>
    <row r="85" spans="1:3">
      <c r="A85" s="815" t="s">
        <v>366</v>
      </c>
      <c r="B85" s="278" t="s">
        <v>35</v>
      </c>
      <c r="C85" s="297">
        <f>C24</f>
        <v>34008</v>
      </c>
    </row>
    <row r="86" spans="1:3">
      <c r="A86" s="257" t="s">
        <v>329</v>
      </c>
      <c r="B86" s="278" t="s">
        <v>35</v>
      </c>
      <c r="C86" s="289">
        <f>C25</f>
        <v>1727.9999999999998</v>
      </c>
    </row>
    <row r="87" spans="1:3">
      <c r="A87" s="257" t="s">
        <v>428</v>
      </c>
      <c r="B87" s="278" t="s">
        <v>35</v>
      </c>
      <c r="C87" s="289">
        <f>C31</f>
        <v>9024</v>
      </c>
    </row>
    <row r="88" spans="1:3" ht="14.65" thickBot="1">
      <c r="A88" s="255" t="s">
        <v>4</v>
      </c>
      <c r="B88" s="271" t="s">
        <v>35</v>
      </c>
      <c r="C88" s="256">
        <f>C84+C85+C86+C87</f>
        <v>56760</v>
      </c>
    </row>
    <row r="90" spans="1:3" hidden="1"/>
    <row r="91" spans="1:3" hidden="1">
      <c r="A91" s="79" t="s">
        <v>56</v>
      </c>
      <c r="B91" s="79"/>
      <c r="C91" s="79"/>
    </row>
    <row r="92" spans="1:3" ht="14.65" hidden="1" thickBot="1">
      <c r="A92" s="103" t="s">
        <v>90</v>
      </c>
      <c r="B92" s="102" t="s">
        <v>18</v>
      </c>
      <c r="C92" s="17" t="s">
        <v>91</v>
      </c>
    </row>
    <row r="93" spans="1:3" hidden="1">
      <c r="A93" s="272" t="s">
        <v>55</v>
      </c>
      <c r="B93" s="298" t="s">
        <v>35</v>
      </c>
      <c r="C93" s="294">
        <f>$C$22</f>
        <v>12000</v>
      </c>
    </row>
    <row r="94" spans="1:3" hidden="1">
      <c r="A94" s="257" t="s">
        <v>87</v>
      </c>
      <c r="B94" s="278" t="s">
        <v>35</v>
      </c>
      <c r="C94" s="295">
        <f>SUM($E$66:$E$80)</f>
        <v>986.02704082525827</v>
      </c>
    </row>
    <row r="95" spans="1:3" hidden="1">
      <c r="A95" s="257" t="s">
        <v>57</v>
      </c>
      <c r="B95" s="278" t="s">
        <v>35</v>
      </c>
      <c r="C95" s="279">
        <f>C93-C94</f>
        <v>11013.972959174742</v>
      </c>
    </row>
    <row r="96" spans="1:3" hidden="1">
      <c r="A96" s="257" t="s">
        <v>4</v>
      </c>
      <c r="B96" s="278" t="s">
        <v>35</v>
      </c>
      <c r="C96" s="279">
        <f>$C$88</f>
        <v>56760</v>
      </c>
    </row>
    <row r="97" spans="1:3" hidden="1">
      <c r="A97" s="299" t="s">
        <v>59</v>
      </c>
      <c r="B97" s="260" t="s">
        <v>24</v>
      </c>
      <c r="C97" s="300">
        <f>C95/C96</f>
        <v>0.19404462577827242</v>
      </c>
    </row>
    <row r="98" spans="1:3" hidden="1">
      <c r="A98" s="257" t="s">
        <v>34</v>
      </c>
      <c r="B98" s="278" t="s">
        <v>35</v>
      </c>
      <c r="C98" s="279">
        <f>$C$24</f>
        <v>34008</v>
      </c>
    </row>
    <row r="99" spans="1:3" hidden="1">
      <c r="A99" s="257" t="s">
        <v>32</v>
      </c>
      <c r="B99" s="278" t="s">
        <v>35</v>
      </c>
      <c r="C99" s="295">
        <f>$C$25</f>
        <v>1727.9999999999998</v>
      </c>
    </row>
    <row r="100" spans="1:3" hidden="1">
      <c r="A100" s="257" t="s">
        <v>33</v>
      </c>
      <c r="B100" s="278" t="s">
        <v>35</v>
      </c>
      <c r="C100" s="295">
        <f>$C$31</f>
        <v>9024</v>
      </c>
    </row>
    <row r="101" spans="1:3" hidden="1">
      <c r="A101" s="257" t="s">
        <v>87</v>
      </c>
      <c r="B101" s="278" t="s">
        <v>35</v>
      </c>
      <c r="C101" s="295">
        <f>SUM($E$66:$E$80)</f>
        <v>986.02704082525827</v>
      </c>
    </row>
    <row r="102" spans="1:3" hidden="1">
      <c r="A102" s="257" t="s">
        <v>60</v>
      </c>
      <c r="B102" s="278" t="s">
        <v>35</v>
      </c>
      <c r="C102" s="279">
        <f>SUM(C98:C101)</f>
        <v>45746.027040825262</v>
      </c>
    </row>
    <row r="103" spans="1:3" hidden="1">
      <c r="A103" s="257" t="s">
        <v>4</v>
      </c>
      <c r="B103" s="278" t="s">
        <v>35</v>
      </c>
      <c r="C103" s="279">
        <f>$C$88</f>
        <v>56760</v>
      </c>
    </row>
    <row r="104" spans="1:3" ht="14.65" hidden="1" thickBot="1">
      <c r="A104" s="301" t="s">
        <v>61</v>
      </c>
      <c r="B104" s="277" t="s">
        <v>24</v>
      </c>
      <c r="C104" s="303">
        <f>C102/C103</f>
        <v>0.80595537422172769</v>
      </c>
    </row>
    <row r="105" spans="1:3" hidden="1">
      <c r="A105" s="83"/>
      <c r="B105" s="77"/>
      <c r="C105" s="96"/>
    </row>
    <row r="106" spans="1:3" ht="14.65" thickBot="1">
      <c r="A106" s="79" t="s">
        <v>278</v>
      </c>
      <c r="B106" s="79"/>
      <c r="C106" s="79"/>
    </row>
    <row r="107" spans="1:3" ht="14.65" thickBot="1">
      <c r="A107" s="103" t="s">
        <v>90</v>
      </c>
      <c r="B107" s="102" t="s">
        <v>18</v>
      </c>
      <c r="C107" s="17" t="s">
        <v>91</v>
      </c>
    </row>
    <row r="108" spans="1:3">
      <c r="A108" s="272" t="s">
        <v>301</v>
      </c>
      <c r="B108" s="298" t="s">
        <v>35</v>
      </c>
      <c r="C108" s="294">
        <f>$C$22</f>
        <v>12000</v>
      </c>
    </row>
    <row r="109" spans="1:3">
      <c r="A109" s="257" t="s">
        <v>329</v>
      </c>
      <c r="B109" s="278" t="s">
        <v>35</v>
      </c>
      <c r="C109" s="295">
        <f>C25</f>
        <v>1727.9999999999998</v>
      </c>
    </row>
    <row r="110" spans="1:3">
      <c r="A110" s="257" t="s">
        <v>428</v>
      </c>
      <c r="B110" s="278" t="s">
        <v>35</v>
      </c>
      <c r="C110" s="295">
        <f>C31</f>
        <v>9024</v>
      </c>
    </row>
    <row r="111" spans="1:3">
      <c r="A111" s="257" t="s">
        <v>336</v>
      </c>
      <c r="B111" s="278" t="s">
        <v>35</v>
      </c>
      <c r="C111" s="279">
        <f>C108+C109+C110</f>
        <v>22752</v>
      </c>
    </row>
    <row r="112" spans="1:3">
      <c r="A112" s="257" t="s">
        <v>4</v>
      </c>
      <c r="B112" s="278" t="s">
        <v>35</v>
      </c>
      <c r="C112" s="279">
        <f>C88</f>
        <v>56760</v>
      </c>
    </row>
    <row r="113" spans="1:12">
      <c r="A113" s="299" t="s">
        <v>64</v>
      </c>
      <c r="B113" s="260" t="s">
        <v>24</v>
      </c>
      <c r="C113" s="300">
        <f>C111/C112</f>
        <v>0.40084566596194504</v>
      </c>
    </row>
    <row r="114" spans="1:12">
      <c r="A114" s="257" t="s">
        <v>366</v>
      </c>
      <c r="B114" s="278" t="s">
        <v>35</v>
      </c>
      <c r="C114" s="279">
        <f>C24</f>
        <v>34008</v>
      </c>
    </row>
    <row r="115" spans="1:12">
      <c r="A115" s="257" t="s">
        <v>333</v>
      </c>
      <c r="B115" s="278" t="s">
        <v>35</v>
      </c>
      <c r="C115" s="279">
        <f>C114</f>
        <v>34008</v>
      </c>
    </row>
    <row r="116" spans="1:12">
      <c r="A116" s="257" t="s">
        <v>4</v>
      </c>
      <c r="B116" s="278" t="s">
        <v>35</v>
      </c>
      <c r="C116" s="279">
        <f>$C$88</f>
        <v>56760</v>
      </c>
    </row>
    <row r="117" spans="1:12" ht="14.65" thickBot="1">
      <c r="A117" s="301" t="s">
        <v>66</v>
      </c>
      <c r="B117" s="277" t="s">
        <v>24</v>
      </c>
      <c r="C117" s="303">
        <f>C115/C116</f>
        <v>0.59915433403805496</v>
      </c>
    </row>
    <row r="118" spans="1:12">
      <c r="A118" s="83"/>
      <c r="B118" s="77"/>
      <c r="C118" s="96"/>
    </row>
    <row r="119" spans="1:12" ht="14.65" thickBot="1">
      <c r="A119" s="79" t="s">
        <v>92</v>
      </c>
    </row>
    <row r="120" spans="1:12" ht="14.65" thickBot="1">
      <c r="A120" s="419"/>
      <c r="B120" s="1062" t="s">
        <v>262</v>
      </c>
      <c r="C120" s="1063"/>
      <c r="D120" s="1063"/>
      <c r="E120" s="1063"/>
      <c r="F120" s="1064"/>
      <c r="G120" s="1062" t="s">
        <v>263</v>
      </c>
      <c r="H120" s="1063"/>
      <c r="I120" s="1063"/>
      <c r="J120" s="1063"/>
      <c r="K120" s="1063"/>
      <c r="L120" s="1066"/>
    </row>
    <row r="121" spans="1:12">
      <c r="A121" s="452"/>
      <c r="B121" s="1024" t="s">
        <v>270</v>
      </c>
      <c r="C121" s="1041" t="s">
        <v>243</v>
      </c>
      <c r="D121" s="1041" t="s">
        <v>256</v>
      </c>
      <c r="E121" s="1041" t="s">
        <v>336</v>
      </c>
      <c r="F121" s="1083" t="s">
        <v>266</v>
      </c>
      <c r="G121" s="1022" t="s">
        <v>269</v>
      </c>
      <c r="H121" s="1023"/>
      <c r="I121" s="1085" t="s">
        <v>267</v>
      </c>
      <c r="J121" s="1032"/>
      <c r="K121" s="1032"/>
      <c r="L121" s="1023"/>
    </row>
    <row r="122" spans="1:12">
      <c r="A122" s="219" t="s">
        <v>93</v>
      </c>
      <c r="B122" s="1067"/>
      <c r="C122" s="1042"/>
      <c r="D122" s="1042"/>
      <c r="E122" s="1042"/>
      <c r="F122" s="1084"/>
      <c r="G122" s="1033"/>
      <c r="H122" s="1035"/>
      <c r="I122" s="1086" t="s">
        <v>243</v>
      </c>
      <c r="J122" s="1034"/>
      <c r="K122" s="1034" t="s">
        <v>256</v>
      </c>
      <c r="L122" s="1035"/>
    </row>
    <row r="123" spans="1:12" ht="14.65" thickBot="1">
      <c r="A123" s="220" t="s">
        <v>18</v>
      </c>
      <c r="B123" s="403" t="s">
        <v>35</v>
      </c>
      <c r="C123" s="154" t="s">
        <v>35</v>
      </c>
      <c r="D123" s="154" t="s">
        <v>35</v>
      </c>
      <c r="E123" s="154" t="s">
        <v>35</v>
      </c>
      <c r="F123" s="423" t="s">
        <v>35</v>
      </c>
      <c r="G123" s="403" t="s">
        <v>257</v>
      </c>
      <c r="H123" s="155" t="s">
        <v>237</v>
      </c>
      <c r="I123" s="153" t="s">
        <v>70</v>
      </c>
      <c r="J123" s="154" t="s">
        <v>237</v>
      </c>
      <c r="K123" s="154" t="s">
        <v>70</v>
      </c>
      <c r="L123" s="155" t="s">
        <v>237</v>
      </c>
    </row>
    <row r="124" spans="1:12">
      <c r="A124" s="148" t="s">
        <v>72</v>
      </c>
      <c r="B124" s="540">
        <f t="shared" ref="B124:D126" si="3">D66</f>
        <v>468.024</v>
      </c>
      <c r="C124" s="428">
        <f t="shared" si="3"/>
        <v>165.98976432954106</v>
      </c>
      <c r="D124" s="428">
        <f t="shared" si="3"/>
        <v>302.034235670459</v>
      </c>
      <c r="E124" s="428">
        <f>$C$111</f>
        <v>22752</v>
      </c>
      <c r="F124" s="545">
        <f>$C$88</f>
        <v>56760</v>
      </c>
      <c r="G124" s="548">
        <f t="shared" ref="G124:G144" si="4">B124/E124*1000000</f>
        <v>20570.675105485232</v>
      </c>
      <c r="H124" s="433">
        <f>G124/1000000</f>
        <v>2.0570675105485232E-2</v>
      </c>
      <c r="I124" s="551">
        <f t="shared" ref="I124:I144" si="5">C124/F124*1000000</f>
        <v>2924.4144525993843</v>
      </c>
      <c r="J124" s="432">
        <f>I124/1000000</f>
        <v>2.9244144525993844E-3</v>
      </c>
      <c r="K124" s="431">
        <f t="shared" ref="K124:K144" si="6">D124/F124*1000000</f>
        <v>5321.2515093456477</v>
      </c>
      <c r="L124" s="433">
        <f>K124/1000000</f>
        <v>5.3212515093456481E-3</v>
      </c>
    </row>
    <row r="125" spans="1:12">
      <c r="A125" s="149" t="s">
        <v>73</v>
      </c>
      <c r="B125" s="541">
        <f t="shared" si="3"/>
        <v>0.34320000000000001</v>
      </c>
      <c r="C125" s="235">
        <f t="shared" si="3"/>
        <v>0.17314080232283449</v>
      </c>
      <c r="D125" s="235">
        <f t="shared" si="3"/>
        <v>0.17005919767716551</v>
      </c>
      <c r="E125" s="235">
        <f t="shared" ref="E125:E144" si="7">$C$111</f>
        <v>22752</v>
      </c>
      <c r="F125" s="546">
        <f t="shared" ref="F125:F144" si="8">$C$88</f>
        <v>56760</v>
      </c>
      <c r="G125" s="549">
        <f t="shared" si="4"/>
        <v>15.084388185654008</v>
      </c>
      <c r="H125" s="434">
        <f t="shared" ref="H125:H144" si="9">G125/1000000</f>
        <v>1.5084388185654009E-5</v>
      </c>
      <c r="I125" s="552">
        <f t="shared" si="5"/>
        <v>3.0504017322557173</v>
      </c>
      <c r="J125" s="427">
        <f t="shared" ref="J125:J144" si="10">I125/1000000</f>
        <v>3.0504017322557171E-6</v>
      </c>
      <c r="K125" s="426">
        <f t="shared" si="6"/>
        <v>2.99610989565126</v>
      </c>
      <c r="L125" s="434">
        <f t="shared" ref="L125:L144" si="11">K125/1000000</f>
        <v>2.9961098956512599E-6</v>
      </c>
    </row>
    <row r="126" spans="1:12">
      <c r="A126" s="149" t="s">
        <v>74</v>
      </c>
      <c r="B126" s="541">
        <f t="shared" si="3"/>
        <v>1908</v>
      </c>
      <c r="C126" s="235">
        <f t="shared" si="3"/>
        <v>450.27935403260932</v>
      </c>
      <c r="D126" s="235">
        <f t="shared" si="3"/>
        <v>1457.7206459673907</v>
      </c>
      <c r="E126" s="235">
        <f t="shared" si="7"/>
        <v>22752</v>
      </c>
      <c r="F126" s="546">
        <f t="shared" si="8"/>
        <v>56760</v>
      </c>
      <c r="G126" s="549">
        <f t="shared" si="4"/>
        <v>83860.759493670892</v>
      </c>
      <c r="H126" s="434">
        <f t="shared" si="9"/>
        <v>8.3860759493670889E-2</v>
      </c>
      <c r="I126" s="552">
        <f t="shared" si="5"/>
        <v>7933.0400639994587</v>
      </c>
      <c r="J126" s="427">
        <f t="shared" si="10"/>
        <v>7.9330400639994591E-3</v>
      </c>
      <c r="K126" s="426">
        <f t="shared" si="6"/>
        <v>25682.181923315551</v>
      </c>
      <c r="L126" s="434">
        <f t="shared" si="11"/>
        <v>2.5682181923315551E-2</v>
      </c>
    </row>
    <row r="127" spans="1:12">
      <c r="A127" s="149" t="s">
        <v>354</v>
      </c>
      <c r="B127" s="541">
        <f t="shared" ref="B127:B135" si="12">D69</f>
        <v>4.2000000000000003E-2</v>
      </c>
      <c r="C127" s="235" t="s">
        <v>89</v>
      </c>
      <c r="D127" s="235" t="s">
        <v>89</v>
      </c>
      <c r="E127" s="235">
        <f t="shared" si="7"/>
        <v>22752</v>
      </c>
      <c r="F127" s="546">
        <f t="shared" si="8"/>
        <v>56760</v>
      </c>
      <c r="G127" s="549">
        <f t="shared" si="4"/>
        <v>1.8459915611814346</v>
      </c>
      <c r="H127" s="434">
        <f t="shared" si="9"/>
        <v>1.8459915611814346E-6</v>
      </c>
      <c r="I127" s="552" t="s">
        <v>89</v>
      </c>
      <c r="J127" s="427" t="s">
        <v>89</v>
      </c>
      <c r="K127" s="426" t="s">
        <v>89</v>
      </c>
      <c r="L127" s="434" t="s">
        <v>89</v>
      </c>
    </row>
    <row r="128" spans="1:12">
      <c r="A128" s="149" t="s">
        <v>76</v>
      </c>
      <c r="B128" s="541">
        <f t="shared" si="12"/>
        <v>1.6319999999999999</v>
      </c>
      <c r="C128" s="235">
        <f t="shared" ref="C128:D134" si="13">E70</f>
        <v>0.26464265446041685</v>
      </c>
      <c r="D128" s="235">
        <f t="shared" si="13"/>
        <v>1.3673573455395831</v>
      </c>
      <c r="E128" s="235">
        <f t="shared" si="7"/>
        <v>22752</v>
      </c>
      <c r="F128" s="546">
        <f t="shared" si="8"/>
        <v>56760</v>
      </c>
      <c r="G128" s="549">
        <f t="shared" si="4"/>
        <v>71.729957805907162</v>
      </c>
      <c r="H128" s="434">
        <f t="shared" si="9"/>
        <v>7.1729957805907168E-5</v>
      </c>
      <c r="I128" s="552">
        <f t="shared" si="5"/>
        <v>4.6624851032490637</v>
      </c>
      <c r="J128" s="427">
        <f t="shared" si="10"/>
        <v>4.6624851032490638E-6</v>
      </c>
      <c r="K128" s="426">
        <f t="shared" si="6"/>
        <v>24.090157602882012</v>
      </c>
      <c r="L128" s="434">
        <f t="shared" si="11"/>
        <v>2.4090157602882013E-5</v>
      </c>
    </row>
    <row r="129" spans="1:12">
      <c r="A129" s="150" t="s">
        <v>77</v>
      </c>
      <c r="B129" s="541">
        <f t="shared" si="12"/>
        <v>7.8719999999999999</v>
      </c>
      <c r="C129" s="235">
        <f t="shared" si="13"/>
        <v>1.9488449114376936</v>
      </c>
      <c r="D129" s="235">
        <f t="shared" si="13"/>
        <v>5.9231550885623054</v>
      </c>
      <c r="E129" s="235">
        <f t="shared" si="7"/>
        <v>22752</v>
      </c>
      <c r="F129" s="546">
        <f t="shared" si="8"/>
        <v>56760</v>
      </c>
      <c r="G129" s="549">
        <f t="shared" si="4"/>
        <v>345.99156118143458</v>
      </c>
      <c r="H129" s="434">
        <f t="shared" si="9"/>
        <v>3.4599156118143458E-4</v>
      </c>
      <c r="I129" s="552">
        <f t="shared" si="5"/>
        <v>34.334829306513278</v>
      </c>
      <c r="J129" s="427">
        <f t="shared" si="10"/>
        <v>3.433482930651328E-5</v>
      </c>
      <c r="K129" s="426">
        <f t="shared" si="6"/>
        <v>104.35438845247189</v>
      </c>
      <c r="L129" s="434">
        <f t="shared" si="11"/>
        <v>1.043543884524719E-4</v>
      </c>
    </row>
    <row r="130" spans="1:12">
      <c r="A130" s="150" t="s">
        <v>78</v>
      </c>
      <c r="B130" s="541">
        <f t="shared" si="12"/>
        <v>1050.924</v>
      </c>
      <c r="C130" s="235">
        <f t="shared" si="13"/>
        <v>219.71852357742503</v>
      </c>
      <c r="D130" s="235">
        <f t="shared" si="13"/>
        <v>831.20547642257486</v>
      </c>
      <c r="E130" s="235">
        <f t="shared" si="7"/>
        <v>22752</v>
      </c>
      <c r="F130" s="546">
        <f t="shared" si="8"/>
        <v>56760</v>
      </c>
      <c r="G130" s="549">
        <f t="shared" si="4"/>
        <v>46190.400843881856</v>
      </c>
      <c r="H130" s="434">
        <f t="shared" si="9"/>
        <v>4.619040084388186E-2</v>
      </c>
      <c r="I130" s="552">
        <f t="shared" si="5"/>
        <v>3871.0099291301099</v>
      </c>
      <c r="J130" s="427">
        <f t="shared" si="10"/>
        <v>3.87100992913011E-3</v>
      </c>
      <c r="K130" s="426">
        <f t="shared" si="6"/>
        <v>14644.212058184898</v>
      </c>
      <c r="L130" s="434">
        <f t="shared" si="11"/>
        <v>1.4644212058184898E-2</v>
      </c>
    </row>
    <row r="131" spans="1:12">
      <c r="A131" s="150" t="s">
        <v>79</v>
      </c>
      <c r="B131" s="541">
        <f t="shared" si="12"/>
        <v>98.76</v>
      </c>
      <c r="C131" s="235">
        <f t="shared" si="13"/>
        <v>35.864099256710965</v>
      </c>
      <c r="D131" s="235">
        <f t="shared" si="13"/>
        <v>62.89590074328904</v>
      </c>
      <c r="E131" s="235">
        <f t="shared" si="7"/>
        <v>22752</v>
      </c>
      <c r="F131" s="546">
        <f t="shared" si="8"/>
        <v>56760</v>
      </c>
      <c r="G131" s="549">
        <f t="shared" si="4"/>
        <v>4340.7172995780593</v>
      </c>
      <c r="H131" s="434">
        <f t="shared" si="9"/>
        <v>4.3407172995780594E-3</v>
      </c>
      <c r="I131" s="552">
        <f t="shared" si="5"/>
        <v>631.85516660872031</v>
      </c>
      <c r="J131" s="427">
        <f t="shared" si="10"/>
        <v>6.3185516660872027E-4</v>
      </c>
      <c r="K131" s="426">
        <f t="shared" si="6"/>
        <v>1108.1025500931826</v>
      </c>
      <c r="L131" s="434">
        <f t="shared" si="11"/>
        <v>1.1081025500931825E-3</v>
      </c>
    </row>
    <row r="132" spans="1:12">
      <c r="A132" s="150" t="s">
        <v>80</v>
      </c>
      <c r="B132" s="541">
        <f t="shared" si="12"/>
        <v>154.80000000000001</v>
      </c>
      <c r="C132" s="235">
        <f t="shared" si="13"/>
        <v>66.734565408625116</v>
      </c>
      <c r="D132" s="235">
        <f t="shared" si="13"/>
        <v>88.065434591374881</v>
      </c>
      <c r="E132" s="235">
        <f t="shared" si="7"/>
        <v>22752</v>
      </c>
      <c r="F132" s="546">
        <f t="shared" si="8"/>
        <v>56760</v>
      </c>
      <c r="G132" s="549">
        <f t="shared" si="4"/>
        <v>6803.7974683544307</v>
      </c>
      <c r="H132" s="434">
        <f t="shared" si="9"/>
        <v>6.8037974683544311E-3</v>
      </c>
      <c r="I132" s="552">
        <f t="shared" si="5"/>
        <v>1175.7323010680957</v>
      </c>
      <c r="J132" s="427">
        <f t="shared" si="10"/>
        <v>1.1757323010680957E-3</v>
      </c>
      <c r="K132" s="426">
        <f t="shared" si="6"/>
        <v>1551.5404262046313</v>
      </c>
      <c r="L132" s="434">
        <f t="shared" si="11"/>
        <v>1.5515404262046314E-3</v>
      </c>
    </row>
    <row r="133" spans="1:12">
      <c r="A133" s="150" t="s">
        <v>81</v>
      </c>
      <c r="B133" s="541">
        <f t="shared" si="12"/>
        <v>97.2</v>
      </c>
      <c r="C133" s="235">
        <f t="shared" si="13"/>
        <v>37.24435889358238</v>
      </c>
      <c r="D133" s="235">
        <f t="shared" si="13"/>
        <v>59.955641106417616</v>
      </c>
      <c r="E133" s="235">
        <f t="shared" si="7"/>
        <v>22752</v>
      </c>
      <c r="F133" s="546">
        <f t="shared" si="8"/>
        <v>56760</v>
      </c>
      <c r="G133" s="549">
        <f t="shared" si="4"/>
        <v>4272.1518987341778</v>
      </c>
      <c r="H133" s="434">
        <f t="shared" si="9"/>
        <v>4.2721518987341774E-3</v>
      </c>
      <c r="I133" s="552">
        <f t="shared" si="5"/>
        <v>656.17263730765296</v>
      </c>
      <c r="J133" s="427">
        <f t="shared" si="10"/>
        <v>6.5617263730765295E-4</v>
      </c>
      <c r="K133" s="426">
        <f t="shared" si="6"/>
        <v>1056.3009356310363</v>
      </c>
      <c r="L133" s="434">
        <f t="shared" si="11"/>
        <v>1.0563009356310362E-3</v>
      </c>
    </row>
    <row r="134" spans="1:12">
      <c r="A134" s="150" t="s">
        <v>82</v>
      </c>
      <c r="B134" s="541">
        <f t="shared" si="12"/>
        <v>1.5</v>
      </c>
      <c r="C134" s="235">
        <f t="shared" si="13"/>
        <v>0.46087752978682439</v>
      </c>
      <c r="D134" s="235">
        <f t="shared" si="13"/>
        <v>1.0391224702131756</v>
      </c>
      <c r="E134" s="235">
        <f t="shared" si="7"/>
        <v>22752</v>
      </c>
      <c r="F134" s="546">
        <f t="shared" si="8"/>
        <v>56760</v>
      </c>
      <c r="G134" s="549">
        <f t="shared" si="4"/>
        <v>65.928270042194086</v>
      </c>
      <c r="H134" s="434">
        <f t="shared" si="9"/>
        <v>6.5928270042194087E-5</v>
      </c>
      <c r="I134" s="552">
        <f t="shared" si="5"/>
        <v>8.1197591576255181</v>
      </c>
      <c r="J134" s="427">
        <f t="shared" si="10"/>
        <v>8.1197591576255174E-6</v>
      </c>
      <c r="K134" s="426">
        <f t="shared" si="6"/>
        <v>18.307302153156723</v>
      </c>
      <c r="L134" s="434">
        <f t="shared" si="11"/>
        <v>1.8307302153156722E-5</v>
      </c>
    </row>
    <row r="135" spans="1:12">
      <c r="A135" s="150" t="s">
        <v>213</v>
      </c>
      <c r="B135" s="541">
        <f t="shared" si="12"/>
        <v>979.41600000000005</v>
      </c>
      <c r="C135" s="235" t="s">
        <v>89</v>
      </c>
      <c r="D135" s="235" t="s">
        <v>89</v>
      </c>
      <c r="E135" s="235">
        <f t="shared" si="7"/>
        <v>22752</v>
      </c>
      <c r="F135" s="546">
        <f t="shared" si="8"/>
        <v>56760</v>
      </c>
      <c r="G135" s="549">
        <f t="shared" si="4"/>
        <v>43047.468354430377</v>
      </c>
      <c r="H135" s="434">
        <f t="shared" si="9"/>
        <v>4.3047468354430379E-2</v>
      </c>
      <c r="I135" s="552" t="s">
        <v>89</v>
      </c>
      <c r="J135" s="426" t="s">
        <v>89</v>
      </c>
      <c r="K135" s="426" t="s">
        <v>89</v>
      </c>
      <c r="L135" s="544" t="s">
        <v>89</v>
      </c>
    </row>
    <row r="136" spans="1:12">
      <c r="A136" s="150" t="s">
        <v>96</v>
      </c>
      <c r="B136" s="541">
        <f>$C$31*31/98</f>
        <v>2854.5306122448978</v>
      </c>
      <c r="C136" s="235">
        <f>B136</f>
        <v>2854.5306122448978</v>
      </c>
      <c r="D136" s="235">
        <v>0</v>
      </c>
      <c r="E136" s="235">
        <f t="shared" si="7"/>
        <v>22752</v>
      </c>
      <c r="F136" s="546">
        <f t="shared" si="8"/>
        <v>56760</v>
      </c>
      <c r="G136" s="549">
        <f t="shared" si="4"/>
        <v>125462.84336519417</v>
      </c>
      <c r="H136" s="434">
        <f t="shared" si="9"/>
        <v>0.12546284336519417</v>
      </c>
      <c r="I136" s="552">
        <f t="shared" si="5"/>
        <v>50291.237002200454</v>
      </c>
      <c r="J136" s="427">
        <f t="shared" si="10"/>
        <v>5.0291237002200458E-2</v>
      </c>
      <c r="K136" s="426">
        <f t="shared" si="6"/>
        <v>0</v>
      </c>
      <c r="L136" s="434">
        <f t="shared" si="11"/>
        <v>0</v>
      </c>
    </row>
    <row r="137" spans="1:12">
      <c r="A137" s="150" t="s">
        <v>97</v>
      </c>
      <c r="B137" s="541">
        <f>B135+B136</f>
        <v>3833.946612244898</v>
      </c>
      <c r="C137" s="235" t="s">
        <v>89</v>
      </c>
      <c r="D137" s="235" t="s">
        <v>89</v>
      </c>
      <c r="E137" s="235">
        <f t="shared" si="7"/>
        <v>22752</v>
      </c>
      <c r="F137" s="546">
        <f t="shared" si="8"/>
        <v>56760</v>
      </c>
      <c r="G137" s="549">
        <f t="shared" si="4"/>
        <v>168510.31171962456</v>
      </c>
      <c r="H137" s="434">
        <f t="shared" si="9"/>
        <v>0.16851031171962455</v>
      </c>
      <c r="I137" s="552" t="s">
        <v>89</v>
      </c>
      <c r="J137" s="426" t="s">
        <v>89</v>
      </c>
      <c r="K137" s="426" t="s">
        <v>89</v>
      </c>
      <c r="L137" s="544" t="s">
        <v>89</v>
      </c>
    </row>
    <row r="138" spans="1:12">
      <c r="A138" s="151" t="s">
        <v>84</v>
      </c>
      <c r="B138" s="541">
        <f>D78</f>
        <v>1.488</v>
      </c>
      <c r="C138" s="235">
        <f>E78</f>
        <v>9.1801009653789414E-2</v>
      </c>
      <c r="D138" s="235">
        <f>F78</f>
        <v>1.3961989903462106</v>
      </c>
      <c r="E138" s="235">
        <f t="shared" si="7"/>
        <v>22752</v>
      </c>
      <c r="F138" s="546">
        <f t="shared" si="8"/>
        <v>56760</v>
      </c>
      <c r="G138" s="549">
        <f t="shared" si="4"/>
        <v>65.400843881856545</v>
      </c>
      <c r="H138" s="434">
        <f t="shared" si="9"/>
        <v>6.5400843881856542E-5</v>
      </c>
      <c r="I138" s="552">
        <f>C138/F138*1000000</f>
        <v>1.6173539403416035</v>
      </c>
      <c r="J138" s="427">
        <f>I138/1000000</f>
        <v>1.6173539403416035E-6</v>
      </c>
      <c r="K138" s="426">
        <f t="shared" si="6"/>
        <v>24.59829087995438</v>
      </c>
      <c r="L138" s="434">
        <f t="shared" si="11"/>
        <v>2.4598290879954381E-5</v>
      </c>
    </row>
    <row r="139" spans="1:12">
      <c r="A139" s="151" t="s">
        <v>249</v>
      </c>
      <c r="B139" s="541">
        <f>D79</f>
        <v>226.8</v>
      </c>
      <c r="C139" s="235">
        <v>0</v>
      </c>
      <c r="D139" s="235">
        <f>D79</f>
        <v>226.8</v>
      </c>
      <c r="E139" s="235">
        <f t="shared" si="7"/>
        <v>22752</v>
      </c>
      <c r="F139" s="546">
        <f t="shared" si="8"/>
        <v>56760</v>
      </c>
      <c r="G139" s="549">
        <f t="shared" si="4"/>
        <v>9968.354430379748</v>
      </c>
      <c r="H139" s="434">
        <f t="shared" si="9"/>
        <v>9.9683544303797479E-3</v>
      </c>
      <c r="I139" s="552">
        <f>C139/F139*1000000</f>
        <v>0</v>
      </c>
      <c r="J139" s="427">
        <f>I139/1000000</f>
        <v>0</v>
      </c>
      <c r="K139" s="426">
        <f t="shared" si="6"/>
        <v>3995.771670190275</v>
      </c>
      <c r="L139" s="434">
        <f t="shared" si="11"/>
        <v>3.9957716701902752E-3</v>
      </c>
    </row>
    <row r="140" spans="1:12">
      <c r="A140" s="151" t="s">
        <v>250</v>
      </c>
      <c r="B140" s="541">
        <f>C25*32/98</f>
        <v>564.24489795918362</v>
      </c>
      <c r="C140" s="235">
        <v>0</v>
      </c>
      <c r="D140" s="235">
        <f>B140</f>
        <v>564.24489795918362</v>
      </c>
      <c r="E140" s="235">
        <f t="shared" si="7"/>
        <v>22752</v>
      </c>
      <c r="F140" s="546">
        <f t="shared" si="8"/>
        <v>56760</v>
      </c>
      <c r="G140" s="549">
        <f t="shared" si="4"/>
        <v>24799.79333505554</v>
      </c>
      <c r="H140" s="434">
        <f t="shared" si="9"/>
        <v>2.4799793335055539E-2</v>
      </c>
      <c r="I140" s="552">
        <f t="shared" si="5"/>
        <v>0</v>
      </c>
      <c r="J140" s="427">
        <f t="shared" si="10"/>
        <v>0</v>
      </c>
      <c r="K140" s="426">
        <f t="shared" si="6"/>
        <v>9940.8896751089433</v>
      </c>
      <c r="L140" s="434">
        <f t="shared" si="11"/>
        <v>9.9408896751089441E-3</v>
      </c>
    </row>
    <row r="141" spans="1:12">
      <c r="A141" s="151" t="s">
        <v>251</v>
      </c>
      <c r="B141" s="541">
        <f>B139+B140</f>
        <v>791.04489795918357</v>
      </c>
      <c r="C141" s="235">
        <v>0</v>
      </c>
      <c r="D141" s="235">
        <f>D139+D140</f>
        <v>791.04489795918357</v>
      </c>
      <c r="E141" s="235">
        <f t="shared" si="7"/>
        <v>22752</v>
      </c>
      <c r="F141" s="546">
        <f t="shared" si="8"/>
        <v>56760</v>
      </c>
      <c r="G141" s="549">
        <f t="shared" si="4"/>
        <v>34768.147765435286</v>
      </c>
      <c r="H141" s="434">
        <f t="shared" si="9"/>
        <v>3.4768147765435284E-2</v>
      </c>
      <c r="I141" s="552">
        <f t="shared" si="5"/>
        <v>0</v>
      </c>
      <c r="J141" s="427">
        <f t="shared" si="10"/>
        <v>0</v>
      </c>
      <c r="K141" s="426">
        <f t="shared" si="6"/>
        <v>13936.661345299217</v>
      </c>
      <c r="L141" s="434">
        <f t="shared" si="11"/>
        <v>1.3936661345299218E-2</v>
      </c>
    </row>
    <row r="142" spans="1:12">
      <c r="A142" s="151" t="s">
        <v>238</v>
      </c>
      <c r="B142" s="541">
        <f>B141/32*96</f>
        <v>2373.1346938775505</v>
      </c>
      <c r="C142" s="235">
        <v>0</v>
      </c>
      <c r="D142" s="235">
        <f>D141/32*96</f>
        <v>2373.1346938775505</v>
      </c>
      <c r="E142" s="235">
        <f t="shared" si="7"/>
        <v>22752</v>
      </c>
      <c r="F142" s="546">
        <f t="shared" si="8"/>
        <v>56760</v>
      </c>
      <c r="G142" s="549">
        <f t="shared" si="4"/>
        <v>104304.44329630584</v>
      </c>
      <c r="H142" s="434">
        <f t="shared" si="9"/>
        <v>0.10430444329630584</v>
      </c>
      <c r="I142" s="552">
        <f t="shared" si="5"/>
        <v>0</v>
      </c>
      <c r="J142" s="427">
        <f t="shared" si="10"/>
        <v>0</v>
      </c>
      <c r="K142" s="426">
        <f t="shared" si="6"/>
        <v>41809.984035897651</v>
      </c>
      <c r="L142" s="434">
        <f t="shared" si="11"/>
        <v>4.1809984035897647E-2</v>
      </c>
    </row>
    <row r="143" spans="1:12">
      <c r="A143" s="151" t="s">
        <v>239</v>
      </c>
      <c r="B143" s="541">
        <f>B141/32*136</f>
        <v>3361.9408163265302</v>
      </c>
      <c r="C143" s="235">
        <v>0</v>
      </c>
      <c r="D143" s="235">
        <f>D141/32*136</f>
        <v>3361.9408163265302</v>
      </c>
      <c r="E143" s="235">
        <f t="shared" si="7"/>
        <v>22752</v>
      </c>
      <c r="F143" s="546">
        <f t="shared" si="8"/>
        <v>56760</v>
      </c>
      <c r="G143" s="549">
        <f t="shared" si="4"/>
        <v>147764.62800309993</v>
      </c>
      <c r="H143" s="434">
        <f t="shared" si="9"/>
        <v>0.14776462800309995</v>
      </c>
      <c r="I143" s="552">
        <f t="shared" si="5"/>
        <v>0</v>
      </c>
      <c r="J143" s="427">
        <f t="shared" si="10"/>
        <v>0</v>
      </c>
      <c r="K143" s="426">
        <f t="shared" si="6"/>
        <v>59230.810717521679</v>
      </c>
      <c r="L143" s="434">
        <f t="shared" si="11"/>
        <v>5.9230810717521676E-2</v>
      </c>
    </row>
    <row r="144" spans="1:12" ht="14.65" thickBot="1">
      <c r="A144" s="152" t="s">
        <v>86</v>
      </c>
      <c r="B144" s="542">
        <f>D80</f>
        <v>28.236000000000001</v>
      </c>
      <c r="C144" s="236">
        <f>E80</f>
        <v>7.2570684191029562</v>
      </c>
      <c r="D144" s="236">
        <f>F80</f>
        <v>20.978931580897044</v>
      </c>
      <c r="E144" s="236">
        <f t="shared" si="7"/>
        <v>22752</v>
      </c>
      <c r="F144" s="547">
        <f t="shared" si="8"/>
        <v>56760</v>
      </c>
      <c r="G144" s="550">
        <f t="shared" si="4"/>
        <v>1241.0337552742617</v>
      </c>
      <c r="H144" s="439">
        <f t="shared" si="9"/>
        <v>1.2410337552742616E-3</v>
      </c>
      <c r="I144" s="552">
        <f t="shared" si="5"/>
        <v>127.85532803211692</v>
      </c>
      <c r="J144" s="427">
        <f t="shared" si="10"/>
        <v>1.2785532803211692E-4</v>
      </c>
      <c r="K144" s="437">
        <f t="shared" si="6"/>
        <v>369.60767408204799</v>
      </c>
      <c r="L144" s="439">
        <f t="shared" si="11"/>
        <v>3.6960767408204798E-4</v>
      </c>
    </row>
    <row r="145" spans="1:3">
      <c r="A145" s="145"/>
      <c r="B145" s="146"/>
      <c r="C145" s="95"/>
    </row>
    <row r="146" spans="1:3">
      <c r="A146" s="1" t="s">
        <v>196</v>
      </c>
      <c r="B146" s="1"/>
      <c r="C146" s="1"/>
    </row>
    <row r="147" spans="1:3" ht="14.65" thickBot="1">
      <c r="A147" s="79" t="s">
        <v>365</v>
      </c>
    </row>
    <row r="148" spans="1:3" ht="14.65" thickBot="1">
      <c r="A148" s="453" t="s">
        <v>26</v>
      </c>
      <c r="B148" s="454" t="s">
        <v>27</v>
      </c>
      <c r="C148" s="455" t="s">
        <v>355</v>
      </c>
    </row>
    <row r="149" spans="1:3" ht="14.65" thickBot="1">
      <c r="A149" s="456">
        <v>0.54110338189613694</v>
      </c>
      <c r="B149" s="457">
        <v>0.45889661810386317</v>
      </c>
      <c r="C149" s="458">
        <v>0.63600000000000001</v>
      </c>
    </row>
    <row r="151" spans="1:3" ht="14.65" thickBot="1">
      <c r="A151" s="79" t="s">
        <v>287</v>
      </c>
    </row>
    <row r="152" spans="1:3">
      <c r="A152" s="18" t="s">
        <v>53</v>
      </c>
      <c r="B152" s="104" t="s">
        <v>18</v>
      </c>
      <c r="C152" s="15" t="s">
        <v>106</v>
      </c>
    </row>
    <row r="153" spans="1:3" ht="14.65" thickBot="1">
      <c r="A153" s="93" t="s">
        <v>4</v>
      </c>
      <c r="B153" s="271" t="s">
        <v>35</v>
      </c>
      <c r="C153" s="384">
        <f>C88</f>
        <v>56760</v>
      </c>
    </row>
    <row r="154" spans="1:3" hidden="1">
      <c r="A154" s="83"/>
      <c r="B154" s="77"/>
      <c r="C154" s="95"/>
    </row>
    <row r="155" spans="1:3" hidden="1">
      <c r="A155" s="79" t="s">
        <v>56</v>
      </c>
      <c r="B155" s="79"/>
      <c r="C155" s="79"/>
    </row>
    <row r="156" spans="1:3" ht="14.65" hidden="1" thickBot="1">
      <c r="A156" s="103" t="s">
        <v>53</v>
      </c>
      <c r="B156" s="102" t="s">
        <v>18</v>
      </c>
      <c r="C156" s="17" t="s">
        <v>91</v>
      </c>
    </row>
    <row r="157" spans="1:3" hidden="1">
      <c r="A157" s="272" t="s">
        <v>55</v>
      </c>
      <c r="B157" s="298" t="s">
        <v>35</v>
      </c>
      <c r="C157" s="294">
        <f>$C$22</f>
        <v>12000</v>
      </c>
    </row>
    <row r="158" spans="1:3" hidden="1">
      <c r="A158" s="257" t="s">
        <v>87</v>
      </c>
      <c r="B158" s="278" t="s">
        <v>35</v>
      </c>
      <c r="C158" s="295">
        <f>SUM($E$66:$E$80)</f>
        <v>986.02704082525827</v>
      </c>
    </row>
    <row r="159" spans="1:3" hidden="1">
      <c r="A159" s="257" t="s">
        <v>57</v>
      </c>
      <c r="B159" s="278" t="s">
        <v>35</v>
      </c>
      <c r="C159" s="279">
        <f>C157-C158</f>
        <v>11013.972959174742</v>
      </c>
    </row>
    <row r="160" spans="1:3" hidden="1">
      <c r="A160" s="257" t="s">
        <v>4</v>
      </c>
      <c r="B160" s="278" t="s">
        <v>35</v>
      </c>
      <c r="C160" s="279">
        <f>$C$88</f>
        <v>56760</v>
      </c>
    </row>
    <row r="161" spans="1:3" hidden="1">
      <c r="A161" s="299" t="s">
        <v>59</v>
      </c>
      <c r="B161" s="260" t="s">
        <v>24</v>
      </c>
      <c r="C161" s="300">
        <f>C159/C160</f>
        <v>0.19404462577827242</v>
      </c>
    </row>
    <row r="162" spans="1:3" hidden="1">
      <c r="A162" s="257" t="s">
        <v>34</v>
      </c>
      <c r="B162" s="278" t="s">
        <v>35</v>
      </c>
      <c r="C162" s="279">
        <f>$C$24</f>
        <v>34008</v>
      </c>
    </row>
    <row r="163" spans="1:3" hidden="1">
      <c r="A163" s="257" t="s">
        <v>32</v>
      </c>
      <c r="B163" s="278" t="s">
        <v>35</v>
      </c>
      <c r="C163" s="295">
        <f>$C$25</f>
        <v>1727.9999999999998</v>
      </c>
    </row>
    <row r="164" spans="1:3" hidden="1">
      <c r="A164" s="257" t="s">
        <v>33</v>
      </c>
      <c r="B164" s="278" t="s">
        <v>35</v>
      </c>
      <c r="C164" s="295">
        <f>$C$31</f>
        <v>9024</v>
      </c>
    </row>
    <row r="165" spans="1:3" hidden="1">
      <c r="A165" s="257" t="s">
        <v>87</v>
      </c>
      <c r="B165" s="278" t="s">
        <v>35</v>
      </c>
      <c r="C165" s="295">
        <f>SUM($E$66:$E$80)</f>
        <v>986.02704082525827</v>
      </c>
    </row>
    <row r="166" spans="1:3" hidden="1">
      <c r="A166" s="257" t="s">
        <v>60</v>
      </c>
      <c r="B166" s="278" t="s">
        <v>35</v>
      </c>
      <c r="C166" s="279">
        <f>SUM(C162:C165)</f>
        <v>45746.027040825262</v>
      </c>
    </row>
    <row r="167" spans="1:3" hidden="1">
      <c r="A167" s="257" t="s">
        <v>4</v>
      </c>
      <c r="B167" s="278" t="s">
        <v>35</v>
      </c>
      <c r="C167" s="279">
        <f>$C$88</f>
        <v>56760</v>
      </c>
    </row>
    <row r="168" spans="1:3" ht="14.65" hidden="1" thickBot="1">
      <c r="A168" s="301" t="s">
        <v>61</v>
      </c>
      <c r="B168" s="277" t="s">
        <v>24</v>
      </c>
      <c r="C168" s="303">
        <f>C166/C167</f>
        <v>0.80595537422172769</v>
      </c>
    </row>
    <row r="169" spans="1:3" hidden="1"/>
    <row r="170" spans="1:3" hidden="1">
      <c r="A170" s="79" t="s">
        <v>47</v>
      </c>
      <c r="B170" s="79"/>
      <c r="C170" s="79"/>
    </row>
    <row r="171" spans="1:3" ht="14.65" hidden="1" thickBot="1">
      <c r="A171" s="103" t="s">
        <v>53</v>
      </c>
      <c r="B171" s="102" t="s">
        <v>18</v>
      </c>
      <c r="C171" s="17" t="s">
        <v>91</v>
      </c>
    </row>
    <row r="172" spans="1:3" hidden="1">
      <c r="A172" s="272" t="s">
        <v>55</v>
      </c>
      <c r="B172" s="298" t="s">
        <v>35</v>
      </c>
      <c r="C172" s="294">
        <f>$C$22</f>
        <v>12000</v>
      </c>
    </row>
    <row r="173" spans="1:3" hidden="1">
      <c r="A173" s="257" t="s">
        <v>32</v>
      </c>
      <c r="B173" s="278" t="s">
        <v>35</v>
      </c>
      <c r="C173" s="295">
        <f>$C$25</f>
        <v>1727.9999999999998</v>
      </c>
    </row>
    <row r="174" spans="1:3" hidden="1">
      <c r="A174" s="257" t="s">
        <v>33</v>
      </c>
      <c r="B174" s="278" t="s">
        <v>35</v>
      </c>
      <c r="C174" s="295">
        <f>$C$31</f>
        <v>9024</v>
      </c>
    </row>
    <row r="175" spans="1:3" hidden="1">
      <c r="A175" s="257" t="s">
        <v>430</v>
      </c>
      <c r="B175" s="278" t="s">
        <v>35</v>
      </c>
      <c r="C175" s="279">
        <f>C172+C173+C174</f>
        <v>22752</v>
      </c>
    </row>
    <row r="176" spans="1:3" hidden="1">
      <c r="A176" s="257" t="s">
        <v>4</v>
      </c>
      <c r="B176" s="278" t="s">
        <v>35</v>
      </c>
      <c r="C176" s="279">
        <f>$C$88</f>
        <v>56760</v>
      </c>
    </row>
    <row r="177" spans="1:3" hidden="1">
      <c r="A177" s="299" t="s">
        <v>64</v>
      </c>
      <c r="B177" s="260" t="s">
        <v>24</v>
      </c>
      <c r="C177" s="300">
        <f>C175/C176</f>
        <v>0.40084566596194504</v>
      </c>
    </row>
    <row r="178" spans="1:3" hidden="1">
      <c r="A178" s="257" t="s">
        <v>34</v>
      </c>
      <c r="B178" s="278" t="s">
        <v>35</v>
      </c>
      <c r="C178" s="279">
        <f>$C$24</f>
        <v>34008</v>
      </c>
    </row>
    <row r="179" spans="1:3" hidden="1">
      <c r="A179" s="257" t="s">
        <v>65</v>
      </c>
      <c r="B179" s="278" t="s">
        <v>35</v>
      </c>
      <c r="C179" s="279">
        <f>C178</f>
        <v>34008</v>
      </c>
    </row>
    <row r="180" spans="1:3" hidden="1">
      <c r="A180" s="257" t="s">
        <v>4</v>
      </c>
      <c r="B180" s="278" t="s">
        <v>35</v>
      </c>
      <c r="C180" s="279">
        <f>$C$88</f>
        <v>56760</v>
      </c>
    </row>
    <row r="181" spans="1:3" ht="14.65" hidden="1" thickBot="1">
      <c r="A181" s="301" t="s">
        <v>66</v>
      </c>
      <c r="B181" s="277" t="s">
        <v>24</v>
      </c>
      <c r="C181" s="303">
        <f>C179/C180</f>
        <v>0.59915433403805496</v>
      </c>
    </row>
    <row r="182" spans="1:3">
      <c r="A182" s="83"/>
      <c r="B182" s="77"/>
      <c r="C182" s="96"/>
    </row>
    <row r="183" spans="1:3" ht="14.65" thickBot="1">
      <c r="A183" s="79" t="s">
        <v>288</v>
      </c>
    </row>
    <row r="184" spans="1:3" ht="14.65" thickBot="1">
      <c r="A184" s="191" t="s">
        <v>90</v>
      </c>
      <c r="B184" s="192" t="s">
        <v>18</v>
      </c>
      <c r="C184" s="193" t="s">
        <v>91</v>
      </c>
    </row>
    <row r="185" spans="1:3">
      <c r="A185" s="272" t="s">
        <v>4</v>
      </c>
      <c r="B185" s="298" t="s">
        <v>35</v>
      </c>
      <c r="C185" s="313">
        <f>$C$88</f>
        <v>56760</v>
      </c>
    </row>
    <row r="186" spans="1:3">
      <c r="A186" s="257" t="s">
        <v>130</v>
      </c>
      <c r="B186" s="278" t="s">
        <v>24</v>
      </c>
      <c r="C186" s="314">
        <f>A149</f>
        <v>0.54110338189613694</v>
      </c>
    </row>
    <row r="187" spans="1:3">
      <c r="A187" s="253" t="s">
        <v>9</v>
      </c>
      <c r="B187" s="270" t="s">
        <v>35</v>
      </c>
      <c r="C187" s="254">
        <f>C185*C186</f>
        <v>30713.027956424732</v>
      </c>
    </row>
    <row r="188" spans="1:3">
      <c r="A188" s="257" t="s">
        <v>131</v>
      </c>
      <c r="B188" s="278" t="s">
        <v>24</v>
      </c>
      <c r="C188" s="314">
        <f>B149</f>
        <v>0.45889661810386317</v>
      </c>
    </row>
    <row r="189" spans="1:3">
      <c r="A189" s="253" t="s">
        <v>190</v>
      </c>
      <c r="B189" s="270" t="s">
        <v>35</v>
      </c>
      <c r="C189" s="322">
        <f>C185*C188</f>
        <v>26046.972043575275</v>
      </c>
    </row>
    <row r="190" spans="1:3">
      <c r="A190" s="281" t="s">
        <v>355</v>
      </c>
      <c r="B190" s="278" t="s">
        <v>24</v>
      </c>
      <c r="C190" s="318">
        <f>C149</f>
        <v>0.63600000000000001</v>
      </c>
    </row>
    <row r="191" spans="1:3">
      <c r="A191" s="281" t="s">
        <v>375</v>
      </c>
      <c r="B191" s="278" t="s">
        <v>35</v>
      </c>
      <c r="C191" s="289">
        <f>C189*C190</f>
        <v>16565.874219713874</v>
      </c>
    </row>
    <row r="192" spans="1:3">
      <c r="A192" s="281" t="s">
        <v>369</v>
      </c>
      <c r="B192" s="278" t="s">
        <v>24</v>
      </c>
      <c r="C192" s="318">
        <f>1-C190</f>
        <v>0.36399999999999999</v>
      </c>
    </row>
    <row r="193" spans="1:3" ht="14.65" thickBot="1">
      <c r="A193" s="319" t="s">
        <v>370</v>
      </c>
      <c r="B193" s="320" t="s">
        <v>35</v>
      </c>
      <c r="C193" s="321">
        <f>C189*C192</f>
        <v>9481.0978238614007</v>
      </c>
    </row>
    <row r="194" spans="1:3">
      <c r="A194" s="77"/>
      <c r="B194" s="77"/>
      <c r="C194" s="117"/>
    </row>
    <row r="195" spans="1:3" ht="14.65" thickBot="1">
      <c r="A195" s="79" t="s">
        <v>133</v>
      </c>
      <c r="B195" s="79"/>
      <c r="C195" s="79"/>
    </row>
    <row r="196" spans="1:3" ht="14.65" thickBot="1">
      <c r="A196" s="103" t="s">
        <v>90</v>
      </c>
      <c r="B196" s="102" t="s">
        <v>18</v>
      </c>
      <c r="C196" s="17" t="s">
        <v>106</v>
      </c>
    </row>
    <row r="197" spans="1:3">
      <c r="A197" s="276" t="s">
        <v>301</v>
      </c>
      <c r="B197" s="296" t="s">
        <v>35</v>
      </c>
      <c r="C197" s="297">
        <f>C22</f>
        <v>12000</v>
      </c>
    </row>
    <row r="198" spans="1:3">
      <c r="A198" s="257" t="s">
        <v>329</v>
      </c>
      <c r="B198" s="278" t="s">
        <v>35</v>
      </c>
      <c r="C198" s="295">
        <f>C25</f>
        <v>1727.9999999999998</v>
      </c>
    </row>
    <row r="199" spans="1:3">
      <c r="A199" s="257" t="s">
        <v>428</v>
      </c>
      <c r="B199" s="278" t="s">
        <v>35</v>
      </c>
      <c r="C199" s="295">
        <f>C31</f>
        <v>9024</v>
      </c>
    </row>
    <row r="200" spans="1:3">
      <c r="A200" s="281" t="s">
        <v>375</v>
      </c>
      <c r="B200" s="278" t="s">
        <v>35</v>
      </c>
      <c r="C200" s="289">
        <f>C191</f>
        <v>16565.874219713874</v>
      </c>
    </row>
    <row r="201" spans="1:3">
      <c r="A201" s="257" t="s">
        <v>341</v>
      </c>
      <c r="B201" s="278" t="s">
        <v>35</v>
      </c>
      <c r="C201" s="279">
        <f>C197+C198+C199-C200</f>
        <v>6186.1257802861255</v>
      </c>
    </row>
    <row r="202" spans="1:3">
      <c r="A202" s="257" t="s">
        <v>9</v>
      </c>
      <c r="B202" s="278" t="s">
        <v>35</v>
      </c>
      <c r="C202" s="279">
        <f>C187</f>
        <v>30713.027956424732</v>
      </c>
    </row>
    <row r="203" spans="1:3">
      <c r="A203" s="299" t="s">
        <v>64</v>
      </c>
      <c r="B203" s="260" t="s">
        <v>24</v>
      </c>
      <c r="C203" s="300">
        <f>C201/C202</f>
        <v>0.20141699441236874</v>
      </c>
    </row>
    <row r="204" spans="1:3">
      <c r="A204" s="257" t="s">
        <v>366</v>
      </c>
      <c r="B204" s="278" t="s">
        <v>35</v>
      </c>
      <c r="C204" s="279">
        <f>C24</f>
        <v>34008</v>
      </c>
    </row>
    <row r="205" spans="1:3">
      <c r="A205" s="281" t="s">
        <v>370</v>
      </c>
      <c r="B205" s="278" t="s">
        <v>35</v>
      </c>
      <c r="C205" s="289">
        <f>C193</f>
        <v>9481.0978238614007</v>
      </c>
    </row>
    <row r="206" spans="1:3">
      <c r="A206" s="257" t="s">
        <v>342</v>
      </c>
      <c r="B206" s="278" t="s">
        <v>35</v>
      </c>
      <c r="C206" s="279">
        <f>C204-C205</f>
        <v>24526.902176138599</v>
      </c>
    </row>
    <row r="207" spans="1:3">
      <c r="A207" s="257" t="s">
        <v>9</v>
      </c>
      <c r="B207" s="278" t="s">
        <v>35</v>
      </c>
      <c r="C207" s="279">
        <f>C187</f>
        <v>30713.027956424732</v>
      </c>
    </row>
    <row r="208" spans="1:3" ht="14.65" thickBot="1">
      <c r="A208" s="301" t="s">
        <v>66</v>
      </c>
      <c r="B208" s="277" t="s">
        <v>24</v>
      </c>
      <c r="C208" s="303">
        <f>C206/C207</f>
        <v>0.79858300558763096</v>
      </c>
    </row>
    <row r="209" spans="1:8">
      <c r="A209" s="77"/>
      <c r="B209" s="77"/>
      <c r="C209" s="117"/>
    </row>
    <row r="210" spans="1:8" ht="14.65" thickBot="1">
      <c r="A210" s="79" t="s">
        <v>135</v>
      </c>
    </row>
    <row r="211" spans="1:8" ht="14.65" thickBot="1">
      <c r="A211" s="419"/>
      <c r="B211" s="1028" t="s">
        <v>262</v>
      </c>
      <c r="C211" s="1029"/>
      <c r="D211" s="1031"/>
      <c r="E211" s="1036" t="s">
        <v>263</v>
      </c>
      <c r="F211" s="1037"/>
      <c r="G211" s="1037"/>
      <c r="H211" s="1038"/>
    </row>
    <row r="212" spans="1:8">
      <c r="A212" s="92" t="s">
        <v>93</v>
      </c>
      <c r="B212" s="377" t="s">
        <v>243</v>
      </c>
      <c r="C212" s="491" t="s">
        <v>341</v>
      </c>
      <c r="D212" s="492" t="s">
        <v>281</v>
      </c>
      <c r="E212" s="1039" t="s">
        <v>269</v>
      </c>
      <c r="F212" s="1040"/>
      <c r="G212" s="1022" t="s">
        <v>282</v>
      </c>
      <c r="H212" s="1023"/>
    </row>
    <row r="213" spans="1:8" ht="14.65" thickBot="1">
      <c r="A213" s="93" t="s">
        <v>18</v>
      </c>
      <c r="B213" s="403" t="s">
        <v>35</v>
      </c>
      <c r="C213" s="154" t="s">
        <v>35</v>
      </c>
      <c r="D213" s="155" t="s">
        <v>35</v>
      </c>
      <c r="E213" s="153" t="s">
        <v>257</v>
      </c>
      <c r="F213" s="423" t="s">
        <v>237</v>
      </c>
      <c r="G213" s="403" t="s">
        <v>71</v>
      </c>
      <c r="H213" s="155" t="s">
        <v>237</v>
      </c>
    </row>
    <row r="214" spans="1:8">
      <c r="A214" s="148" t="s">
        <v>72</v>
      </c>
      <c r="B214" s="540">
        <f>C124</f>
        <v>165.98976432954106</v>
      </c>
      <c r="C214" s="428">
        <f>$C$201</f>
        <v>6186.1257802861255</v>
      </c>
      <c r="D214" s="545">
        <f>$C$187</f>
        <v>30713.027956424732</v>
      </c>
      <c r="E214" s="557">
        <f>B214/C214*1000000</f>
        <v>26832.587992070145</v>
      </c>
      <c r="F214" s="554">
        <f>E214/1000000</f>
        <v>2.6832587992070143E-2</v>
      </c>
      <c r="G214" s="557">
        <f>B214/D214*1000000</f>
        <v>5404.5392256681853</v>
      </c>
      <c r="H214" s="433">
        <f>G214/1000000</f>
        <v>5.4045392256681854E-3</v>
      </c>
    </row>
    <row r="215" spans="1:8">
      <c r="A215" s="149" t="s">
        <v>73</v>
      </c>
      <c r="B215" s="541">
        <f>C125</f>
        <v>0.17314080232283449</v>
      </c>
      <c r="C215" s="235">
        <f t="shared" ref="C215:C234" si="14">$C$201</f>
        <v>6186.1257802861255</v>
      </c>
      <c r="D215" s="546">
        <f t="shared" ref="D215:D234" si="15">$C$187</f>
        <v>30713.027956424732</v>
      </c>
      <c r="E215" s="558">
        <f t="shared" ref="E215:E234" si="16">B215/C215*1000000</f>
        <v>27.988568042796285</v>
      </c>
      <c r="F215" s="555">
        <f t="shared" ref="F215:H230" si="17">E215/1000000</f>
        <v>2.7988568042796286E-5</v>
      </c>
      <c r="G215" s="558">
        <f t="shared" ref="G215:G234" si="18">B215/D215*1000000</f>
        <v>5.6373732530861025</v>
      </c>
      <c r="H215" s="434">
        <f t="shared" si="17"/>
        <v>5.6373732530861025E-6</v>
      </c>
    </row>
    <row r="216" spans="1:8">
      <c r="A216" s="149" t="s">
        <v>74</v>
      </c>
      <c r="B216" s="541">
        <f t="shared" ref="B216:B219" si="19">C126</f>
        <v>450.27935403260932</v>
      </c>
      <c r="C216" s="235">
        <f t="shared" si="14"/>
        <v>6186.1257802861255</v>
      </c>
      <c r="D216" s="546">
        <f t="shared" si="15"/>
        <v>30713.027956424732</v>
      </c>
      <c r="E216" s="558">
        <f t="shared" si="16"/>
        <v>72788.58691615265</v>
      </c>
      <c r="F216" s="555">
        <f t="shared" si="17"/>
        <v>7.2788586916152656E-2</v>
      </c>
      <c r="G216" s="558">
        <f t="shared" si="18"/>
        <v>14660.858404174936</v>
      </c>
      <c r="H216" s="434">
        <f t="shared" si="17"/>
        <v>1.4660858404174937E-2</v>
      </c>
    </row>
    <row r="217" spans="1:8">
      <c r="A217" s="149" t="s">
        <v>75</v>
      </c>
      <c r="B217" s="541">
        <f>B127*0.56</f>
        <v>2.3520000000000003E-2</v>
      </c>
      <c r="C217" s="235">
        <f t="shared" si="14"/>
        <v>6186.1257802861255</v>
      </c>
      <c r="D217" s="546">
        <f t="shared" si="15"/>
        <v>30713.027956424732</v>
      </c>
      <c r="E217" s="558">
        <f t="shared" si="16"/>
        <v>3.8020565432007976</v>
      </c>
      <c r="F217" s="555">
        <f t="shared" si="17"/>
        <v>3.8020565432007976E-6</v>
      </c>
      <c r="G217" s="558">
        <f t="shared" si="18"/>
        <v>0.76579880151738511</v>
      </c>
      <c r="H217" s="434">
        <f t="shared" si="17"/>
        <v>7.6579880151738512E-7</v>
      </c>
    </row>
    <row r="218" spans="1:8">
      <c r="A218" s="149" t="s">
        <v>76</v>
      </c>
      <c r="B218" s="541">
        <f t="shared" si="19"/>
        <v>0.26464265446041685</v>
      </c>
      <c r="C218" s="235">
        <f t="shared" si="14"/>
        <v>6186.1257802861255</v>
      </c>
      <c r="D218" s="546">
        <f t="shared" si="15"/>
        <v>30713.027956424732</v>
      </c>
      <c r="E218" s="558">
        <f t="shared" si="16"/>
        <v>42.780031292570392</v>
      </c>
      <c r="F218" s="555">
        <f t="shared" si="17"/>
        <v>4.2780031292570389E-5</v>
      </c>
      <c r="G218" s="558">
        <f t="shared" si="18"/>
        <v>8.6166253238166099</v>
      </c>
      <c r="H218" s="434">
        <f t="shared" si="17"/>
        <v>8.6166253238166095E-6</v>
      </c>
    </row>
    <row r="219" spans="1:8">
      <c r="A219" s="150" t="s">
        <v>77</v>
      </c>
      <c r="B219" s="541">
        <f t="shared" si="19"/>
        <v>1.9488449114376936</v>
      </c>
      <c r="C219" s="235">
        <f t="shared" si="14"/>
        <v>6186.1257802861255</v>
      </c>
      <c r="D219" s="546">
        <f t="shared" si="15"/>
        <v>30713.027956424732</v>
      </c>
      <c r="E219" s="558">
        <f t="shared" si="16"/>
        <v>315.03480217751957</v>
      </c>
      <c r="F219" s="555">
        <f t="shared" si="17"/>
        <v>3.1503480217751957E-4</v>
      </c>
      <c r="G219" s="558">
        <f t="shared" si="18"/>
        <v>63.453362989891161</v>
      </c>
      <c r="H219" s="434">
        <f t="shared" si="17"/>
        <v>6.345336298989116E-5</v>
      </c>
    </row>
    <row r="220" spans="1:8">
      <c r="A220" s="150" t="s">
        <v>78</v>
      </c>
      <c r="B220" s="541">
        <f>C130</f>
        <v>219.71852357742503</v>
      </c>
      <c r="C220" s="235">
        <f t="shared" si="14"/>
        <v>6186.1257802861255</v>
      </c>
      <c r="D220" s="546">
        <f t="shared" si="15"/>
        <v>30713.027956424732</v>
      </c>
      <c r="E220" s="558">
        <f t="shared" si="16"/>
        <v>35517.952815899975</v>
      </c>
      <c r="F220" s="555">
        <f t="shared" si="17"/>
        <v>3.5517952815899978E-2</v>
      </c>
      <c r="G220" s="558">
        <f t="shared" si="18"/>
        <v>7153.9193038589019</v>
      </c>
      <c r="H220" s="434">
        <f t="shared" si="17"/>
        <v>7.1539193038589015E-3</v>
      </c>
    </row>
    <row r="221" spans="1:8">
      <c r="A221" s="150" t="s">
        <v>79</v>
      </c>
      <c r="B221" s="541">
        <f>C131</f>
        <v>35.864099256710965</v>
      </c>
      <c r="C221" s="235">
        <f t="shared" si="14"/>
        <v>6186.1257802861255</v>
      </c>
      <c r="D221" s="546">
        <f t="shared" si="15"/>
        <v>30713.027956424732</v>
      </c>
      <c r="E221" s="558">
        <f t="shared" si="16"/>
        <v>5797.5056651777541</v>
      </c>
      <c r="F221" s="555">
        <f t="shared" si="17"/>
        <v>5.7975056651777537E-3</v>
      </c>
      <c r="G221" s="558">
        <f t="shared" si="18"/>
        <v>1167.716166168784</v>
      </c>
      <c r="H221" s="434">
        <f t="shared" si="17"/>
        <v>1.1677161661687839E-3</v>
      </c>
    </row>
    <row r="222" spans="1:8">
      <c r="A222" s="150" t="s">
        <v>80</v>
      </c>
      <c r="B222" s="541">
        <f>C132</f>
        <v>66.734565408625116</v>
      </c>
      <c r="C222" s="235">
        <f t="shared" si="14"/>
        <v>6186.1257802861255</v>
      </c>
      <c r="D222" s="546">
        <f t="shared" si="15"/>
        <v>30713.027956424732</v>
      </c>
      <c r="E222" s="558">
        <f t="shared" si="16"/>
        <v>10787.780232547819</v>
      </c>
      <c r="F222" s="555">
        <f t="shared" si="17"/>
        <v>1.0787780232547818E-2</v>
      </c>
      <c r="G222" s="558">
        <f t="shared" si="18"/>
        <v>2172.8422708209459</v>
      </c>
      <c r="H222" s="434">
        <f t="shared" si="17"/>
        <v>2.1728422708209459E-3</v>
      </c>
    </row>
    <row r="223" spans="1:8">
      <c r="A223" s="150" t="s">
        <v>81</v>
      </c>
      <c r="B223" s="541">
        <f t="shared" ref="B223:B224" si="20">C133</f>
        <v>37.24435889358238</v>
      </c>
      <c r="C223" s="235">
        <f t="shared" si="14"/>
        <v>6186.1257802861255</v>
      </c>
      <c r="D223" s="546">
        <f t="shared" si="15"/>
        <v>30713.027956424732</v>
      </c>
      <c r="E223" s="558">
        <f t="shared" si="16"/>
        <v>6020.6274842118919</v>
      </c>
      <c r="F223" s="555">
        <f t="shared" si="17"/>
        <v>6.0206274842118917E-3</v>
      </c>
      <c r="G223" s="558">
        <f t="shared" si="18"/>
        <v>1212.6566923464602</v>
      </c>
      <c r="H223" s="434">
        <f t="shared" si="17"/>
        <v>1.2126566923464602E-3</v>
      </c>
    </row>
    <row r="224" spans="1:8">
      <c r="A224" s="150" t="s">
        <v>82</v>
      </c>
      <c r="B224" s="541">
        <f t="shared" si="20"/>
        <v>0.46087752978682439</v>
      </c>
      <c r="C224" s="235">
        <f t="shared" si="14"/>
        <v>6186.1257802861255</v>
      </c>
      <c r="D224" s="546">
        <f t="shared" si="15"/>
        <v>30713.027956424732</v>
      </c>
      <c r="E224" s="558">
        <f t="shared" si="16"/>
        <v>74.501803900519391</v>
      </c>
      <c r="F224" s="555">
        <f t="shared" si="17"/>
        <v>7.4501803900519392E-5</v>
      </c>
      <c r="G224" s="558">
        <f t="shared" si="18"/>
        <v>15.005929419942305</v>
      </c>
      <c r="H224" s="434">
        <f t="shared" si="17"/>
        <v>1.5005929419942305E-5</v>
      </c>
    </row>
    <row r="225" spans="1:8">
      <c r="A225" s="150" t="s">
        <v>213</v>
      </c>
      <c r="B225" s="541">
        <f>B135*0.56</f>
        <v>548.47296000000006</v>
      </c>
      <c r="C225" s="235">
        <f t="shared" si="14"/>
        <v>6186.1257802861255</v>
      </c>
      <c r="D225" s="546">
        <f t="shared" si="15"/>
        <v>30713.027956424732</v>
      </c>
      <c r="E225" s="558">
        <f t="shared" si="16"/>
        <v>88661.785983703623</v>
      </c>
      <c r="F225" s="555">
        <f t="shared" si="17"/>
        <v>8.8661785983703625E-2</v>
      </c>
      <c r="G225" s="558">
        <f t="shared" si="18"/>
        <v>17857.990452070266</v>
      </c>
      <c r="H225" s="434">
        <f t="shared" si="17"/>
        <v>1.7857990452070267E-2</v>
      </c>
    </row>
    <row r="226" spans="1:8">
      <c r="A226" s="151" t="s">
        <v>96</v>
      </c>
      <c r="B226" s="541">
        <f>B136*0.56</f>
        <v>1598.537142857143</v>
      </c>
      <c r="C226" s="235">
        <f t="shared" si="14"/>
        <v>6186.1257802861255</v>
      </c>
      <c r="D226" s="546">
        <f t="shared" si="15"/>
        <v>30713.027956424732</v>
      </c>
      <c r="E226" s="558">
        <f t="shared" si="16"/>
        <v>258406.82838220696</v>
      </c>
      <c r="F226" s="555">
        <f t="shared" si="17"/>
        <v>0.25840682838220697</v>
      </c>
      <c r="G226" s="558">
        <f t="shared" si="18"/>
        <v>52047.526708376907</v>
      </c>
      <c r="H226" s="434">
        <f t="shared" si="17"/>
        <v>5.2047526708376909E-2</v>
      </c>
    </row>
    <row r="227" spans="1:8">
      <c r="A227" s="150" t="s">
        <v>97</v>
      </c>
      <c r="B227" s="541">
        <f>B225+B226</f>
        <v>2147.010102857143</v>
      </c>
      <c r="C227" s="235">
        <f t="shared" si="14"/>
        <v>6186.1257802861255</v>
      </c>
      <c r="D227" s="546">
        <f t="shared" si="15"/>
        <v>30713.027956424732</v>
      </c>
      <c r="E227" s="558">
        <f t="shared" si="16"/>
        <v>347068.61436591059</v>
      </c>
      <c r="F227" s="555">
        <f t="shared" si="17"/>
        <v>0.34706861436591058</v>
      </c>
      <c r="G227" s="558">
        <f t="shared" si="18"/>
        <v>69905.517160447183</v>
      </c>
      <c r="H227" s="434">
        <f t="shared" si="17"/>
        <v>6.9905517160447184E-2</v>
      </c>
    </row>
    <row r="228" spans="1:8">
      <c r="A228" s="151" t="s">
        <v>84</v>
      </c>
      <c r="B228" s="541">
        <f t="shared" ref="B228:B234" si="21">C138</f>
        <v>9.1801009653789414E-2</v>
      </c>
      <c r="C228" s="235">
        <f t="shared" si="14"/>
        <v>6186.1257802861255</v>
      </c>
      <c r="D228" s="546">
        <f t="shared" si="15"/>
        <v>30713.027956424732</v>
      </c>
      <c r="E228" s="558">
        <f t="shared" si="16"/>
        <v>14.839822679703639</v>
      </c>
      <c r="F228" s="555">
        <f t="shared" si="17"/>
        <v>1.4839822679703638E-5</v>
      </c>
      <c r="G228" s="558">
        <f t="shared" si="18"/>
        <v>2.9889924817584106</v>
      </c>
      <c r="H228" s="434">
        <f t="shared" si="17"/>
        <v>2.9889924817584107E-6</v>
      </c>
    </row>
    <row r="229" spans="1:8">
      <c r="A229" s="151" t="s">
        <v>249</v>
      </c>
      <c r="B229" s="541">
        <f t="shared" si="21"/>
        <v>0</v>
      </c>
      <c r="C229" s="235">
        <f t="shared" si="14"/>
        <v>6186.1257802861255</v>
      </c>
      <c r="D229" s="546">
        <f t="shared" si="15"/>
        <v>30713.027956424732</v>
      </c>
      <c r="E229" s="558">
        <f t="shared" si="16"/>
        <v>0</v>
      </c>
      <c r="F229" s="555">
        <f t="shared" si="17"/>
        <v>0</v>
      </c>
      <c r="G229" s="558">
        <f t="shared" si="18"/>
        <v>0</v>
      </c>
      <c r="H229" s="434">
        <f t="shared" si="17"/>
        <v>0</v>
      </c>
    </row>
    <row r="230" spans="1:8">
      <c r="A230" s="151" t="s">
        <v>250</v>
      </c>
      <c r="B230" s="541">
        <f t="shared" si="21"/>
        <v>0</v>
      </c>
      <c r="C230" s="235">
        <f t="shared" si="14"/>
        <v>6186.1257802861255</v>
      </c>
      <c r="D230" s="546">
        <f t="shared" si="15"/>
        <v>30713.027956424732</v>
      </c>
      <c r="E230" s="558">
        <f t="shared" si="16"/>
        <v>0</v>
      </c>
      <c r="F230" s="555">
        <f t="shared" si="17"/>
        <v>0</v>
      </c>
      <c r="G230" s="558">
        <f t="shared" si="18"/>
        <v>0</v>
      </c>
      <c r="H230" s="434">
        <f t="shared" si="17"/>
        <v>0</v>
      </c>
    </row>
    <row r="231" spans="1:8">
      <c r="A231" s="151" t="s">
        <v>251</v>
      </c>
      <c r="B231" s="541">
        <f t="shared" si="21"/>
        <v>0</v>
      </c>
      <c r="C231" s="235">
        <f t="shared" si="14"/>
        <v>6186.1257802861255</v>
      </c>
      <c r="D231" s="546">
        <f t="shared" si="15"/>
        <v>30713.027956424732</v>
      </c>
      <c r="E231" s="558">
        <f t="shared" si="16"/>
        <v>0</v>
      </c>
      <c r="F231" s="555">
        <f t="shared" ref="F231:F234" si="22">E231/1000000</f>
        <v>0</v>
      </c>
      <c r="G231" s="558">
        <f t="shared" si="18"/>
        <v>0</v>
      </c>
      <c r="H231" s="434">
        <f t="shared" ref="H231:H234" si="23">G231/1000000</f>
        <v>0</v>
      </c>
    </row>
    <row r="232" spans="1:8">
      <c r="A232" s="151" t="s">
        <v>238</v>
      </c>
      <c r="B232" s="541">
        <f t="shared" si="21"/>
        <v>0</v>
      </c>
      <c r="C232" s="235">
        <f t="shared" si="14"/>
        <v>6186.1257802861255</v>
      </c>
      <c r="D232" s="546">
        <f t="shared" si="15"/>
        <v>30713.027956424732</v>
      </c>
      <c r="E232" s="558">
        <f t="shared" si="16"/>
        <v>0</v>
      </c>
      <c r="F232" s="555">
        <f t="shared" si="22"/>
        <v>0</v>
      </c>
      <c r="G232" s="558">
        <f t="shared" si="18"/>
        <v>0</v>
      </c>
      <c r="H232" s="434">
        <f t="shared" si="23"/>
        <v>0</v>
      </c>
    </row>
    <row r="233" spans="1:8">
      <c r="A233" s="151" t="s">
        <v>239</v>
      </c>
      <c r="B233" s="541">
        <f t="shared" si="21"/>
        <v>0</v>
      </c>
      <c r="C233" s="235">
        <f t="shared" si="14"/>
        <v>6186.1257802861255</v>
      </c>
      <c r="D233" s="546">
        <f t="shared" si="15"/>
        <v>30713.027956424732</v>
      </c>
      <c r="E233" s="558">
        <f t="shared" si="16"/>
        <v>0</v>
      </c>
      <c r="F233" s="555">
        <f t="shared" si="22"/>
        <v>0</v>
      </c>
      <c r="G233" s="558">
        <f t="shared" si="18"/>
        <v>0</v>
      </c>
      <c r="H233" s="434">
        <f t="shared" si="23"/>
        <v>0</v>
      </c>
    </row>
    <row r="234" spans="1:8" ht="14.65" thickBot="1">
      <c r="A234" s="152" t="s">
        <v>86</v>
      </c>
      <c r="B234" s="542">
        <f t="shared" si="21"/>
        <v>7.2570684191029562</v>
      </c>
      <c r="C234" s="236">
        <f t="shared" si="14"/>
        <v>6186.1257802861255</v>
      </c>
      <c r="D234" s="547">
        <f t="shared" si="15"/>
        <v>30713.027956424732</v>
      </c>
      <c r="E234" s="558">
        <f t="shared" si="16"/>
        <v>1173.1200878956743</v>
      </c>
      <c r="F234" s="555">
        <f t="shared" si="22"/>
        <v>1.1731200878956742E-3</v>
      </c>
      <c r="G234" s="558">
        <f t="shared" si="18"/>
        <v>236.28632218872056</v>
      </c>
      <c r="H234" s="434">
        <f t="shared" si="23"/>
        <v>2.3628632218872055E-4</v>
      </c>
    </row>
    <row r="235" spans="1:8">
      <c r="A235" s="145"/>
      <c r="B235" s="146"/>
      <c r="C235" s="95"/>
    </row>
    <row r="236" spans="1:8" ht="14.65" thickBot="1">
      <c r="A236" s="79" t="s">
        <v>197</v>
      </c>
    </row>
    <row r="237" spans="1:8" ht="14.65" thickBot="1">
      <c r="A237" s="419"/>
      <c r="B237" s="1028" t="s">
        <v>262</v>
      </c>
      <c r="C237" s="1029"/>
      <c r="D237" s="1031"/>
      <c r="E237" s="1036" t="s">
        <v>263</v>
      </c>
      <c r="F237" s="1037"/>
      <c r="G237" s="1037"/>
      <c r="H237" s="1038"/>
    </row>
    <row r="238" spans="1:8">
      <c r="A238" s="92" t="s">
        <v>93</v>
      </c>
      <c r="B238" s="377" t="s">
        <v>256</v>
      </c>
      <c r="C238" s="491" t="s">
        <v>375</v>
      </c>
      <c r="D238" s="492" t="s">
        <v>286</v>
      </c>
      <c r="E238" s="1039" t="s">
        <v>269</v>
      </c>
      <c r="F238" s="1040"/>
      <c r="G238" s="1022" t="s">
        <v>258</v>
      </c>
      <c r="H238" s="1023"/>
    </row>
    <row r="239" spans="1:8" ht="14.65" thickBot="1">
      <c r="A239" s="93" t="s">
        <v>18</v>
      </c>
      <c r="B239" s="403" t="s">
        <v>35</v>
      </c>
      <c r="C239" s="154" t="s">
        <v>35</v>
      </c>
      <c r="D239" s="155" t="s">
        <v>35</v>
      </c>
      <c r="E239" s="153" t="s">
        <v>257</v>
      </c>
      <c r="F239" s="423" t="s">
        <v>237</v>
      </c>
      <c r="G239" s="403" t="s">
        <v>71</v>
      </c>
      <c r="H239" s="155" t="s">
        <v>237</v>
      </c>
    </row>
    <row r="240" spans="1:8">
      <c r="A240" s="222" t="s">
        <v>72</v>
      </c>
      <c r="B240" s="540">
        <f>D124</f>
        <v>302.034235670459</v>
      </c>
      <c r="C240" s="428">
        <f>$C$191</f>
        <v>16565.874219713874</v>
      </c>
      <c r="D240" s="382">
        <f>$C$189</f>
        <v>26046.972043575275</v>
      </c>
      <c r="E240" s="551">
        <f>B240/C240*1000000</f>
        <v>18232.314918281187</v>
      </c>
      <c r="F240" s="554">
        <f>E240/1000000</f>
        <v>1.8232314918281187E-2</v>
      </c>
      <c r="G240" s="557">
        <f>B240/D240*1000000</f>
        <v>11595.752288026833</v>
      </c>
      <c r="H240" s="433">
        <f>G240/1000000</f>
        <v>1.1595752288026834E-2</v>
      </c>
    </row>
    <row r="241" spans="1:8">
      <c r="A241" s="149" t="s">
        <v>73</v>
      </c>
      <c r="B241" s="541">
        <f>D125</f>
        <v>0.17005919767716551</v>
      </c>
      <c r="C241" s="235">
        <f t="shared" ref="C241:C260" si="24">$C$191</f>
        <v>16565.874219713874</v>
      </c>
      <c r="D241" s="82">
        <f t="shared" ref="D241:D260" si="25">$C$189</f>
        <v>26046.972043575275</v>
      </c>
      <c r="E241" s="552">
        <f t="shared" ref="E241:E260" si="26">B241/C241*1000000</f>
        <v>10.265633761409953</v>
      </c>
      <c r="F241" s="555">
        <f t="shared" ref="F241:H256" si="27">E241/1000000</f>
        <v>1.0265633761409953E-5</v>
      </c>
      <c r="G241" s="558">
        <f t="shared" ref="G241:G260" si="28">B241/D241*1000000</f>
        <v>6.5289430722567294</v>
      </c>
      <c r="H241" s="434">
        <f t="shared" si="27"/>
        <v>6.5289430722567296E-6</v>
      </c>
    </row>
    <row r="242" spans="1:8">
      <c r="A242" s="149" t="s">
        <v>74</v>
      </c>
      <c r="B242" s="541">
        <f t="shared" ref="B242:B250" si="29">D126</f>
        <v>1457.7206459673907</v>
      </c>
      <c r="C242" s="235">
        <f t="shared" si="24"/>
        <v>16565.874219713874</v>
      </c>
      <c r="D242" s="82">
        <f t="shared" si="25"/>
        <v>26046.972043575275</v>
      </c>
      <c r="E242" s="552">
        <f t="shared" si="26"/>
        <v>87995.395029177555</v>
      </c>
      <c r="F242" s="555">
        <f t="shared" si="27"/>
        <v>8.7995395029177553E-2</v>
      </c>
      <c r="G242" s="558">
        <f t="shared" si="28"/>
        <v>55965.071238556913</v>
      </c>
      <c r="H242" s="434">
        <f t="shared" si="27"/>
        <v>5.5965071238556915E-2</v>
      </c>
    </row>
    <row r="243" spans="1:8">
      <c r="A243" s="149" t="s">
        <v>75</v>
      </c>
      <c r="B243" s="541">
        <f>B127*0.44</f>
        <v>1.848E-2</v>
      </c>
      <c r="C243" s="235">
        <f t="shared" si="24"/>
        <v>16565.874219713874</v>
      </c>
      <c r="D243" s="82">
        <f t="shared" si="25"/>
        <v>26046.972043575275</v>
      </c>
      <c r="E243" s="552">
        <f t="shared" si="26"/>
        <v>1.1155463185883823</v>
      </c>
      <c r="F243" s="555">
        <f t="shared" si="27"/>
        <v>1.1155463185883822E-6</v>
      </c>
      <c r="G243" s="558">
        <f t="shared" si="28"/>
        <v>0.70948745862221096</v>
      </c>
      <c r="H243" s="434">
        <f t="shared" si="27"/>
        <v>7.09487458622211E-7</v>
      </c>
    </row>
    <row r="244" spans="1:8">
      <c r="A244" s="149" t="s">
        <v>76</v>
      </c>
      <c r="B244" s="541">
        <f t="shared" si="29"/>
        <v>1.3673573455395831</v>
      </c>
      <c r="C244" s="235">
        <f t="shared" si="24"/>
        <v>16565.874219713874</v>
      </c>
      <c r="D244" s="82">
        <f t="shared" si="25"/>
        <v>26046.972043575275</v>
      </c>
      <c r="E244" s="552">
        <f t="shared" si="26"/>
        <v>82.540608929191791</v>
      </c>
      <c r="F244" s="555">
        <f t="shared" si="27"/>
        <v>8.2540608929191785E-5</v>
      </c>
      <c r="G244" s="558">
        <f t="shared" si="28"/>
        <v>52.495827278965976</v>
      </c>
      <c r="H244" s="434">
        <f t="shared" si="27"/>
        <v>5.2495827278965978E-5</v>
      </c>
    </row>
    <row r="245" spans="1:8">
      <c r="A245" s="150" t="s">
        <v>77</v>
      </c>
      <c r="B245" s="541">
        <f t="shared" si="29"/>
        <v>5.9231550885623054</v>
      </c>
      <c r="C245" s="235">
        <f t="shared" si="24"/>
        <v>16565.874219713874</v>
      </c>
      <c r="D245" s="82">
        <f t="shared" si="25"/>
        <v>26046.972043575275</v>
      </c>
      <c r="E245" s="552">
        <f t="shared" si="26"/>
        <v>357.55161544771221</v>
      </c>
      <c r="F245" s="555">
        <f t="shared" si="27"/>
        <v>3.5755161544771222E-4</v>
      </c>
      <c r="G245" s="558">
        <f t="shared" si="28"/>
        <v>227.402827424745</v>
      </c>
      <c r="H245" s="434">
        <f t="shared" si="27"/>
        <v>2.2740282742474499E-4</v>
      </c>
    </row>
    <row r="246" spans="1:8">
      <c r="A246" s="150" t="s">
        <v>78</v>
      </c>
      <c r="B246" s="541">
        <f t="shared" si="29"/>
        <v>831.20547642257486</v>
      </c>
      <c r="C246" s="235">
        <f t="shared" si="24"/>
        <v>16565.874219713874</v>
      </c>
      <c r="D246" s="82">
        <f t="shared" si="25"/>
        <v>26046.972043575275</v>
      </c>
      <c r="E246" s="552">
        <f t="shared" si="26"/>
        <v>50175.768896845548</v>
      </c>
      <c r="F246" s="555">
        <f t="shared" si="27"/>
        <v>5.0175768896845545E-2</v>
      </c>
      <c r="G246" s="558">
        <f t="shared" si="28"/>
        <v>31911.789018393763</v>
      </c>
      <c r="H246" s="434">
        <f t="shared" si="27"/>
        <v>3.1911789018393762E-2</v>
      </c>
    </row>
    <row r="247" spans="1:8">
      <c r="A247" s="150" t="s">
        <v>79</v>
      </c>
      <c r="B247" s="541">
        <f t="shared" si="29"/>
        <v>62.89590074328904</v>
      </c>
      <c r="C247" s="235">
        <f t="shared" si="24"/>
        <v>16565.874219713874</v>
      </c>
      <c r="D247" s="82">
        <f t="shared" si="25"/>
        <v>26046.972043575275</v>
      </c>
      <c r="E247" s="552">
        <f t="shared" si="26"/>
        <v>3796.7148554370333</v>
      </c>
      <c r="F247" s="555">
        <f t="shared" si="27"/>
        <v>3.7967148554370334E-3</v>
      </c>
      <c r="G247" s="558">
        <f t="shared" si="28"/>
        <v>2414.7106480579532</v>
      </c>
      <c r="H247" s="434">
        <f t="shared" si="27"/>
        <v>2.4147106480579533E-3</v>
      </c>
    </row>
    <row r="248" spans="1:8">
      <c r="A248" s="150" t="s">
        <v>80</v>
      </c>
      <c r="B248" s="541">
        <f t="shared" si="29"/>
        <v>88.065434591374881</v>
      </c>
      <c r="C248" s="235">
        <f t="shared" si="24"/>
        <v>16565.874219713874</v>
      </c>
      <c r="D248" s="82">
        <f t="shared" si="25"/>
        <v>26046.972043575275</v>
      </c>
      <c r="E248" s="552">
        <f t="shared" si="26"/>
        <v>5316.0752896804224</v>
      </c>
      <c r="F248" s="555">
        <f t="shared" si="27"/>
        <v>5.3160752896804228E-3</v>
      </c>
      <c r="G248" s="558">
        <f t="shared" si="28"/>
        <v>3381.0238842367489</v>
      </c>
      <c r="H248" s="434">
        <f t="shared" si="27"/>
        <v>3.3810238842367489E-3</v>
      </c>
    </row>
    <row r="249" spans="1:8">
      <c r="A249" s="150" t="s">
        <v>81</v>
      </c>
      <c r="B249" s="541">
        <f t="shared" si="29"/>
        <v>59.955641106417616</v>
      </c>
      <c r="C249" s="235">
        <f t="shared" si="24"/>
        <v>16565.874219713874</v>
      </c>
      <c r="D249" s="82">
        <f t="shared" si="25"/>
        <v>26046.972043575275</v>
      </c>
      <c r="E249" s="552">
        <f t="shared" si="26"/>
        <v>3619.2259044843313</v>
      </c>
      <c r="F249" s="555">
        <f t="shared" si="27"/>
        <v>3.6192259044843314E-3</v>
      </c>
      <c r="G249" s="558">
        <f t="shared" si="28"/>
        <v>2301.8276752520346</v>
      </c>
      <c r="H249" s="434">
        <f t="shared" si="27"/>
        <v>2.3018276752520346E-3</v>
      </c>
    </row>
    <row r="250" spans="1:8">
      <c r="A250" s="150" t="s">
        <v>82</v>
      </c>
      <c r="B250" s="541">
        <f t="shared" si="29"/>
        <v>1.0391224702131756</v>
      </c>
      <c r="C250" s="235">
        <f t="shared" si="24"/>
        <v>16565.874219713874</v>
      </c>
      <c r="D250" s="82">
        <f t="shared" si="25"/>
        <v>26046.972043575275</v>
      </c>
      <c r="E250" s="552">
        <f t="shared" si="26"/>
        <v>62.726690812163085</v>
      </c>
      <c r="F250" s="555">
        <f t="shared" si="27"/>
        <v>6.2726690812163084E-5</v>
      </c>
      <c r="G250" s="558">
        <f t="shared" si="28"/>
        <v>39.894175356535726</v>
      </c>
      <c r="H250" s="434">
        <f t="shared" si="27"/>
        <v>3.9894175356535724E-5</v>
      </c>
    </row>
    <row r="251" spans="1:8">
      <c r="A251" s="150" t="s">
        <v>213</v>
      </c>
      <c r="B251" s="541">
        <f>B135*0.44</f>
        <v>430.94304000000005</v>
      </c>
      <c r="C251" s="235">
        <f t="shared" si="24"/>
        <v>16565.874219713874</v>
      </c>
      <c r="D251" s="82">
        <f t="shared" si="25"/>
        <v>26046.972043575275</v>
      </c>
      <c r="E251" s="552">
        <f t="shared" si="26"/>
        <v>26013.90269444188</v>
      </c>
      <c r="F251" s="555">
        <f t="shared" si="27"/>
        <v>2.6013902694441881E-2</v>
      </c>
      <c r="G251" s="558">
        <f t="shared" si="28"/>
        <v>16544.842113665036</v>
      </c>
      <c r="H251" s="434">
        <f t="shared" si="27"/>
        <v>1.6544842113665036E-2</v>
      </c>
    </row>
    <row r="252" spans="1:8">
      <c r="A252" s="151" t="s">
        <v>96</v>
      </c>
      <c r="B252" s="541">
        <f>B136*0.44</f>
        <v>1255.9934693877551</v>
      </c>
      <c r="C252" s="235">
        <f t="shared" si="24"/>
        <v>16565.874219713874</v>
      </c>
      <c r="D252" s="82">
        <f t="shared" si="25"/>
        <v>26046.972043575275</v>
      </c>
      <c r="E252" s="552">
        <f t="shared" si="26"/>
        <v>75818.121804467533</v>
      </c>
      <c r="F252" s="555">
        <f t="shared" si="27"/>
        <v>7.5818121804467536E-2</v>
      </c>
      <c r="G252" s="558">
        <f t="shared" si="28"/>
        <v>48220.325467641349</v>
      </c>
      <c r="H252" s="434">
        <f t="shared" si="27"/>
        <v>4.8220325467641351E-2</v>
      </c>
    </row>
    <row r="253" spans="1:8">
      <c r="A253" s="150" t="s">
        <v>97</v>
      </c>
      <c r="B253" s="541">
        <f>B251+B252</f>
        <v>1686.9365093877552</v>
      </c>
      <c r="C253" s="235">
        <f t="shared" si="24"/>
        <v>16565.874219713874</v>
      </c>
      <c r="D253" s="82">
        <f t="shared" si="25"/>
        <v>26046.972043575275</v>
      </c>
      <c r="E253" s="552">
        <f t="shared" si="26"/>
        <v>101832.02449890942</v>
      </c>
      <c r="F253" s="555">
        <f t="shared" si="27"/>
        <v>0.10183202449890942</v>
      </c>
      <c r="G253" s="558">
        <f t="shared" si="28"/>
        <v>64765.167581306392</v>
      </c>
      <c r="H253" s="434">
        <f t="shared" si="27"/>
        <v>6.476516758130639E-2</v>
      </c>
    </row>
    <row r="254" spans="1:8">
      <c r="A254" s="151" t="s">
        <v>84</v>
      </c>
      <c r="B254" s="541">
        <f t="shared" ref="B254:B260" si="30">D138</f>
        <v>1.3961989903462106</v>
      </c>
      <c r="C254" s="235">
        <f t="shared" si="24"/>
        <v>16565.874219713874</v>
      </c>
      <c r="D254" s="82">
        <f t="shared" si="25"/>
        <v>26046.972043575275</v>
      </c>
      <c r="E254" s="552">
        <f t="shared" si="26"/>
        <v>84.281636563719232</v>
      </c>
      <c r="F254" s="555">
        <f t="shared" si="27"/>
        <v>8.4281636563719232E-5</v>
      </c>
      <c r="G254" s="558">
        <f t="shared" si="28"/>
        <v>53.603120854525429</v>
      </c>
      <c r="H254" s="434">
        <f t="shared" si="27"/>
        <v>5.3603120854525431E-5</v>
      </c>
    </row>
    <row r="255" spans="1:8">
      <c r="A255" s="151" t="s">
        <v>249</v>
      </c>
      <c r="B255" s="541">
        <f t="shared" si="30"/>
        <v>226.8</v>
      </c>
      <c r="C255" s="235">
        <f t="shared" si="24"/>
        <v>16565.874219713874</v>
      </c>
      <c r="D255" s="82">
        <f t="shared" si="25"/>
        <v>26046.972043575275</v>
      </c>
      <c r="E255" s="552">
        <f t="shared" si="26"/>
        <v>13690.795728130146</v>
      </c>
      <c r="F255" s="555">
        <f t="shared" si="27"/>
        <v>1.3690795728130147E-2</v>
      </c>
      <c r="G255" s="558">
        <f t="shared" si="28"/>
        <v>8707.3460830907716</v>
      </c>
      <c r="H255" s="434">
        <f t="shared" si="27"/>
        <v>8.7073460830907716E-3</v>
      </c>
    </row>
    <row r="256" spans="1:8">
      <c r="A256" s="151" t="s">
        <v>250</v>
      </c>
      <c r="B256" s="541">
        <f t="shared" si="30"/>
        <v>564.24489795918362</v>
      </c>
      <c r="C256" s="235">
        <f t="shared" si="24"/>
        <v>16565.874219713874</v>
      </c>
      <c r="D256" s="82">
        <f t="shared" si="25"/>
        <v>26046.972043575275</v>
      </c>
      <c r="E256" s="552">
        <f t="shared" si="26"/>
        <v>34060.677418866049</v>
      </c>
      <c r="F256" s="555">
        <f t="shared" si="27"/>
        <v>3.406067741886605E-2</v>
      </c>
      <c r="G256" s="558">
        <f t="shared" si="28"/>
        <v>21662.590838398806</v>
      </c>
      <c r="H256" s="434">
        <f t="shared" si="27"/>
        <v>2.1662590838398808E-2</v>
      </c>
    </row>
    <row r="257" spans="1:8">
      <c r="A257" s="151" t="s">
        <v>251</v>
      </c>
      <c r="B257" s="541">
        <f t="shared" si="30"/>
        <v>791.04489795918357</v>
      </c>
      <c r="C257" s="235">
        <f t="shared" si="24"/>
        <v>16565.874219713874</v>
      </c>
      <c r="D257" s="82">
        <f t="shared" si="25"/>
        <v>26046.972043575275</v>
      </c>
      <c r="E257" s="552">
        <f t="shared" si="26"/>
        <v>47751.473146996192</v>
      </c>
      <c r="F257" s="555">
        <f t="shared" ref="F257:H260" si="31">E257/1000000</f>
        <v>4.7751473146996189E-2</v>
      </c>
      <c r="G257" s="558">
        <f t="shared" si="28"/>
        <v>30369.936921489574</v>
      </c>
      <c r="H257" s="434">
        <f t="shared" ref="H257" si="32">G257/1000000</f>
        <v>3.0369936921489576E-2</v>
      </c>
    </row>
    <row r="258" spans="1:8">
      <c r="A258" s="151" t="s">
        <v>238</v>
      </c>
      <c r="B258" s="541">
        <f t="shared" si="30"/>
        <v>2373.1346938775505</v>
      </c>
      <c r="C258" s="235">
        <f t="shared" si="24"/>
        <v>16565.874219713874</v>
      </c>
      <c r="D258" s="82">
        <f t="shared" si="25"/>
        <v>26046.972043575275</v>
      </c>
      <c r="E258" s="552">
        <f t="shared" si="26"/>
        <v>143254.41944098857</v>
      </c>
      <c r="F258" s="555">
        <f t="shared" si="31"/>
        <v>0.14325441944098857</v>
      </c>
      <c r="G258" s="558">
        <f t="shared" si="28"/>
        <v>91109.810764468726</v>
      </c>
      <c r="H258" s="434">
        <f t="shared" si="31"/>
        <v>9.1109810764468724E-2</v>
      </c>
    </row>
    <row r="259" spans="1:8">
      <c r="A259" s="151" t="s">
        <v>239</v>
      </c>
      <c r="B259" s="541">
        <f t="shared" si="30"/>
        <v>3361.9408163265302</v>
      </c>
      <c r="C259" s="235">
        <f t="shared" si="24"/>
        <v>16565.874219713874</v>
      </c>
      <c r="D259" s="82">
        <f t="shared" si="25"/>
        <v>26046.972043575275</v>
      </c>
      <c r="E259" s="552">
        <f t="shared" si="26"/>
        <v>202943.76087473382</v>
      </c>
      <c r="F259" s="555">
        <f t="shared" si="31"/>
        <v>0.20294376087473381</v>
      </c>
      <c r="G259" s="558">
        <f t="shared" si="28"/>
        <v>129072.23191633071</v>
      </c>
      <c r="H259" s="434">
        <f t="shared" si="31"/>
        <v>0.12907223191633072</v>
      </c>
    </row>
    <row r="260" spans="1:8" ht="14.65" thickBot="1">
      <c r="A260" s="152" t="s">
        <v>86</v>
      </c>
      <c r="B260" s="542">
        <f t="shared" si="30"/>
        <v>20.978931580897044</v>
      </c>
      <c r="C260" s="236">
        <f t="shared" si="24"/>
        <v>16565.874219713874</v>
      </c>
      <c r="D260" s="237">
        <f t="shared" si="25"/>
        <v>26046.972043575275</v>
      </c>
      <c r="E260" s="553">
        <f t="shared" si="26"/>
        <v>1266.3944747287471</v>
      </c>
      <c r="F260" s="556">
        <f t="shared" si="31"/>
        <v>1.2663944747287471E-3</v>
      </c>
      <c r="G260" s="559">
        <f t="shared" si="28"/>
        <v>805.42688592748311</v>
      </c>
      <c r="H260" s="439">
        <f t="shared" si="31"/>
        <v>8.054268859274831E-4</v>
      </c>
    </row>
    <row r="261" spans="1:8">
      <c r="A261" s="145"/>
      <c r="B261" s="146"/>
      <c r="C261" s="95"/>
    </row>
    <row r="262" spans="1:8">
      <c r="A262" s="1" t="s">
        <v>199</v>
      </c>
      <c r="B262" s="1"/>
      <c r="C262" s="1"/>
    </row>
    <row r="263" spans="1:8" ht="14.65" thickBot="1">
      <c r="A263" s="79" t="s">
        <v>360</v>
      </c>
      <c r="B263" s="79"/>
      <c r="C263" s="79"/>
    </row>
    <row r="264" spans="1:8">
      <c r="A264" s="570" t="s">
        <v>100</v>
      </c>
      <c r="B264" s="569">
        <v>0.05</v>
      </c>
      <c r="C264" s="202" t="s">
        <v>101</v>
      </c>
    </row>
    <row r="265" spans="1:8">
      <c r="A265" s="571" t="s">
        <v>102</v>
      </c>
      <c r="B265" s="494">
        <v>1.86</v>
      </c>
      <c r="C265" s="72" t="s">
        <v>103</v>
      </c>
    </row>
    <row r="266" spans="1:8">
      <c r="A266" s="571" t="s">
        <v>104</v>
      </c>
      <c r="B266" s="494">
        <v>0.997</v>
      </c>
      <c r="C266" s="72" t="s">
        <v>103</v>
      </c>
    </row>
    <row r="267" spans="1:8">
      <c r="A267" s="571" t="s">
        <v>105</v>
      </c>
      <c r="B267" s="494">
        <v>1.0206786471090072</v>
      </c>
      <c r="C267" s="72" t="s">
        <v>103</v>
      </c>
    </row>
    <row r="268" spans="1:8" ht="14.65" thickBot="1">
      <c r="A268" s="572" t="s">
        <v>334</v>
      </c>
      <c r="B268" s="495">
        <v>0.02</v>
      </c>
      <c r="C268" s="76" t="s">
        <v>25</v>
      </c>
    </row>
    <row r="270" spans="1:8" ht="14.65" thickBot="1">
      <c r="A270" s="79" t="s">
        <v>271</v>
      </c>
    </row>
    <row r="271" spans="1:8" ht="14.65" thickBot="1">
      <c r="A271" s="103" t="s">
        <v>53</v>
      </c>
      <c r="B271" s="102" t="s">
        <v>18</v>
      </c>
      <c r="C271" s="17" t="s">
        <v>106</v>
      </c>
    </row>
    <row r="272" spans="1:8">
      <c r="A272" s="92" t="s">
        <v>9</v>
      </c>
      <c r="B272" s="270" t="s">
        <v>35</v>
      </c>
      <c r="C272" s="383">
        <f>$C$187</f>
        <v>30713.027956424732</v>
      </c>
    </row>
    <row r="273" spans="1:3">
      <c r="A273" s="392" t="s">
        <v>200</v>
      </c>
      <c r="B273" s="278" t="s">
        <v>108</v>
      </c>
      <c r="C273" s="450">
        <v>1.3</v>
      </c>
    </row>
    <row r="274" spans="1:3">
      <c r="A274" s="257" t="s">
        <v>201</v>
      </c>
      <c r="B274" s="278" t="s">
        <v>110</v>
      </c>
      <c r="C274" s="279">
        <f>C272/C273</f>
        <v>23625.406120326716</v>
      </c>
    </row>
    <row r="275" spans="1:3">
      <c r="A275" s="281" t="s">
        <v>334</v>
      </c>
      <c r="B275" s="305" t="s">
        <v>25</v>
      </c>
      <c r="C275" s="306">
        <f>$B$268</f>
        <v>0.02</v>
      </c>
    </row>
    <row r="276" spans="1:3">
      <c r="A276" s="281" t="s">
        <v>111</v>
      </c>
      <c r="B276" s="278" t="s">
        <v>110</v>
      </c>
      <c r="C276" s="289">
        <f>C274*C275</f>
        <v>472.50812240653431</v>
      </c>
    </row>
    <row r="277" spans="1:3">
      <c r="A277" s="281" t="s">
        <v>112</v>
      </c>
      <c r="B277" s="278" t="s">
        <v>108</v>
      </c>
      <c r="C277" s="307">
        <f>B267</f>
        <v>1.0206786471090072</v>
      </c>
    </row>
    <row r="278" spans="1:3" ht="14.65" thickBot="1">
      <c r="A278" s="255" t="s">
        <v>334</v>
      </c>
      <c r="B278" s="271" t="s">
        <v>35</v>
      </c>
      <c r="C278" s="280">
        <f>C276*C277</f>
        <v>482.27895112591864</v>
      </c>
    </row>
    <row r="279" spans="1:3" hidden="1">
      <c r="A279" s="79"/>
      <c r="B279" s="79"/>
      <c r="C279" s="79"/>
    </row>
    <row r="280" spans="1:3" hidden="1">
      <c r="A280" s="79" t="s">
        <v>47</v>
      </c>
      <c r="B280" s="79"/>
      <c r="C280" s="79"/>
    </row>
    <row r="281" spans="1:3" ht="14.65" hidden="1" thickBot="1">
      <c r="A281" s="103" t="s">
        <v>53</v>
      </c>
      <c r="B281" s="102" t="s">
        <v>18</v>
      </c>
      <c r="C281" s="17" t="s">
        <v>106</v>
      </c>
    </row>
    <row r="282" spans="1:3" hidden="1">
      <c r="A282" s="272" t="s">
        <v>202</v>
      </c>
      <c r="B282" s="278" t="s">
        <v>35</v>
      </c>
      <c r="C282" s="279">
        <f>$C$201</f>
        <v>6186.1257802861255</v>
      </c>
    </row>
    <row r="283" spans="1:3" hidden="1">
      <c r="A283" s="257" t="s">
        <v>115</v>
      </c>
      <c r="B283" s="278" t="s">
        <v>24</v>
      </c>
      <c r="C283" s="312">
        <v>0.05</v>
      </c>
    </row>
    <row r="284" spans="1:3" hidden="1">
      <c r="A284" s="257" t="s">
        <v>113</v>
      </c>
      <c r="B284" s="278" t="s">
        <v>35</v>
      </c>
      <c r="C284" s="295">
        <f>$C$278</f>
        <v>482.27895112591864</v>
      </c>
    </row>
    <row r="285" spans="1:3" hidden="1">
      <c r="A285" s="257" t="s">
        <v>116</v>
      </c>
      <c r="B285" s="278" t="s">
        <v>35</v>
      </c>
      <c r="C285" s="295">
        <f>C284*C283</f>
        <v>24.113947556295933</v>
      </c>
    </row>
    <row r="286" spans="1:3" hidden="1">
      <c r="A286" s="257" t="s">
        <v>430</v>
      </c>
      <c r="B286" s="278" t="s">
        <v>35</v>
      </c>
      <c r="C286" s="279">
        <f>C282+C285</f>
        <v>6210.2397278424214</v>
      </c>
    </row>
    <row r="287" spans="1:3" hidden="1">
      <c r="A287" s="257" t="s">
        <v>114</v>
      </c>
      <c r="B287" s="278" t="s">
        <v>35</v>
      </c>
      <c r="C287" s="279">
        <f>$C$272+$C$278</f>
        <v>31195.30690755065</v>
      </c>
    </row>
    <row r="288" spans="1:3" hidden="1">
      <c r="A288" s="299" t="s">
        <v>64</v>
      </c>
      <c r="B288" s="260" t="s">
        <v>24</v>
      </c>
      <c r="C288" s="300">
        <f>C286/C287</f>
        <v>0.19907609007492302</v>
      </c>
    </row>
    <row r="289" spans="1:3" hidden="1">
      <c r="A289" s="257" t="s">
        <v>134</v>
      </c>
      <c r="B289" s="278" t="s">
        <v>35</v>
      </c>
      <c r="C289" s="279">
        <f>$C$206</f>
        <v>24526.902176138599</v>
      </c>
    </row>
    <row r="290" spans="1:3" hidden="1">
      <c r="A290" s="257" t="s">
        <v>117</v>
      </c>
      <c r="B290" s="278" t="s">
        <v>24</v>
      </c>
      <c r="C290" s="312">
        <f>1-C283</f>
        <v>0.95</v>
      </c>
    </row>
    <row r="291" spans="1:3" hidden="1">
      <c r="A291" s="257" t="s">
        <v>113</v>
      </c>
      <c r="B291" s="278" t="s">
        <v>35</v>
      </c>
      <c r="C291" s="295">
        <f>$C$278</f>
        <v>482.27895112591864</v>
      </c>
    </row>
    <row r="292" spans="1:3" hidden="1">
      <c r="A292" s="257" t="s">
        <v>118</v>
      </c>
      <c r="B292" s="278" t="s">
        <v>35</v>
      </c>
      <c r="C292" s="279">
        <f>C290*C291</f>
        <v>458.16500356962268</v>
      </c>
    </row>
    <row r="293" spans="1:3" hidden="1">
      <c r="A293" s="257" t="s">
        <v>65</v>
      </c>
      <c r="B293" s="278" t="s">
        <v>35</v>
      </c>
      <c r="C293" s="279">
        <f>C289+C292</f>
        <v>24985.067179708221</v>
      </c>
    </row>
    <row r="294" spans="1:3" hidden="1">
      <c r="A294" s="257" t="s">
        <v>114</v>
      </c>
      <c r="B294" s="278" t="s">
        <v>35</v>
      </c>
      <c r="C294" s="279">
        <f>$C$272+$C$278</f>
        <v>31195.30690755065</v>
      </c>
    </row>
    <row r="295" spans="1:3" ht="14.65" hidden="1" thickBot="1">
      <c r="A295" s="301" t="s">
        <v>66</v>
      </c>
      <c r="B295" s="277" t="s">
        <v>24</v>
      </c>
      <c r="C295" s="303">
        <f>C293/C294</f>
        <v>0.80092390992507678</v>
      </c>
    </row>
    <row r="296" spans="1:3">
      <c r="A296" s="83"/>
      <c r="B296" s="77"/>
      <c r="C296" s="96"/>
    </row>
    <row r="297" spans="1:3" ht="14.65" thickBot="1">
      <c r="A297" s="79" t="s">
        <v>373</v>
      </c>
    </row>
    <row r="298" spans="1:3" ht="14.65" thickBot="1">
      <c r="A298" s="605" t="s">
        <v>23</v>
      </c>
      <c r="B298" s="1057">
        <v>1.8</v>
      </c>
      <c r="C298" s="1058"/>
    </row>
    <row r="299" spans="1:3" ht="14.65" thickBot="1">
      <c r="A299" s="2"/>
      <c r="B299" s="1059" t="s">
        <v>120</v>
      </c>
      <c r="C299" s="1060"/>
    </row>
    <row r="300" spans="1:3">
      <c r="A300" s="703" t="s">
        <v>77</v>
      </c>
      <c r="B300" s="273" t="s">
        <v>157</v>
      </c>
      <c r="C300" s="285">
        <v>0.99</v>
      </c>
    </row>
    <row r="301" spans="1:3">
      <c r="A301" s="232" t="s">
        <v>73</v>
      </c>
      <c r="B301" s="704" t="s">
        <v>158</v>
      </c>
      <c r="C301" s="705">
        <v>0.9</v>
      </c>
    </row>
    <row r="302" spans="1:3">
      <c r="A302" s="232" t="s">
        <v>86</v>
      </c>
      <c r="B302" s="704" t="s">
        <v>159</v>
      </c>
      <c r="C302" s="706">
        <v>0.95</v>
      </c>
    </row>
    <row r="303" spans="1:3">
      <c r="A303" s="232" t="s">
        <v>82</v>
      </c>
      <c r="B303" s="704" t="s">
        <v>160</v>
      </c>
      <c r="C303" s="706">
        <v>2.5000000000000001E-2</v>
      </c>
    </row>
    <row r="304" spans="1:3">
      <c r="A304" s="232" t="s">
        <v>72</v>
      </c>
      <c r="B304" s="704" t="s">
        <v>160</v>
      </c>
      <c r="C304" s="706">
        <v>2.5000000000000001E-2</v>
      </c>
    </row>
    <row r="305" spans="1:4">
      <c r="A305" s="232" t="s">
        <v>78</v>
      </c>
      <c r="B305" s="704" t="s">
        <v>160</v>
      </c>
      <c r="C305" s="706">
        <v>2.5000000000000001E-2</v>
      </c>
    </row>
    <row r="306" spans="1:4">
      <c r="A306" s="232" t="s">
        <v>80</v>
      </c>
      <c r="B306" s="704" t="s">
        <v>160</v>
      </c>
      <c r="C306" s="706">
        <v>2.5000000000000001E-2</v>
      </c>
    </row>
    <row r="307" spans="1:4">
      <c r="A307" s="232" t="s">
        <v>83</v>
      </c>
      <c r="B307" s="704" t="s">
        <v>160</v>
      </c>
      <c r="C307" s="706">
        <v>2.5000000000000001E-2</v>
      </c>
    </row>
    <row r="308" spans="1:4">
      <c r="A308" s="232" t="s">
        <v>79</v>
      </c>
      <c r="B308" s="704" t="s">
        <v>160</v>
      </c>
      <c r="C308" s="706">
        <v>2.5000000000000001E-2</v>
      </c>
    </row>
    <row r="309" spans="1:4">
      <c r="A309" s="232" t="s">
        <v>75</v>
      </c>
      <c r="B309" s="704" t="s">
        <v>322</v>
      </c>
      <c r="C309" s="706">
        <v>2.5000000000000001E-2</v>
      </c>
    </row>
    <row r="310" spans="1:4" ht="14.65" thickBot="1">
      <c r="A310" s="233" t="s">
        <v>84</v>
      </c>
      <c r="B310" s="708" t="s">
        <v>323</v>
      </c>
      <c r="C310" s="755">
        <v>2.5000000000000001E-2</v>
      </c>
    </row>
    <row r="311" spans="1:4">
      <c r="A311" s="78"/>
      <c r="B311" s="97"/>
      <c r="C311" s="98"/>
    </row>
    <row r="312" spans="1:4" ht="14.65" thickBot="1">
      <c r="A312" s="79" t="s">
        <v>273</v>
      </c>
    </row>
    <row r="313" spans="1:4">
      <c r="A313" s="18"/>
      <c r="B313" s="266" t="s">
        <v>120</v>
      </c>
      <c r="C313" s="274" t="s">
        <v>243</v>
      </c>
      <c r="D313" s="275" t="s">
        <v>244</v>
      </c>
    </row>
    <row r="314" spans="1:4" ht="14.65" thickBot="1">
      <c r="A314" s="21"/>
      <c r="B314" s="351" t="s">
        <v>237</v>
      </c>
      <c r="C314" s="325" t="s">
        <v>35</v>
      </c>
      <c r="D314" s="326" t="s">
        <v>35</v>
      </c>
    </row>
    <row r="315" spans="1:4">
      <c r="A315" s="106" t="s">
        <v>72</v>
      </c>
      <c r="B315" s="632">
        <f>C304</f>
        <v>2.5000000000000001E-2</v>
      </c>
      <c r="C315" s="378">
        <f>B214</f>
        <v>165.98976432954106</v>
      </c>
      <c r="D315" s="362">
        <f>C315*B315</f>
        <v>4.1497441082385267</v>
      </c>
    </row>
    <row r="316" spans="1:4">
      <c r="A316" s="107" t="s">
        <v>73</v>
      </c>
      <c r="B316" s="363">
        <f>C301</f>
        <v>0.9</v>
      </c>
      <c r="C316" s="378">
        <f>B215</f>
        <v>0.17314080232283449</v>
      </c>
      <c r="D316" s="362">
        <f t="shared" ref="D316:D328" si="33">C316*B316</f>
        <v>0.15582672209055104</v>
      </c>
    </row>
    <row r="317" spans="1:4">
      <c r="A317" s="107" t="s">
        <v>75</v>
      </c>
      <c r="B317" s="633">
        <f>C309</f>
        <v>2.5000000000000001E-2</v>
      </c>
      <c r="C317" s="378">
        <f>B217</f>
        <v>2.3520000000000003E-2</v>
      </c>
      <c r="D317" s="362">
        <f t="shared" si="33"/>
        <v>5.8800000000000009E-4</v>
      </c>
    </row>
    <row r="318" spans="1:4">
      <c r="A318" s="108" t="s">
        <v>77</v>
      </c>
      <c r="B318" s="363">
        <f>C300</f>
        <v>0.99</v>
      </c>
      <c r="C318" s="378">
        <f>B219</f>
        <v>1.9488449114376936</v>
      </c>
      <c r="D318" s="362">
        <f t="shared" si="33"/>
        <v>1.9293564623233166</v>
      </c>
    </row>
    <row r="319" spans="1:4">
      <c r="A319" s="108" t="s">
        <v>78</v>
      </c>
      <c r="B319" s="633">
        <f>C305</f>
        <v>2.5000000000000001E-2</v>
      </c>
      <c r="C319" s="378">
        <f>B220</f>
        <v>219.71852357742503</v>
      </c>
      <c r="D319" s="362">
        <f t="shared" si="33"/>
        <v>5.4929630894356265</v>
      </c>
    </row>
    <row r="320" spans="1:4">
      <c r="A320" s="108" t="s">
        <v>79</v>
      </c>
      <c r="B320" s="633">
        <f>C308</f>
        <v>2.5000000000000001E-2</v>
      </c>
      <c r="C320" s="378">
        <f>B221</f>
        <v>35.864099256710965</v>
      </c>
      <c r="D320" s="362">
        <f t="shared" si="33"/>
        <v>0.89660248141777421</v>
      </c>
    </row>
    <row r="321" spans="1:4">
      <c r="A321" s="108" t="s">
        <v>80</v>
      </c>
      <c r="B321" s="633">
        <f>C306</f>
        <v>2.5000000000000001E-2</v>
      </c>
      <c r="C321" s="378">
        <f>B222</f>
        <v>66.734565408625116</v>
      </c>
      <c r="D321" s="362">
        <f t="shared" si="33"/>
        <v>1.668364135215628</v>
      </c>
    </row>
    <row r="322" spans="1:4">
      <c r="A322" s="108" t="s">
        <v>82</v>
      </c>
      <c r="B322" s="633">
        <f>C303</f>
        <v>2.5000000000000001E-2</v>
      </c>
      <c r="C322" s="378">
        <f>B224</f>
        <v>0.46087752978682439</v>
      </c>
      <c r="D322" s="362">
        <f t="shared" si="33"/>
        <v>1.1521938244670611E-2</v>
      </c>
    </row>
    <row r="323" spans="1:4">
      <c r="A323" s="108" t="s">
        <v>213</v>
      </c>
      <c r="B323" s="633">
        <f>C307</f>
        <v>2.5000000000000001E-2</v>
      </c>
      <c r="C323" s="576">
        <f>B225</f>
        <v>548.47296000000006</v>
      </c>
      <c r="D323" s="362">
        <f t="shared" si="33"/>
        <v>13.711824000000002</v>
      </c>
    </row>
    <row r="324" spans="1:4">
      <c r="A324" s="575" t="s">
        <v>96</v>
      </c>
      <c r="B324" s="633">
        <f>C307</f>
        <v>2.5000000000000001E-2</v>
      </c>
      <c r="C324" s="577">
        <f>B226</f>
        <v>1598.537142857143</v>
      </c>
      <c r="D324" s="362">
        <f t="shared" si="33"/>
        <v>39.96342857142858</v>
      </c>
    </row>
    <row r="325" spans="1:4">
      <c r="A325" s="575" t="s">
        <v>274</v>
      </c>
      <c r="B325" s="662">
        <f>C307</f>
        <v>2.5000000000000001E-2</v>
      </c>
      <c r="C325" s="577">
        <f>C323+C324</f>
        <v>2147.010102857143</v>
      </c>
      <c r="D325" s="362">
        <f t="shared" si="33"/>
        <v>53.67525257142858</v>
      </c>
    </row>
    <row r="326" spans="1:4">
      <c r="A326" s="575" t="s">
        <v>84</v>
      </c>
      <c r="B326" s="662">
        <f>C310</f>
        <v>2.5000000000000001E-2</v>
      </c>
      <c r="C326" s="577">
        <f>B228</f>
        <v>9.1801009653789414E-2</v>
      </c>
      <c r="D326" s="362">
        <f t="shared" si="33"/>
        <v>2.2950252413447354E-3</v>
      </c>
    </row>
    <row r="327" spans="1:4">
      <c r="A327" s="575" t="s">
        <v>248</v>
      </c>
      <c r="B327" s="574">
        <v>1</v>
      </c>
      <c r="C327" s="577">
        <f>C278*B264*32/78</f>
        <v>9.8929015615573057</v>
      </c>
      <c r="D327" s="362">
        <f t="shared" si="33"/>
        <v>9.8929015615573057</v>
      </c>
    </row>
    <row r="328" spans="1:4" ht="14.65" thickBot="1">
      <c r="A328" s="109" t="s">
        <v>86</v>
      </c>
      <c r="B328" s="757">
        <f>C302</f>
        <v>0.95</v>
      </c>
      <c r="C328" s="236">
        <f>B234</f>
        <v>7.2570684191029562</v>
      </c>
      <c r="D328" s="125">
        <f t="shared" si="33"/>
        <v>6.8942149981478078</v>
      </c>
    </row>
    <row r="330" spans="1:4" ht="14.65" thickBot="1">
      <c r="A330" s="79" t="s">
        <v>272</v>
      </c>
      <c r="D330" s="99"/>
    </row>
    <row r="331" spans="1:4" ht="14.65" thickBot="1">
      <c r="A331" s="16" t="s">
        <v>90</v>
      </c>
      <c r="B331" s="101" t="s">
        <v>18</v>
      </c>
      <c r="C331" s="17" t="s">
        <v>91</v>
      </c>
    </row>
    <row r="332" spans="1:4">
      <c r="A332" s="272" t="s">
        <v>9</v>
      </c>
      <c r="B332" s="278" t="s">
        <v>35</v>
      </c>
      <c r="C332" s="279">
        <f>$C$272</f>
        <v>30713.027956424732</v>
      </c>
    </row>
    <row r="333" spans="1:4">
      <c r="A333" s="281" t="s">
        <v>334</v>
      </c>
      <c r="B333" s="278" t="s">
        <v>35</v>
      </c>
      <c r="C333" s="289">
        <f>$C$278</f>
        <v>482.27895112591864</v>
      </c>
    </row>
    <row r="334" spans="1:4" ht="14.65" thickBot="1">
      <c r="A334" s="255" t="s">
        <v>6</v>
      </c>
      <c r="B334" s="271" t="s">
        <v>35</v>
      </c>
      <c r="C334" s="280">
        <f>C332+C333</f>
        <v>31195.30690755065</v>
      </c>
    </row>
    <row r="335" spans="1:4">
      <c r="B335" s="77"/>
      <c r="C335" s="83"/>
    </row>
    <row r="336" spans="1:4" ht="14.65" thickBot="1">
      <c r="A336" s="79" t="s">
        <v>203</v>
      </c>
      <c r="B336" s="79"/>
      <c r="C336" s="79"/>
      <c r="D336" s="99"/>
    </row>
    <row r="337" spans="1:4" ht="14.65" thickBot="1">
      <c r="A337" s="191" t="s">
        <v>90</v>
      </c>
      <c r="B337" s="192" t="s">
        <v>18</v>
      </c>
      <c r="C337" s="193" t="s">
        <v>106</v>
      </c>
      <c r="D337" s="99"/>
    </row>
    <row r="338" spans="1:4">
      <c r="A338" s="272" t="s">
        <v>202</v>
      </c>
      <c r="B338" s="298" t="s">
        <v>35</v>
      </c>
      <c r="C338" s="313">
        <f>$C$201</f>
        <v>6186.1257802861255</v>
      </c>
      <c r="D338" s="99"/>
    </row>
    <row r="339" spans="1:4">
      <c r="A339" s="257" t="s">
        <v>115</v>
      </c>
      <c r="B339" s="278" t="s">
        <v>24</v>
      </c>
      <c r="C339" s="312">
        <v>0.05</v>
      </c>
      <c r="D339" s="99"/>
    </row>
    <row r="340" spans="1:4">
      <c r="A340" s="257" t="s">
        <v>334</v>
      </c>
      <c r="B340" s="278" t="s">
        <v>35</v>
      </c>
      <c r="C340" s="295">
        <f>$C$278</f>
        <v>482.27895112591864</v>
      </c>
      <c r="D340" s="99"/>
    </row>
    <row r="341" spans="1:4">
      <c r="A341" s="257" t="s">
        <v>429</v>
      </c>
      <c r="B341" s="278" t="s">
        <v>35</v>
      </c>
      <c r="C341" s="295">
        <f>C340*C339</f>
        <v>24.113947556295933</v>
      </c>
      <c r="D341" s="99"/>
    </row>
    <row r="342" spans="1:4">
      <c r="A342" s="257" t="s">
        <v>337</v>
      </c>
      <c r="B342" s="278" t="s">
        <v>35</v>
      </c>
      <c r="C342" s="279">
        <f>C338+C341</f>
        <v>6210.2397278424214</v>
      </c>
      <c r="D342" s="99"/>
    </row>
    <row r="343" spans="1:4">
      <c r="A343" s="257" t="s">
        <v>6</v>
      </c>
      <c r="B343" s="278" t="s">
        <v>35</v>
      </c>
      <c r="C343" s="289">
        <f>$C$334</f>
        <v>31195.30690755065</v>
      </c>
      <c r="D343" s="99"/>
    </row>
    <row r="344" spans="1:4">
      <c r="A344" s="299" t="s">
        <v>64</v>
      </c>
      <c r="B344" s="260" t="s">
        <v>24</v>
      </c>
      <c r="C344" s="300">
        <f>C342/C343</f>
        <v>0.19907609007492302</v>
      </c>
      <c r="D344" s="99"/>
    </row>
    <row r="345" spans="1:4">
      <c r="A345" s="257" t="s">
        <v>342</v>
      </c>
      <c r="B345" s="278" t="s">
        <v>35</v>
      </c>
      <c r="C345" s="279">
        <f>$C$206</f>
        <v>24526.902176138599</v>
      </c>
    </row>
    <row r="346" spans="1:4">
      <c r="A346" s="257" t="s">
        <v>117</v>
      </c>
      <c r="B346" s="278" t="s">
        <v>24</v>
      </c>
      <c r="C346" s="312">
        <f>1-C339</f>
        <v>0.95</v>
      </c>
    </row>
    <row r="347" spans="1:4">
      <c r="A347" s="257" t="s">
        <v>334</v>
      </c>
      <c r="B347" s="278" t="s">
        <v>35</v>
      </c>
      <c r="C347" s="295">
        <f>$C$278</f>
        <v>482.27895112591864</v>
      </c>
    </row>
    <row r="348" spans="1:4">
      <c r="A348" s="257" t="s">
        <v>356</v>
      </c>
      <c r="B348" s="278" t="s">
        <v>35</v>
      </c>
      <c r="C348" s="279">
        <f>C346*C347</f>
        <v>458.16500356962268</v>
      </c>
    </row>
    <row r="349" spans="1:4">
      <c r="A349" s="257" t="s">
        <v>335</v>
      </c>
      <c r="B349" s="278" t="s">
        <v>35</v>
      </c>
      <c r="C349" s="279">
        <f>C345+C348</f>
        <v>24985.067179708221</v>
      </c>
    </row>
    <row r="350" spans="1:4">
      <c r="A350" s="257" t="s">
        <v>6</v>
      </c>
      <c r="B350" s="278" t="s">
        <v>35</v>
      </c>
      <c r="C350" s="289">
        <f>$C$334</f>
        <v>31195.30690755065</v>
      </c>
    </row>
    <row r="351" spans="1:4" ht="14.65" thickBot="1">
      <c r="A351" s="366" t="s">
        <v>66</v>
      </c>
      <c r="B351" s="365" t="s">
        <v>24</v>
      </c>
      <c r="C351" s="303">
        <f>C349/C350</f>
        <v>0.80092390992507678</v>
      </c>
    </row>
    <row r="352" spans="1:4">
      <c r="A352" s="83"/>
      <c r="B352" s="77"/>
      <c r="C352" s="96"/>
    </row>
    <row r="353" spans="1:12" ht="14.65" thickBot="1">
      <c r="A353" s="79" t="s">
        <v>124</v>
      </c>
    </row>
    <row r="354" spans="1:12" ht="14.65" thickBot="1">
      <c r="A354" s="419"/>
      <c r="B354" s="1062" t="s">
        <v>262</v>
      </c>
      <c r="C354" s="1063"/>
      <c r="D354" s="1063"/>
      <c r="E354" s="1063"/>
      <c r="F354" s="1064"/>
      <c r="G354" s="1062" t="s">
        <v>263</v>
      </c>
      <c r="H354" s="1063"/>
      <c r="I354" s="1063"/>
      <c r="J354" s="1063"/>
      <c r="K354" s="1063"/>
      <c r="L354" s="1066"/>
    </row>
    <row r="355" spans="1:12">
      <c r="A355" s="452"/>
      <c r="B355" s="1024" t="s">
        <v>275</v>
      </c>
      <c r="C355" s="1041" t="s">
        <v>243</v>
      </c>
      <c r="D355" s="1041" t="s">
        <v>256</v>
      </c>
      <c r="E355" s="1041" t="s">
        <v>337</v>
      </c>
      <c r="F355" s="1083" t="s">
        <v>276</v>
      </c>
      <c r="G355" s="1022" t="s">
        <v>269</v>
      </c>
      <c r="H355" s="1054"/>
      <c r="I355" s="1022" t="s">
        <v>277</v>
      </c>
      <c r="J355" s="1032"/>
      <c r="K355" s="1032"/>
      <c r="L355" s="1023"/>
    </row>
    <row r="356" spans="1:12">
      <c r="A356" s="219" t="s">
        <v>93</v>
      </c>
      <c r="B356" s="1067"/>
      <c r="C356" s="1042"/>
      <c r="D356" s="1042"/>
      <c r="E356" s="1042"/>
      <c r="F356" s="1084"/>
      <c r="G356" s="1033"/>
      <c r="H356" s="1046"/>
      <c r="I356" s="1033" t="s">
        <v>243</v>
      </c>
      <c r="J356" s="1034"/>
      <c r="K356" s="1034" t="s">
        <v>256</v>
      </c>
      <c r="L356" s="1035"/>
    </row>
    <row r="357" spans="1:12" ht="14.65" thickBot="1">
      <c r="A357" s="220" t="s">
        <v>18</v>
      </c>
      <c r="B357" s="403" t="s">
        <v>35</v>
      </c>
      <c r="C357" s="154" t="s">
        <v>35</v>
      </c>
      <c r="D357" s="154" t="s">
        <v>35</v>
      </c>
      <c r="E357" s="154" t="s">
        <v>35</v>
      </c>
      <c r="F357" s="423" t="s">
        <v>35</v>
      </c>
      <c r="G357" s="403" t="s">
        <v>257</v>
      </c>
      <c r="H357" s="423" t="s">
        <v>237</v>
      </c>
      <c r="I357" s="403" t="s">
        <v>70</v>
      </c>
      <c r="J357" s="154" t="s">
        <v>237</v>
      </c>
      <c r="K357" s="154" t="s">
        <v>70</v>
      </c>
      <c r="L357" s="155" t="s">
        <v>237</v>
      </c>
    </row>
    <row r="358" spans="1:12">
      <c r="A358" s="150" t="s">
        <v>72</v>
      </c>
      <c r="B358" s="540">
        <f t="shared" ref="B358:B370" si="34">B214</f>
        <v>165.98976432954106</v>
      </c>
      <c r="C358" s="428">
        <f>B358-D358</f>
        <v>161.84002022130252</v>
      </c>
      <c r="D358" s="580">
        <f>D315</f>
        <v>4.1497441082385267</v>
      </c>
      <c r="E358" s="428">
        <f>$C$342</f>
        <v>6210.2397278424214</v>
      </c>
      <c r="F358" s="545">
        <f>$C$334</f>
        <v>31195.30690755065</v>
      </c>
      <c r="G358" s="557">
        <f>B358/E358*1000000</f>
        <v>26728.398838672478</v>
      </c>
      <c r="H358" s="554">
        <f>G358/1000000</f>
        <v>2.6728398838672479E-2</v>
      </c>
      <c r="I358" s="557">
        <f>C358/F358*1000000</f>
        <v>5187.9605063968784</v>
      </c>
      <c r="J358" s="430">
        <f>I358/1000000</f>
        <v>5.1879605063968786E-3</v>
      </c>
      <c r="K358" s="431">
        <f>D358/F358*1000000</f>
        <v>133.02462836915075</v>
      </c>
      <c r="L358" s="433">
        <f>K358/1000000</f>
        <v>1.3302462836915074E-4</v>
      </c>
    </row>
    <row r="359" spans="1:12">
      <c r="A359" s="149" t="s">
        <v>73</v>
      </c>
      <c r="B359" s="541">
        <f t="shared" si="34"/>
        <v>0.17314080232283449</v>
      </c>
      <c r="C359" s="235">
        <f t="shared" ref="C359:C374" si="35">B359-D359</f>
        <v>1.7314080232283452E-2</v>
      </c>
      <c r="D359" s="579">
        <f>D316</f>
        <v>0.15582672209055104</v>
      </c>
      <c r="E359" s="235">
        <f t="shared" ref="E359:E374" si="36">$C$342</f>
        <v>6210.2397278424214</v>
      </c>
      <c r="F359" s="546">
        <f t="shared" ref="F359:F374" si="37">$C$334</f>
        <v>31195.30690755065</v>
      </c>
      <c r="G359" s="558">
        <f t="shared" ref="G359:G374" si="38">B359/E359*1000000</f>
        <v>27.879890295794997</v>
      </c>
      <c r="H359" s="555">
        <f t="shared" ref="H359:H374" si="39">G359/1000000</f>
        <v>2.7879890295794998E-5</v>
      </c>
      <c r="I359" s="558">
        <f t="shared" ref="I359:I374" si="40">C359/F359*1000000</f>
        <v>0.55502195518046582</v>
      </c>
      <c r="J359" s="425">
        <f t="shared" ref="J359:J374" si="41">I359/1000000</f>
        <v>5.5502195518046577E-7</v>
      </c>
      <c r="K359" s="426">
        <f t="shared" ref="K359:K374" si="42">D359/F359*1000000</f>
        <v>4.9951975966241919</v>
      </c>
      <c r="L359" s="434">
        <f t="shared" ref="L359:L374" si="43">K359/1000000</f>
        <v>4.9951975966241924E-6</v>
      </c>
    </row>
    <row r="360" spans="1:12">
      <c r="A360" s="149" t="s">
        <v>74</v>
      </c>
      <c r="B360" s="541">
        <f t="shared" si="34"/>
        <v>450.27935403260932</v>
      </c>
      <c r="C360" s="235">
        <f t="shared" si="35"/>
        <v>450.27935403260932</v>
      </c>
      <c r="D360" s="579">
        <v>0</v>
      </c>
      <c r="E360" s="235">
        <f t="shared" si="36"/>
        <v>6210.2397278424214</v>
      </c>
      <c r="F360" s="546">
        <f t="shared" si="37"/>
        <v>31195.30690755065</v>
      </c>
      <c r="G360" s="558">
        <f t="shared" si="38"/>
        <v>72505.953677418918</v>
      </c>
      <c r="H360" s="555">
        <f t="shared" si="39"/>
        <v>7.2505953677418924E-2</v>
      </c>
      <c r="I360" s="558">
        <f t="shared" si="40"/>
        <v>14434.201765254047</v>
      </c>
      <c r="J360" s="425">
        <f t="shared" si="41"/>
        <v>1.4434201765254047E-2</v>
      </c>
      <c r="K360" s="426">
        <f t="shared" si="42"/>
        <v>0</v>
      </c>
      <c r="L360" s="434">
        <f t="shared" si="43"/>
        <v>0</v>
      </c>
    </row>
    <row r="361" spans="1:12">
      <c r="A361" s="149" t="s">
        <v>75</v>
      </c>
      <c r="B361" s="541">
        <f t="shared" si="34"/>
        <v>2.3520000000000003E-2</v>
      </c>
      <c r="C361" s="235">
        <f t="shared" si="35"/>
        <v>2.2932000000000001E-2</v>
      </c>
      <c r="D361" s="579">
        <f>D317</f>
        <v>5.8800000000000009E-4</v>
      </c>
      <c r="E361" s="235">
        <f t="shared" si="36"/>
        <v>6210.2397278424214</v>
      </c>
      <c r="F361" s="546">
        <f t="shared" si="37"/>
        <v>31195.30690755065</v>
      </c>
      <c r="G361" s="558">
        <f t="shared" si="38"/>
        <v>3.7872934106798786</v>
      </c>
      <c r="H361" s="555">
        <f t="shared" si="39"/>
        <v>3.7872934106798784E-6</v>
      </c>
      <c r="I361" s="558">
        <f t="shared" si="40"/>
        <v>0.735110575060553</v>
      </c>
      <c r="J361" s="425">
        <f t="shared" si="41"/>
        <v>7.35110575060553E-7</v>
      </c>
      <c r="K361" s="426">
        <f t="shared" si="42"/>
        <v>1.8848989104116746E-2</v>
      </c>
      <c r="L361" s="434">
        <f t="shared" si="43"/>
        <v>1.8848989104116746E-8</v>
      </c>
    </row>
    <row r="362" spans="1:12">
      <c r="A362" s="149" t="s">
        <v>76</v>
      </c>
      <c r="B362" s="541">
        <f t="shared" si="34"/>
        <v>0.26464265446041685</v>
      </c>
      <c r="C362" s="235">
        <f t="shared" si="35"/>
        <v>0.26464265446041685</v>
      </c>
      <c r="D362" s="579">
        <v>0</v>
      </c>
      <c r="E362" s="235">
        <f t="shared" si="36"/>
        <v>6210.2397278424214</v>
      </c>
      <c r="F362" s="546">
        <f t="shared" si="37"/>
        <v>31195.30690755065</v>
      </c>
      <c r="G362" s="558">
        <f t="shared" si="38"/>
        <v>42.613919278178926</v>
      </c>
      <c r="H362" s="555">
        <f t="shared" si="39"/>
        <v>4.2613919278178929E-5</v>
      </c>
      <c r="I362" s="558">
        <f t="shared" si="40"/>
        <v>8.4834124326682474</v>
      </c>
      <c r="J362" s="425">
        <f t="shared" si="41"/>
        <v>8.4834124326682482E-6</v>
      </c>
      <c r="K362" s="426">
        <f t="shared" si="42"/>
        <v>0</v>
      </c>
      <c r="L362" s="434">
        <f t="shared" si="43"/>
        <v>0</v>
      </c>
    </row>
    <row r="363" spans="1:12">
      <c r="A363" s="150" t="s">
        <v>77</v>
      </c>
      <c r="B363" s="541">
        <f t="shared" si="34"/>
        <v>1.9488449114376936</v>
      </c>
      <c r="C363" s="235">
        <f t="shared" si="35"/>
        <v>1.9488449114376971E-2</v>
      </c>
      <c r="D363" s="579">
        <f>D318</f>
        <v>1.9293564623233166</v>
      </c>
      <c r="E363" s="235">
        <f t="shared" si="36"/>
        <v>6210.2397278424214</v>
      </c>
      <c r="F363" s="546">
        <f t="shared" si="37"/>
        <v>31195.30690755065</v>
      </c>
      <c r="G363" s="558">
        <f t="shared" si="38"/>
        <v>313.81154300701473</v>
      </c>
      <c r="H363" s="555">
        <f t="shared" si="39"/>
        <v>3.1381154300701473E-4</v>
      </c>
      <c r="I363" s="558">
        <f t="shared" si="40"/>
        <v>0.62472375002215164</v>
      </c>
      <c r="J363" s="425">
        <f t="shared" si="41"/>
        <v>6.247237500221516E-7</v>
      </c>
      <c r="K363" s="426">
        <f t="shared" si="42"/>
        <v>61.847651252192897</v>
      </c>
      <c r="L363" s="434">
        <f t="shared" si="43"/>
        <v>6.18476512521929E-5</v>
      </c>
    </row>
    <row r="364" spans="1:12">
      <c r="A364" s="150" t="s">
        <v>78</v>
      </c>
      <c r="B364" s="541">
        <f t="shared" si="34"/>
        <v>219.71852357742503</v>
      </c>
      <c r="C364" s="235">
        <f t="shared" si="35"/>
        <v>214.22556048798941</v>
      </c>
      <c r="D364" s="579">
        <f>D319</f>
        <v>5.4929630894356265</v>
      </c>
      <c r="E364" s="235">
        <f t="shared" si="36"/>
        <v>6210.2397278424214</v>
      </c>
      <c r="F364" s="546">
        <f t="shared" si="37"/>
        <v>31195.30690755065</v>
      </c>
      <c r="G364" s="558">
        <f t="shared" si="38"/>
        <v>35380.038968924026</v>
      </c>
      <c r="H364" s="555">
        <f t="shared" si="39"/>
        <v>3.5380038968924027E-2</v>
      </c>
      <c r="I364" s="558">
        <f t="shared" si="40"/>
        <v>6867.2368290160121</v>
      </c>
      <c r="J364" s="425">
        <f t="shared" si="41"/>
        <v>6.8672368290160117E-3</v>
      </c>
      <c r="K364" s="426">
        <f t="shared" si="42"/>
        <v>176.0829956157952</v>
      </c>
      <c r="L364" s="434">
        <f t="shared" si="43"/>
        <v>1.760829956157952E-4</v>
      </c>
    </row>
    <row r="365" spans="1:12">
      <c r="A365" s="150" t="s">
        <v>79</v>
      </c>
      <c r="B365" s="541">
        <f t="shared" si="34"/>
        <v>35.864099256710965</v>
      </c>
      <c r="C365" s="235">
        <f t="shared" si="35"/>
        <v>34.967496775293192</v>
      </c>
      <c r="D365" s="579">
        <f>D320</f>
        <v>0.89660248141777421</v>
      </c>
      <c r="E365" s="235">
        <f t="shared" si="36"/>
        <v>6210.2397278424214</v>
      </c>
      <c r="F365" s="546">
        <f t="shared" si="37"/>
        <v>31195.30690755065</v>
      </c>
      <c r="G365" s="558">
        <f t="shared" si="38"/>
        <v>5774.9943365183044</v>
      </c>
      <c r="H365" s="555">
        <f t="shared" si="39"/>
        <v>5.774994336518304E-3</v>
      </c>
      <c r="I365" s="558">
        <f t="shared" si="40"/>
        <v>1120.9217104009163</v>
      </c>
      <c r="J365" s="425">
        <f t="shared" si="41"/>
        <v>1.1209217104009162E-3</v>
      </c>
      <c r="K365" s="426">
        <f t="shared" si="42"/>
        <v>28.741582317972213</v>
      </c>
      <c r="L365" s="434">
        <f t="shared" si="43"/>
        <v>2.8741582317972215E-5</v>
      </c>
    </row>
    <row r="366" spans="1:12">
      <c r="A366" s="150" t="s">
        <v>80</v>
      </c>
      <c r="B366" s="541">
        <f t="shared" si="34"/>
        <v>66.734565408625116</v>
      </c>
      <c r="C366" s="235">
        <f t="shared" si="35"/>
        <v>65.06620127340949</v>
      </c>
      <c r="D366" s="579">
        <f>D321</f>
        <v>1.668364135215628</v>
      </c>
      <c r="E366" s="235">
        <f t="shared" si="36"/>
        <v>6210.2397278424214</v>
      </c>
      <c r="F366" s="546">
        <f t="shared" si="37"/>
        <v>31195.30690755065</v>
      </c>
      <c r="G366" s="558">
        <f t="shared" si="38"/>
        <v>10745.89199985847</v>
      </c>
      <c r="H366" s="555">
        <f t="shared" si="39"/>
        <v>1.0745891999858469E-2</v>
      </c>
      <c r="I366" s="558">
        <f t="shared" si="40"/>
        <v>2085.7689096067388</v>
      </c>
      <c r="J366" s="425">
        <f t="shared" si="41"/>
        <v>2.0857689096067389E-3</v>
      </c>
      <c r="K366" s="426">
        <f t="shared" si="42"/>
        <v>53.481254092480484</v>
      </c>
      <c r="L366" s="434">
        <f t="shared" si="43"/>
        <v>5.3481254092480487E-5</v>
      </c>
    </row>
    <row r="367" spans="1:12">
      <c r="A367" s="150" t="s">
        <v>81</v>
      </c>
      <c r="B367" s="541">
        <f t="shared" si="34"/>
        <v>37.24435889358238</v>
      </c>
      <c r="C367" s="235">
        <f t="shared" si="35"/>
        <v>37.24435889358238</v>
      </c>
      <c r="D367" s="579">
        <v>0</v>
      </c>
      <c r="E367" s="235">
        <f t="shared" si="36"/>
        <v>6210.2397278424214</v>
      </c>
      <c r="F367" s="546">
        <f t="shared" si="37"/>
        <v>31195.30690755065</v>
      </c>
      <c r="G367" s="558">
        <f t="shared" si="38"/>
        <v>5997.2497883784463</v>
      </c>
      <c r="H367" s="555">
        <f t="shared" si="39"/>
        <v>5.9972497883784464E-3</v>
      </c>
      <c r="I367" s="558">
        <f t="shared" si="40"/>
        <v>1193.9090390730405</v>
      </c>
      <c r="J367" s="425">
        <f t="shared" si="41"/>
        <v>1.1939090390730405E-3</v>
      </c>
      <c r="K367" s="426">
        <f t="shared" si="42"/>
        <v>0</v>
      </c>
      <c r="L367" s="434">
        <f t="shared" si="43"/>
        <v>0</v>
      </c>
    </row>
    <row r="368" spans="1:12">
      <c r="A368" s="150" t="s">
        <v>82</v>
      </c>
      <c r="B368" s="541">
        <f t="shared" si="34"/>
        <v>0.46087752978682439</v>
      </c>
      <c r="C368" s="235">
        <f t="shared" si="35"/>
        <v>0.44935559154215376</v>
      </c>
      <c r="D368" s="579">
        <f>D322</f>
        <v>1.1521938244670611E-2</v>
      </c>
      <c r="E368" s="235">
        <f t="shared" si="36"/>
        <v>6210.2397278424214</v>
      </c>
      <c r="F368" s="546">
        <f t="shared" si="37"/>
        <v>31195.30690755065</v>
      </c>
      <c r="G368" s="558">
        <f t="shared" si="38"/>
        <v>74.212518354254215</v>
      </c>
      <c r="H368" s="555">
        <f t="shared" si="39"/>
        <v>7.4212518354254214E-5</v>
      </c>
      <c r="I368" s="558">
        <f t="shared" si="40"/>
        <v>14.404589538863929</v>
      </c>
      <c r="J368" s="425">
        <f t="shared" si="41"/>
        <v>1.4404589538863929E-5</v>
      </c>
      <c r="K368" s="426">
        <f t="shared" si="42"/>
        <v>0.36934844971445979</v>
      </c>
      <c r="L368" s="434">
        <f t="shared" si="43"/>
        <v>3.6934844971445979E-7</v>
      </c>
    </row>
    <row r="369" spans="1:12">
      <c r="A369" s="150" t="s">
        <v>213</v>
      </c>
      <c r="B369" s="541">
        <f t="shared" si="34"/>
        <v>548.47296000000006</v>
      </c>
      <c r="C369" s="235">
        <f t="shared" si="35"/>
        <v>534.76113600000008</v>
      </c>
      <c r="D369" s="743">
        <f>D323</f>
        <v>13.711824000000002</v>
      </c>
      <c r="E369" s="235">
        <f t="shared" si="36"/>
        <v>6210.2397278424214</v>
      </c>
      <c r="F369" s="546">
        <f t="shared" si="37"/>
        <v>31195.30690755065</v>
      </c>
      <c r="G369" s="558">
        <f t="shared" si="38"/>
        <v>88317.518169391507</v>
      </c>
      <c r="H369" s="555">
        <f t="shared" si="39"/>
        <v>8.8317518169391512E-2</v>
      </c>
      <c r="I369" s="558">
        <f t="shared" si="40"/>
        <v>17142.358547226351</v>
      </c>
      <c r="J369" s="425">
        <f t="shared" si="41"/>
        <v>1.7142358547226351E-2</v>
      </c>
      <c r="K369" s="426">
        <f t="shared" si="42"/>
        <v>439.54765505708588</v>
      </c>
      <c r="L369" s="434">
        <f t="shared" si="43"/>
        <v>4.3954765505708587E-4</v>
      </c>
    </row>
    <row r="370" spans="1:12">
      <c r="A370" s="150" t="s">
        <v>96</v>
      </c>
      <c r="B370" s="541">
        <f t="shared" si="34"/>
        <v>1598.537142857143</v>
      </c>
      <c r="C370" s="235">
        <f t="shared" si="35"/>
        <v>1558.5737142857145</v>
      </c>
      <c r="D370" s="579">
        <f>D324</f>
        <v>39.96342857142858</v>
      </c>
      <c r="E370" s="235">
        <f t="shared" si="36"/>
        <v>6210.2397278424214</v>
      </c>
      <c r="F370" s="546">
        <f t="shared" si="37"/>
        <v>31195.30690755065</v>
      </c>
      <c r="G370" s="558">
        <f t="shared" si="38"/>
        <v>257403.45186521669</v>
      </c>
      <c r="H370" s="555">
        <f t="shared" si="39"/>
        <v>0.25740345186521668</v>
      </c>
      <c r="I370" s="558">
        <f t="shared" si="40"/>
        <v>49961.800949888086</v>
      </c>
      <c r="J370" s="425">
        <f t="shared" si="41"/>
        <v>4.9961800949888086E-2</v>
      </c>
      <c r="K370" s="426">
        <f t="shared" si="42"/>
        <v>1281.0718192278998</v>
      </c>
      <c r="L370" s="434">
        <f t="shared" si="43"/>
        <v>1.2810718192278999E-3</v>
      </c>
    </row>
    <row r="371" spans="1:12">
      <c r="A371" s="151" t="s">
        <v>274</v>
      </c>
      <c r="B371" s="541">
        <f>B369+B370</f>
        <v>2147.010102857143</v>
      </c>
      <c r="C371" s="235">
        <f t="shared" si="35"/>
        <v>2093.3348502857143</v>
      </c>
      <c r="D371" s="579">
        <f>D369+D370</f>
        <v>53.67525257142858</v>
      </c>
      <c r="E371" s="235">
        <f t="shared" si="36"/>
        <v>6210.2397278424214</v>
      </c>
      <c r="F371" s="546">
        <f t="shared" si="37"/>
        <v>31195.30690755065</v>
      </c>
      <c r="G371" s="558">
        <f t="shared" si="38"/>
        <v>345720.97003460815</v>
      </c>
      <c r="H371" s="555">
        <f t="shared" si="39"/>
        <v>0.34572097003460817</v>
      </c>
      <c r="I371" s="558">
        <f t="shared" si="40"/>
        <v>67104.159497114422</v>
      </c>
      <c r="J371" s="425">
        <f t="shared" si="41"/>
        <v>6.7104159497114416E-2</v>
      </c>
      <c r="K371" s="426">
        <f t="shared" si="42"/>
        <v>1720.6194742849857</v>
      </c>
      <c r="L371" s="434">
        <f t="shared" si="43"/>
        <v>1.7206194742849857E-3</v>
      </c>
    </row>
    <row r="372" spans="1:12">
      <c r="A372" s="151" t="s">
        <v>84</v>
      </c>
      <c r="B372" s="541">
        <f>B228</f>
        <v>9.1801009653789414E-2</v>
      </c>
      <c r="C372" s="235">
        <f t="shared" si="35"/>
        <v>8.9505984412444672E-2</v>
      </c>
      <c r="D372" s="579">
        <f>D326</f>
        <v>2.2950252413447354E-3</v>
      </c>
      <c r="E372" s="235">
        <f t="shared" si="36"/>
        <v>6210.2397278424214</v>
      </c>
      <c r="F372" s="546">
        <f t="shared" si="37"/>
        <v>31195.30690755065</v>
      </c>
      <c r="G372" s="558">
        <f t="shared" si="38"/>
        <v>14.782200635865498</v>
      </c>
      <c r="H372" s="555">
        <f t="shared" si="39"/>
        <v>1.4782200635865498E-5</v>
      </c>
      <c r="I372" s="558">
        <f t="shared" si="40"/>
        <v>2.869213137658865</v>
      </c>
      <c r="J372" s="425">
        <f t="shared" si="41"/>
        <v>2.8692131376588651E-6</v>
      </c>
      <c r="K372" s="426">
        <f t="shared" si="42"/>
        <v>7.3569567632278607E-2</v>
      </c>
      <c r="L372" s="434">
        <f t="shared" si="43"/>
        <v>7.3569567632278603E-8</v>
      </c>
    </row>
    <row r="373" spans="1:12">
      <c r="A373" s="151" t="s">
        <v>248</v>
      </c>
      <c r="B373" s="33">
        <f>C278*B264*32/78</f>
        <v>9.8929015615573057</v>
      </c>
      <c r="C373" s="235">
        <f t="shared" si="35"/>
        <v>0</v>
      </c>
      <c r="D373" s="579">
        <f>D327</f>
        <v>9.8929015615573057</v>
      </c>
      <c r="E373" s="235">
        <f t="shared" si="36"/>
        <v>6210.2397278424214</v>
      </c>
      <c r="F373" s="546">
        <f t="shared" si="37"/>
        <v>31195.30690755065</v>
      </c>
      <c r="G373" s="558">
        <f t="shared" si="38"/>
        <v>1592.998337440079</v>
      </c>
      <c r="H373" s="555">
        <f t="shared" si="39"/>
        <v>1.5929983374400791E-3</v>
      </c>
      <c r="I373" s="558">
        <f t="shared" si="40"/>
        <v>0</v>
      </c>
      <c r="J373" s="425">
        <f t="shared" si="41"/>
        <v>0</v>
      </c>
      <c r="K373" s="426">
        <f t="shared" si="42"/>
        <v>317.1278805134238</v>
      </c>
      <c r="L373" s="434">
        <f t="shared" si="43"/>
        <v>3.1712788051342378E-4</v>
      </c>
    </row>
    <row r="374" spans="1:12" ht="14.65" thickBot="1">
      <c r="A374" s="152" t="s">
        <v>86</v>
      </c>
      <c r="B374" s="542">
        <f>B234</f>
        <v>7.2570684191029562</v>
      </c>
      <c r="C374" s="236">
        <f t="shared" si="35"/>
        <v>0.36285342095514839</v>
      </c>
      <c r="D374" s="581">
        <f>D328</f>
        <v>6.8942149981478078</v>
      </c>
      <c r="E374" s="236">
        <f t="shared" si="36"/>
        <v>6210.2397278424214</v>
      </c>
      <c r="F374" s="547">
        <f t="shared" si="37"/>
        <v>31195.30690755065</v>
      </c>
      <c r="G374" s="559">
        <f t="shared" si="38"/>
        <v>1168.5649406684381</v>
      </c>
      <c r="H374" s="556">
        <f t="shared" si="39"/>
        <v>1.1685649406684381E-3</v>
      </c>
      <c r="I374" s="559">
        <f t="shared" si="40"/>
        <v>11.631666969345371</v>
      </c>
      <c r="J374" s="436">
        <f t="shared" si="41"/>
        <v>1.1631666969345372E-5</v>
      </c>
      <c r="K374" s="437">
        <f t="shared" si="42"/>
        <v>221.00167241756168</v>
      </c>
      <c r="L374" s="439">
        <f t="shared" si="43"/>
        <v>2.2100167241756167E-4</v>
      </c>
    </row>
    <row r="376" spans="1:12">
      <c r="A376" s="1" t="s">
        <v>204</v>
      </c>
      <c r="B376" s="1"/>
      <c r="C376" s="1"/>
    </row>
    <row r="377" spans="1:12" ht="14.65" thickBot="1">
      <c r="A377" s="79" t="s">
        <v>361</v>
      </c>
    </row>
    <row r="378" spans="1:12" ht="14.65" thickBot="1">
      <c r="A378" s="453" t="s">
        <v>26</v>
      </c>
      <c r="B378" s="454" t="s">
        <v>27</v>
      </c>
      <c r="C378" s="455" t="s">
        <v>355</v>
      </c>
    </row>
    <row r="379" spans="1:12" ht="14.65" thickBot="1">
      <c r="A379" s="456">
        <v>0.98599999999999999</v>
      </c>
      <c r="B379" s="457">
        <v>1.4E-2</v>
      </c>
      <c r="C379" s="458">
        <v>0.3</v>
      </c>
    </row>
    <row r="381" spans="1:12" ht="14.65" thickBot="1">
      <c r="A381" s="79" t="s">
        <v>287</v>
      </c>
    </row>
    <row r="382" spans="1:12">
      <c r="A382" s="18" t="s">
        <v>53</v>
      </c>
      <c r="B382" s="104" t="s">
        <v>18</v>
      </c>
      <c r="C382" s="15" t="s">
        <v>106</v>
      </c>
    </row>
    <row r="383" spans="1:12" ht="14.65" thickBot="1">
      <c r="A383" s="93" t="s">
        <v>6</v>
      </c>
      <c r="B383" s="271" t="s">
        <v>35</v>
      </c>
      <c r="C383" s="384">
        <f>$C$334</f>
        <v>31195.30690755065</v>
      </c>
    </row>
    <row r="384" spans="1:12" hidden="1">
      <c r="A384" s="83"/>
      <c r="B384" s="77"/>
      <c r="C384" s="95"/>
    </row>
    <row r="385" spans="1:3" hidden="1">
      <c r="A385" s="79" t="s">
        <v>47</v>
      </c>
      <c r="B385" s="79"/>
      <c r="C385" s="79"/>
    </row>
    <row r="386" spans="1:3" ht="14.65" hidden="1" thickBot="1">
      <c r="A386" s="103" t="s">
        <v>53</v>
      </c>
      <c r="B386" s="102" t="s">
        <v>18</v>
      </c>
      <c r="C386" s="17" t="s">
        <v>106</v>
      </c>
    </row>
    <row r="387" spans="1:3" hidden="1">
      <c r="A387" s="272" t="s">
        <v>202</v>
      </c>
      <c r="B387" s="278" t="s">
        <v>35</v>
      </c>
      <c r="C387" s="279">
        <f>$C$201</f>
        <v>6186.1257802861255</v>
      </c>
    </row>
    <row r="388" spans="1:3" hidden="1">
      <c r="A388" s="257" t="s">
        <v>115</v>
      </c>
      <c r="B388" s="278" t="s">
        <v>24</v>
      </c>
      <c r="C388" s="312">
        <v>0.05</v>
      </c>
    </row>
    <row r="389" spans="1:3" hidden="1">
      <c r="A389" s="257" t="s">
        <v>113</v>
      </c>
      <c r="B389" s="278" t="s">
        <v>35</v>
      </c>
      <c r="C389" s="295">
        <f>$C$278</f>
        <v>482.27895112591864</v>
      </c>
    </row>
    <row r="390" spans="1:3" hidden="1">
      <c r="A390" s="257" t="s">
        <v>116</v>
      </c>
      <c r="B390" s="278" t="s">
        <v>35</v>
      </c>
      <c r="C390" s="295">
        <f>C389*C388</f>
        <v>24.113947556295933</v>
      </c>
    </row>
    <row r="391" spans="1:3" hidden="1">
      <c r="A391" s="257" t="s">
        <v>430</v>
      </c>
      <c r="B391" s="278" t="s">
        <v>35</v>
      </c>
      <c r="C391" s="279">
        <f>C387+C390</f>
        <v>6210.2397278424214</v>
      </c>
    </row>
    <row r="392" spans="1:3" ht="14.65" hidden="1" thickBot="1">
      <c r="A392" s="360" t="s">
        <v>6</v>
      </c>
      <c r="B392" s="320" t="s">
        <v>35</v>
      </c>
      <c r="C392" s="321">
        <f>$C$334</f>
        <v>31195.30690755065</v>
      </c>
    </row>
    <row r="393" spans="1:3" hidden="1">
      <c r="A393" s="299" t="s">
        <v>64</v>
      </c>
      <c r="B393" s="260" t="s">
        <v>24</v>
      </c>
      <c r="C393" s="300">
        <f>C391/C392</f>
        <v>0.19907609007492302</v>
      </c>
    </row>
    <row r="394" spans="1:3" hidden="1">
      <c r="A394" s="257" t="s">
        <v>134</v>
      </c>
      <c r="B394" s="278" t="s">
        <v>35</v>
      </c>
      <c r="C394" s="279">
        <f>$C$206</f>
        <v>24526.902176138599</v>
      </c>
    </row>
    <row r="395" spans="1:3" hidden="1">
      <c r="A395" s="257" t="s">
        <v>117</v>
      </c>
      <c r="B395" s="278" t="s">
        <v>24</v>
      </c>
      <c r="C395" s="312">
        <f>1-C388</f>
        <v>0.95</v>
      </c>
    </row>
    <row r="396" spans="1:3" hidden="1">
      <c r="A396" s="257" t="s">
        <v>113</v>
      </c>
      <c r="B396" s="278" t="s">
        <v>35</v>
      </c>
      <c r="C396" s="295">
        <f>$C$278</f>
        <v>482.27895112591864</v>
      </c>
    </row>
    <row r="397" spans="1:3" hidden="1">
      <c r="A397" s="257" t="s">
        <v>118</v>
      </c>
      <c r="B397" s="278" t="s">
        <v>35</v>
      </c>
      <c r="C397" s="279">
        <f>C395*C396</f>
        <v>458.16500356962268</v>
      </c>
    </row>
    <row r="398" spans="1:3" hidden="1">
      <c r="A398" s="257" t="s">
        <v>65</v>
      </c>
      <c r="B398" s="278" t="s">
        <v>35</v>
      </c>
      <c r="C398" s="279">
        <f>C394+C397</f>
        <v>24985.067179708221</v>
      </c>
    </row>
    <row r="399" spans="1:3" ht="14.65" hidden="1" thickBot="1">
      <c r="A399" s="360" t="s">
        <v>6</v>
      </c>
      <c r="B399" s="320" t="s">
        <v>35</v>
      </c>
      <c r="C399" s="321">
        <f>$C$334</f>
        <v>31195.30690755065</v>
      </c>
    </row>
    <row r="400" spans="1:3" ht="14.65" hidden="1" thickBot="1">
      <c r="A400" s="301" t="s">
        <v>66</v>
      </c>
      <c r="B400" s="277" t="s">
        <v>24</v>
      </c>
      <c r="C400" s="303">
        <f>C398/C399</f>
        <v>0.80092390992507678</v>
      </c>
    </row>
    <row r="401" spans="1:3">
      <c r="A401" s="83"/>
      <c r="B401" s="77"/>
      <c r="C401" s="96"/>
    </row>
    <row r="402" spans="1:3" ht="14.65" thickBot="1">
      <c r="A402" s="79" t="s">
        <v>288</v>
      </c>
    </row>
    <row r="403" spans="1:3" ht="14.65" thickBot="1">
      <c r="A403" s="103" t="s">
        <v>90</v>
      </c>
      <c r="B403" s="102" t="s">
        <v>18</v>
      </c>
      <c r="C403" s="17" t="s">
        <v>91</v>
      </c>
    </row>
    <row r="404" spans="1:3">
      <c r="A404" s="276" t="s">
        <v>6</v>
      </c>
      <c r="B404" s="296" t="s">
        <v>35</v>
      </c>
      <c r="C404" s="286">
        <f>$C$383</f>
        <v>31195.30690755065</v>
      </c>
    </row>
    <row r="405" spans="1:3">
      <c r="A405" s="257" t="s">
        <v>130</v>
      </c>
      <c r="B405" s="278" t="s">
        <v>24</v>
      </c>
      <c r="C405" s="314">
        <f>A379</f>
        <v>0.98599999999999999</v>
      </c>
    </row>
    <row r="406" spans="1:3">
      <c r="A406" s="253" t="s">
        <v>191</v>
      </c>
      <c r="B406" s="270" t="s">
        <v>35</v>
      </c>
      <c r="C406" s="254">
        <f>C404*C405</f>
        <v>30758.572610844942</v>
      </c>
    </row>
    <row r="407" spans="1:3">
      <c r="A407" s="257" t="s">
        <v>131</v>
      </c>
      <c r="B407" s="278" t="s">
        <v>24</v>
      </c>
      <c r="C407" s="314">
        <f>B379</f>
        <v>1.4E-2</v>
      </c>
    </row>
    <row r="408" spans="1:3">
      <c r="A408" s="253" t="s">
        <v>192</v>
      </c>
      <c r="B408" s="270" t="s">
        <v>35</v>
      </c>
      <c r="C408" s="322">
        <f>C404*C407</f>
        <v>436.73429670570908</v>
      </c>
    </row>
    <row r="409" spans="1:3">
      <c r="A409" s="281" t="s">
        <v>355</v>
      </c>
      <c r="B409" s="278" t="s">
        <v>24</v>
      </c>
      <c r="C409" s="318">
        <f>C379</f>
        <v>0.3</v>
      </c>
    </row>
    <row r="410" spans="1:3">
      <c r="A410" s="315" t="s">
        <v>431</v>
      </c>
      <c r="B410" s="270" t="s">
        <v>35</v>
      </c>
      <c r="C410" s="317">
        <f>C408*C409</f>
        <v>131.02028901171272</v>
      </c>
    </row>
    <row r="411" spans="1:3">
      <c r="A411" s="281" t="s">
        <v>371</v>
      </c>
      <c r="B411" s="278" t="s">
        <v>24</v>
      </c>
      <c r="C411" s="318">
        <f>1-C409</f>
        <v>0.7</v>
      </c>
    </row>
    <row r="412" spans="1:3" ht="14.65" thickBot="1">
      <c r="A412" s="345" t="s">
        <v>372</v>
      </c>
      <c r="B412" s="271" t="s">
        <v>35</v>
      </c>
      <c r="C412" s="291">
        <f>C408*C411</f>
        <v>305.71400769399634</v>
      </c>
    </row>
    <row r="413" spans="1:3">
      <c r="A413" s="77"/>
      <c r="B413" s="77"/>
      <c r="C413" s="117"/>
    </row>
    <row r="414" spans="1:3" ht="14.65" thickBot="1">
      <c r="A414" s="79" t="s">
        <v>205</v>
      </c>
      <c r="B414" s="79"/>
      <c r="C414" s="79"/>
    </row>
    <row r="415" spans="1:3">
      <c r="A415" s="3" t="s">
        <v>90</v>
      </c>
      <c r="B415" s="14" t="s">
        <v>18</v>
      </c>
      <c r="C415" s="15" t="s">
        <v>106</v>
      </c>
    </row>
    <row r="416" spans="1:3">
      <c r="A416" s="282" t="s">
        <v>206</v>
      </c>
      <c r="B416" s="288" t="s">
        <v>35</v>
      </c>
      <c r="C416" s="279">
        <f>$C$391</f>
        <v>6210.2397278424214</v>
      </c>
    </row>
    <row r="417" spans="1:8">
      <c r="A417" s="287" t="s">
        <v>431</v>
      </c>
      <c r="B417" s="288" t="s">
        <v>35</v>
      </c>
      <c r="C417" s="289">
        <f>$C$410</f>
        <v>131.02028901171272</v>
      </c>
    </row>
    <row r="418" spans="1:8">
      <c r="A418" s="282" t="s">
        <v>374</v>
      </c>
      <c r="B418" s="288" t="s">
        <v>35</v>
      </c>
      <c r="C418" s="279">
        <f>C416-C417</f>
        <v>6079.2194388307089</v>
      </c>
    </row>
    <row r="419" spans="1:8">
      <c r="A419" s="282" t="s">
        <v>191</v>
      </c>
      <c r="B419" s="288" t="s">
        <v>35</v>
      </c>
      <c r="C419" s="279">
        <f>$C$406</f>
        <v>30758.572610844942</v>
      </c>
    </row>
    <row r="420" spans="1:8">
      <c r="A420" s="310" t="s">
        <v>64</v>
      </c>
      <c r="B420" s="283" t="s">
        <v>24</v>
      </c>
      <c r="C420" s="300">
        <f>C418/C419</f>
        <v>0.19764309338227487</v>
      </c>
    </row>
    <row r="421" spans="1:8">
      <c r="A421" s="282" t="s">
        <v>335</v>
      </c>
      <c r="B421" s="288" t="s">
        <v>35</v>
      </c>
      <c r="C421" s="279">
        <f>C398</f>
        <v>24985.067179708221</v>
      </c>
    </row>
    <row r="422" spans="1:8">
      <c r="A422" s="287" t="s">
        <v>372</v>
      </c>
      <c r="B422" s="288" t="s">
        <v>35</v>
      </c>
      <c r="C422" s="289">
        <f>$C$412</f>
        <v>305.71400769399634</v>
      </c>
    </row>
    <row r="423" spans="1:8">
      <c r="A423" s="282" t="s">
        <v>376</v>
      </c>
      <c r="B423" s="288" t="s">
        <v>35</v>
      </c>
      <c r="C423" s="279">
        <f>C421-C422</f>
        <v>24679.353172014224</v>
      </c>
    </row>
    <row r="424" spans="1:8">
      <c r="A424" s="282" t="s">
        <v>191</v>
      </c>
      <c r="B424" s="288" t="s">
        <v>35</v>
      </c>
      <c r="C424" s="279">
        <f>$C$406</f>
        <v>30758.572610844942</v>
      </c>
    </row>
    <row r="425" spans="1:8" ht="14.65" thickBot="1">
      <c r="A425" s="311" t="s">
        <v>66</v>
      </c>
      <c r="B425" s="284" t="s">
        <v>24</v>
      </c>
      <c r="C425" s="303">
        <f>C423/C424</f>
        <v>0.80235690661772485</v>
      </c>
    </row>
    <row r="426" spans="1:8">
      <c r="A426" s="77"/>
      <c r="B426" s="77"/>
      <c r="C426" s="117"/>
    </row>
    <row r="427" spans="1:8" ht="14.65" thickBot="1">
      <c r="A427" s="79" t="s">
        <v>207</v>
      </c>
    </row>
    <row r="428" spans="1:8" ht="14.65" thickBot="1">
      <c r="A428" s="419"/>
      <c r="B428" s="1028" t="s">
        <v>262</v>
      </c>
      <c r="C428" s="1029"/>
      <c r="D428" s="1031"/>
      <c r="E428" s="1065" t="s">
        <v>263</v>
      </c>
      <c r="F428" s="1061"/>
      <c r="G428" s="1061"/>
      <c r="H428" s="1009"/>
    </row>
    <row r="429" spans="1:8">
      <c r="A429" s="92" t="s">
        <v>93</v>
      </c>
      <c r="B429" s="377" t="s">
        <v>243</v>
      </c>
      <c r="C429" s="491" t="s">
        <v>374</v>
      </c>
      <c r="D429" s="492" t="s">
        <v>293</v>
      </c>
      <c r="E429" s="1039" t="s">
        <v>269</v>
      </c>
      <c r="F429" s="1040"/>
      <c r="G429" s="1022" t="s">
        <v>294</v>
      </c>
      <c r="H429" s="1023"/>
    </row>
    <row r="430" spans="1:8" ht="14.65" thickBot="1">
      <c r="A430" s="93" t="s">
        <v>18</v>
      </c>
      <c r="B430" s="403" t="s">
        <v>35</v>
      </c>
      <c r="C430" s="154" t="s">
        <v>35</v>
      </c>
      <c r="D430" s="155" t="s">
        <v>35</v>
      </c>
      <c r="E430" s="153" t="s">
        <v>257</v>
      </c>
      <c r="F430" s="423" t="s">
        <v>237</v>
      </c>
      <c r="G430" s="403" t="s">
        <v>71</v>
      </c>
      <c r="H430" s="155" t="s">
        <v>237</v>
      </c>
    </row>
    <row r="431" spans="1:8">
      <c r="A431" s="150" t="s">
        <v>72</v>
      </c>
      <c r="B431" s="540">
        <f t="shared" ref="B431:B447" si="44">C358</f>
        <v>161.84002022130252</v>
      </c>
      <c r="C431" s="428">
        <f>$C$418</f>
        <v>6079.2194388307089</v>
      </c>
      <c r="D431" s="545">
        <f>$C$406</f>
        <v>30758.572610844942</v>
      </c>
      <c r="E431" s="557">
        <f>B431/C431*1000000</f>
        <v>26621.842137751686</v>
      </c>
      <c r="F431" s="554">
        <f>E431/1000000</f>
        <v>2.6621842137751685E-2</v>
      </c>
      <c r="G431" s="557">
        <f>B431/D431*1000000</f>
        <v>5261.6232316398364</v>
      </c>
      <c r="H431" s="433">
        <f>G431/1000000</f>
        <v>5.2616232316398366E-3</v>
      </c>
    </row>
    <row r="432" spans="1:8">
      <c r="A432" s="149" t="s">
        <v>73</v>
      </c>
      <c r="B432" s="541">
        <f t="shared" si="44"/>
        <v>1.7314080232283452E-2</v>
      </c>
      <c r="C432" s="235">
        <f t="shared" ref="C432:C447" si="45">$C$418</f>
        <v>6079.2194388307089</v>
      </c>
      <c r="D432" s="546">
        <f t="shared" ref="D432:D447" si="46">$C$406</f>
        <v>30758.572610844942</v>
      </c>
      <c r="E432" s="558">
        <f t="shared" ref="E432:E447" si="47">B432/C432*1000000</f>
        <v>2.8480762055882756</v>
      </c>
      <c r="F432" s="555">
        <f t="shared" ref="F432:F447" si="48">E432/1000000</f>
        <v>2.8480762055882757E-6</v>
      </c>
      <c r="G432" s="558">
        <f t="shared" ref="G432:G447" si="49">B432/D432*1000000</f>
        <v>0.56290259146091859</v>
      </c>
      <c r="H432" s="434">
        <f t="shared" ref="H432:H447" si="50">G432/1000000</f>
        <v>5.6290259146091861E-7</v>
      </c>
    </row>
    <row r="433" spans="1:8">
      <c r="A433" s="149" t="s">
        <v>74</v>
      </c>
      <c r="B433" s="541">
        <f t="shared" si="44"/>
        <v>450.27935403260932</v>
      </c>
      <c r="C433" s="235">
        <f t="shared" si="45"/>
        <v>6079.2194388307089</v>
      </c>
      <c r="D433" s="546">
        <f t="shared" si="46"/>
        <v>30758.572610844942</v>
      </c>
      <c r="E433" s="558">
        <f t="shared" si="47"/>
        <v>74068.613341455071</v>
      </c>
      <c r="F433" s="555">
        <f t="shared" si="48"/>
        <v>7.4068613341455078E-2</v>
      </c>
      <c r="G433" s="558">
        <f t="shared" si="49"/>
        <v>14639.149863340816</v>
      </c>
      <c r="H433" s="434">
        <f t="shared" si="50"/>
        <v>1.4639149863340816E-2</v>
      </c>
    </row>
    <row r="434" spans="1:8">
      <c r="A434" s="149" t="s">
        <v>75</v>
      </c>
      <c r="B434" s="541">
        <f t="shared" si="44"/>
        <v>2.2932000000000001E-2</v>
      </c>
      <c r="C434" s="235">
        <f t="shared" si="45"/>
        <v>6079.2194388307089</v>
      </c>
      <c r="D434" s="546">
        <f t="shared" si="46"/>
        <v>30758.572610844942</v>
      </c>
      <c r="E434" s="558">
        <f t="shared" si="47"/>
        <v>3.772194807366716</v>
      </c>
      <c r="F434" s="555">
        <f t="shared" si="48"/>
        <v>3.7721948073667161E-6</v>
      </c>
      <c r="G434" s="558">
        <f t="shared" si="49"/>
        <v>0.74554825056851226</v>
      </c>
      <c r="H434" s="434">
        <f t="shared" si="50"/>
        <v>7.4554825056851222E-7</v>
      </c>
    </row>
    <row r="435" spans="1:8">
      <c r="A435" s="149" t="s">
        <v>76</v>
      </c>
      <c r="B435" s="541">
        <f t="shared" si="44"/>
        <v>0.26464265446041685</v>
      </c>
      <c r="C435" s="235">
        <f t="shared" si="45"/>
        <v>6079.2194388307089</v>
      </c>
      <c r="D435" s="546">
        <f t="shared" si="46"/>
        <v>30758.572610844942</v>
      </c>
      <c r="E435" s="558">
        <f t="shared" si="47"/>
        <v>43.532341137420566</v>
      </c>
      <c r="F435" s="555">
        <f t="shared" si="48"/>
        <v>4.3532341137420567E-5</v>
      </c>
      <c r="G435" s="558">
        <f t="shared" si="49"/>
        <v>8.6038665645722592</v>
      </c>
      <c r="H435" s="434">
        <f t="shared" si="50"/>
        <v>8.6038665645722599E-6</v>
      </c>
    </row>
    <row r="436" spans="1:8">
      <c r="A436" s="150" t="s">
        <v>77</v>
      </c>
      <c r="B436" s="541">
        <f t="shared" si="44"/>
        <v>1.9488449114376971E-2</v>
      </c>
      <c r="C436" s="235">
        <f t="shared" si="45"/>
        <v>6079.2194388307089</v>
      </c>
      <c r="D436" s="546">
        <f t="shared" si="46"/>
        <v>30758.572610844942</v>
      </c>
      <c r="E436" s="558">
        <f t="shared" si="47"/>
        <v>3.2057485850725311</v>
      </c>
      <c r="F436" s="555">
        <f t="shared" si="48"/>
        <v>3.205748585072531E-6</v>
      </c>
      <c r="G436" s="558">
        <f t="shared" si="49"/>
        <v>0.63359406695958576</v>
      </c>
      <c r="H436" s="434">
        <f t="shared" si="50"/>
        <v>6.3359406695958576E-7</v>
      </c>
    </row>
    <row r="437" spans="1:8">
      <c r="A437" s="150" t="s">
        <v>78</v>
      </c>
      <c r="B437" s="541">
        <f t="shared" si="44"/>
        <v>214.22556048798941</v>
      </c>
      <c r="C437" s="235">
        <f t="shared" si="45"/>
        <v>6079.2194388307089</v>
      </c>
      <c r="D437" s="546">
        <f t="shared" si="46"/>
        <v>30758.572610844942</v>
      </c>
      <c r="E437" s="558">
        <f t="shared" si="47"/>
        <v>35238.991229636224</v>
      </c>
      <c r="F437" s="555">
        <f t="shared" si="48"/>
        <v>3.5238991229636224E-2</v>
      </c>
      <c r="G437" s="558">
        <f t="shared" si="49"/>
        <v>6964.7432342961574</v>
      </c>
      <c r="H437" s="434">
        <f t="shared" si="50"/>
        <v>6.9647432342961578E-3</v>
      </c>
    </row>
    <row r="438" spans="1:8">
      <c r="A438" s="150" t="s">
        <v>79</v>
      </c>
      <c r="B438" s="541">
        <f t="shared" si="44"/>
        <v>34.967496775293192</v>
      </c>
      <c r="C438" s="235">
        <f t="shared" si="45"/>
        <v>6079.2194388307089</v>
      </c>
      <c r="D438" s="546">
        <f t="shared" si="46"/>
        <v>30758.572610844942</v>
      </c>
      <c r="E438" s="558">
        <f t="shared" si="47"/>
        <v>5751.9714705378228</v>
      </c>
      <c r="F438" s="555">
        <f t="shared" si="48"/>
        <v>5.7519714705378229E-3</v>
      </c>
      <c r="G438" s="558">
        <f t="shared" si="49"/>
        <v>1136.837434483688</v>
      </c>
      <c r="H438" s="434">
        <f t="shared" si="50"/>
        <v>1.1368374344836879E-3</v>
      </c>
    </row>
    <row r="439" spans="1:8">
      <c r="A439" s="150" t="s">
        <v>80</v>
      </c>
      <c r="B439" s="541">
        <f t="shared" si="44"/>
        <v>65.06620127340949</v>
      </c>
      <c r="C439" s="235">
        <f t="shared" si="45"/>
        <v>6079.2194388307089</v>
      </c>
      <c r="D439" s="546">
        <f t="shared" si="46"/>
        <v>30758.572610844942</v>
      </c>
      <c r="E439" s="558">
        <f t="shared" si="47"/>
        <v>10703.051917784444</v>
      </c>
      <c r="F439" s="555">
        <f t="shared" si="48"/>
        <v>1.0703051917784444E-2</v>
      </c>
      <c r="G439" s="558">
        <f t="shared" si="49"/>
        <v>2115.3842896620072</v>
      </c>
      <c r="H439" s="434">
        <f t="shared" si="50"/>
        <v>2.1153842896620072E-3</v>
      </c>
    </row>
    <row r="440" spans="1:8">
      <c r="A440" s="150" t="s">
        <v>81</v>
      </c>
      <c r="B440" s="541">
        <f t="shared" si="44"/>
        <v>37.24435889358238</v>
      </c>
      <c r="C440" s="235">
        <f t="shared" si="45"/>
        <v>6079.2194388307089</v>
      </c>
      <c r="D440" s="546">
        <f t="shared" si="46"/>
        <v>30758.572610844942</v>
      </c>
      <c r="E440" s="558">
        <f t="shared" si="47"/>
        <v>6126.5034546517454</v>
      </c>
      <c r="F440" s="555">
        <f t="shared" si="48"/>
        <v>6.1265034546517452E-3</v>
      </c>
      <c r="G440" s="558">
        <f t="shared" si="49"/>
        <v>1210.8610943945644</v>
      </c>
      <c r="H440" s="434">
        <f t="shared" si="50"/>
        <v>1.2108610943945644E-3</v>
      </c>
    </row>
    <row r="441" spans="1:8">
      <c r="A441" s="150" t="s">
        <v>82</v>
      </c>
      <c r="B441" s="541">
        <f t="shared" si="44"/>
        <v>0.44935559154215376</v>
      </c>
      <c r="C441" s="235">
        <f t="shared" si="45"/>
        <v>6079.2194388307089</v>
      </c>
      <c r="D441" s="546">
        <f t="shared" si="46"/>
        <v>30758.572610844942</v>
      </c>
      <c r="E441" s="558">
        <f t="shared" si="47"/>
        <v>73.916659213174228</v>
      </c>
      <c r="F441" s="555">
        <f t="shared" si="48"/>
        <v>7.391665921317423E-5</v>
      </c>
      <c r="G441" s="558">
        <f t="shared" si="49"/>
        <v>14.609117179375181</v>
      </c>
      <c r="H441" s="434">
        <f t="shared" si="50"/>
        <v>1.4609117179375182E-5</v>
      </c>
    </row>
    <row r="442" spans="1:8">
      <c r="A442" s="150" t="s">
        <v>213</v>
      </c>
      <c r="B442" s="541">
        <f t="shared" si="44"/>
        <v>534.76113600000008</v>
      </c>
      <c r="C442" s="235">
        <f t="shared" si="45"/>
        <v>6079.2194388307089</v>
      </c>
      <c r="D442" s="546">
        <f t="shared" si="46"/>
        <v>30758.572610844942</v>
      </c>
      <c r="E442" s="558">
        <f t="shared" si="47"/>
        <v>87965.427367901895</v>
      </c>
      <c r="F442" s="555">
        <f t="shared" si="48"/>
        <v>8.7965427367901888E-2</v>
      </c>
      <c r="G442" s="558">
        <f t="shared" si="49"/>
        <v>17385.759175685951</v>
      </c>
      <c r="H442" s="434">
        <f t="shared" si="50"/>
        <v>1.7385759175685953E-2</v>
      </c>
    </row>
    <row r="443" spans="1:8">
      <c r="A443" s="150" t="s">
        <v>96</v>
      </c>
      <c r="B443" s="541">
        <f t="shared" si="44"/>
        <v>1558.5737142857145</v>
      </c>
      <c r="C443" s="235">
        <f t="shared" si="45"/>
        <v>6079.2194388307089</v>
      </c>
      <c r="D443" s="546">
        <f t="shared" si="46"/>
        <v>30758.572610844942</v>
      </c>
      <c r="E443" s="558">
        <f t="shared" si="47"/>
        <v>256377.27507094137</v>
      </c>
      <c r="F443" s="555">
        <f t="shared" si="48"/>
        <v>0.25637727507094138</v>
      </c>
      <c r="G443" s="558">
        <f t="shared" si="49"/>
        <v>50671.197717939234</v>
      </c>
      <c r="H443" s="434">
        <f t="shared" si="50"/>
        <v>5.0671197717939237E-2</v>
      </c>
    </row>
    <row r="444" spans="1:8">
      <c r="A444" s="151" t="s">
        <v>274</v>
      </c>
      <c r="B444" s="541">
        <f t="shared" si="44"/>
        <v>2093.3348502857143</v>
      </c>
      <c r="C444" s="235">
        <f t="shared" si="45"/>
        <v>6079.2194388307089</v>
      </c>
      <c r="D444" s="546">
        <f t="shared" si="46"/>
        <v>30758.572610844942</v>
      </c>
      <c r="E444" s="558">
        <f t="shared" si="47"/>
        <v>344342.70243884326</v>
      </c>
      <c r="F444" s="555">
        <f t="shared" si="48"/>
        <v>0.34434270243884324</v>
      </c>
      <c r="G444" s="558">
        <f t="shared" si="49"/>
        <v>68056.956893625174</v>
      </c>
      <c r="H444" s="434">
        <f t="shared" si="50"/>
        <v>6.8056956893625176E-2</v>
      </c>
    </row>
    <row r="445" spans="1:8">
      <c r="A445" s="151" t="s">
        <v>84</v>
      </c>
      <c r="B445" s="541">
        <f t="shared" si="44"/>
        <v>8.9505984412444672E-2</v>
      </c>
      <c r="C445" s="235">
        <f t="shared" si="45"/>
        <v>6079.2194388307089</v>
      </c>
      <c r="D445" s="546">
        <f t="shared" si="46"/>
        <v>30758.572610844942</v>
      </c>
      <c r="E445" s="558">
        <f t="shared" si="47"/>
        <v>14.723269214585295</v>
      </c>
      <c r="F445" s="555">
        <f t="shared" si="48"/>
        <v>1.4723269214585296E-5</v>
      </c>
      <c r="G445" s="558">
        <f t="shared" si="49"/>
        <v>2.9099524722706542</v>
      </c>
      <c r="H445" s="434">
        <f t="shared" si="50"/>
        <v>2.9099524722706542E-6</v>
      </c>
    </row>
    <row r="446" spans="1:8">
      <c r="A446" s="151" t="s">
        <v>248</v>
      </c>
      <c r="B446" s="541">
        <f t="shared" si="44"/>
        <v>0</v>
      </c>
      <c r="C446" s="235">
        <f t="shared" si="45"/>
        <v>6079.2194388307089</v>
      </c>
      <c r="D446" s="546">
        <f t="shared" si="46"/>
        <v>30758.572610844942</v>
      </c>
      <c r="E446" s="558">
        <f t="shared" si="47"/>
        <v>0</v>
      </c>
      <c r="F446" s="555">
        <f t="shared" si="48"/>
        <v>0</v>
      </c>
      <c r="G446" s="558">
        <f t="shared" si="49"/>
        <v>0</v>
      </c>
      <c r="H446" s="434">
        <f t="shared" si="50"/>
        <v>0</v>
      </c>
    </row>
    <row r="447" spans="1:8" ht="14.65" thickBot="1">
      <c r="A447" s="152" t="s">
        <v>86</v>
      </c>
      <c r="B447" s="542">
        <f t="shared" si="44"/>
        <v>0.36285342095514839</v>
      </c>
      <c r="C447" s="236">
        <f t="shared" si="45"/>
        <v>6079.2194388307089</v>
      </c>
      <c r="D447" s="547">
        <f t="shared" si="46"/>
        <v>30758.572610844942</v>
      </c>
      <c r="E447" s="559">
        <f t="shared" si="47"/>
        <v>59.687501760084594</v>
      </c>
      <c r="F447" s="556">
        <f t="shared" si="48"/>
        <v>5.9687501760084592E-5</v>
      </c>
      <c r="G447" s="559">
        <f t="shared" si="49"/>
        <v>11.796822484123094</v>
      </c>
      <c r="H447" s="439">
        <f t="shared" si="50"/>
        <v>1.1796822484123094E-5</v>
      </c>
    </row>
    <row r="448" spans="1:8">
      <c r="A448" s="145"/>
      <c r="B448" s="234"/>
      <c r="C448" s="96"/>
      <c r="D448" s="96"/>
      <c r="E448" s="95"/>
      <c r="F448" s="95"/>
    </row>
    <row r="449" spans="1:8" ht="14.65" thickBot="1">
      <c r="A449" s="79" t="s">
        <v>215</v>
      </c>
    </row>
    <row r="450" spans="1:8" ht="14.65" thickBot="1">
      <c r="A450" s="419"/>
      <c r="B450" s="1028" t="s">
        <v>262</v>
      </c>
      <c r="C450" s="1029"/>
      <c r="D450" s="1031"/>
      <c r="E450" s="1065" t="s">
        <v>263</v>
      </c>
      <c r="F450" s="1061"/>
      <c r="G450" s="1061"/>
      <c r="H450" s="1009"/>
    </row>
    <row r="451" spans="1:8">
      <c r="A451" s="92" t="s">
        <v>93</v>
      </c>
      <c r="B451" s="377" t="s">
        <v>256</v>
      </c>
      <c r="C451" s="491" t="s">
        <v>431</v>
      </c>
      <c r="D451" s="492" t="s">
        <v>295</v>
      </c>
      <c r="E451" s="1039" t="s">
        <v>269</v>
      </c>
      <c r="F451" s="1040"/>
      <c r="G451" s="1022" t="s">
        <v>296</v>
      </c>
      <c r="H451" s="1023"/>
    </row>
    <row r="452" spans="1:8" ht="14.65" thickBot="1">
      <c r="A452" s="93" t="s">
        <v>18</v>
      </c>
      <c r="B452" s="403" t="s">
        <v>35</v>
      </c>
      <c r="C452" s="154" t="s">
        <v>35</v>
      </c>
      <c r="D452" s="155" t="s">
        <v>35</v>
      </c>
      <c r="E452" s="153" t="s">
        <v>257</v>
      </c>
      <c r="F452" s="423" t="s">
        <v>237</v>
      </c>
      <c r="G452" s="403" t="s">
        <v>71</v>
      </c>
      <c r="H452" s="155" t="s">
        <v>237</v>
      </c>
    </row>
    <row r="453" spans="1:8">
      <c r="A453" s="150" t="s">
        <v>72</v>
      </c>
      <c r="B453" s="156">
        <f t="shared" ref="B453:B469" si="51">D358</f>
        <v>4.1497441082385267</v>
      </c>
      <c r="C453" s="428">
        <f>$C$410</f>
        <v>131.02028901171272</v>
      </c>
      <c r="D453" s="545">
        <f>$C$408</f>
        <v>436.73429670570908</v>
      </c>
      <c r="E453" s="557">
        <f>B453/C453*1000000</f>
        <v>31672.530564083514</v>
      </c>
      <c r="F453" s="554">
        <f>E453/1000000</f>
        <v>3.1672530564083513E-2</v>
      </c>
      <c r="G453" s="557">
        <f>B453/D453*1000000</f>
        <v>9501.7591692250535</v>
      </c>
      <c r="H453" s="433">
        <f>G453/1000000</f>
        <v>9.5017591692250526E-3</v>
      </c>
    </row>
    <row r="454" spans="1:8">
      <c r="A454" s="149" t="s">
        <v>73</v>
      </c>
      <c r="B454" s="157">
        <f t="shared" si="51"/>
        <v>0.15582672209055104</v>
      </c>
      <c r="C454" s="235">
        <f t="shared" ref="C454:C469" si="52">$C$410</f>
        <v>131.02028901171272</v>
      </c>
      <c r="D454" s="546">
        <f t="shared" ref="D454:D469" si="53">$C$408</f>
        <v>436.73429670570908</v>
      </c>
      <c r="E454" s="558">
        <f t="shared" ref="E454:E469" si="54">B454/C454*1000000</f>
        <v>1189.3327611009979</v>
      </c>
      <c r="F454" s="555">
        <f t="shared" ref="F454:F469" si="55">E454/1000000</f>
        <v>1.189332761100998E-3</v>
      </c>
      <c r="G454" s="558">
        <f t="shared" ref="G454:G469" si="56">B454/D454*1000000</f>
        <v>356.79982833029942</v>
      </c>
      <c r="H454" s="434">
        <f t="shared" ref="H454:H469" si="57">G454/1000000</f>
        <v>3.5679982833029941E-4</v>
      </c>
    </row>
    <row r="455" spans="1:8">
      <c r="A455" s="149" t="s">
        <v>74</v>
      </c>
      <c r="B455" s="157">
        <f t="shared" si="51"/>
        <v>0</v>
      </c>
      <c r="C455" s="235">
        <f t="shared" si="52"/>
        <v>131.02028901171272</v>
      </c>
      <c r="D455" s="546">
        <f t="shared" si="53"/>
        <v>436.73429670570908</v>
      </c>
      <c r="E455" s="558">
        <f t="shared" si="54"/>
        <v>0</v>
      </c>
      <c r="F455" s="555">
        <f t="shared" si="55"/>
        <v>0</v>
      </c>
      <c r="G455" s="558">
        <f t="shared" si="56"/>
        <v>0</v>
      </c>
      <c r="H455" s="434">
        <f t="shared" si="57"/>
        <v>0</v>
      </c>
    </row>
    <row r="456" spans="1:8">
      <c r="A456" s="149" t="s">
        <v>75</v>
      </c>
      <c r="B456" s="157">
        <f t="shared" si="51"/>
        <v>5.8800000000000009E-4</v>
      </c>
      <c r="C456" s="235">
        <f t="shared" si="52"/>
        <v>131.02028901171272</v>
      </c>
      <c r="D456" s="546">
        <f t="shared" si="53"/>
        <v>436.73429670570908</v>
      </c>
      <c r="E456" s="558">
        <f t="shared" si="54"/>
        <v>4.4878545485992252</v>
      </c>
      <c r="F456" s="555">
        <f t="shared" si="55"/>
        <v>4.4878545485992255E-6</v>
      </c>
      <c r="G456" s="558">
        <f t="shared" si="56"/>
        <v>1.3463563645797676</v>
      </c>
      <c r="H456" s="434">
        <f t="shared" si="57"/>
        <v>1.3463563645797676E-6</v>
      </c>
    </row>
    <row r="457" spans="1:8">
      <c r="A457" s="149" t="s">
        <v>76</v>
      </c>
      <c r="B457" s="157">
        <f t="shared" si="51"/>
        <v>0</v>
      </c>
      <c r="C457" s="235">
        <f t="shared" si="52"/>
        <v>131.02028901171272</v>
      </c>
      <c r="D457" s="546">
        <f t="shared" si="53"/>
        <v>436.73429670570908</v>
      </c>
      <c r="E457" s="558">
        <f t="shared" si="54"/>
        <v>0</v>
      </c>
      <c r="F457" s="555">
        <f t="shared" si="55"/>
        <v>0</v>
      </c>
      <c r="G457" s="558">
        <f t="shared" si="56"/>
        <v>0</v>
      </c>
      <c r="H457" s="434">
        <f t="shared" si="57"/>
        <v>0</v>
      </c>
    </row>
    <row r="458" spans="1:8">
      <c r="A458" s="150" t="s">
        <v>77</v>
      </c>
      <c r="B458" s="157">
        <f t="shared" si="51"/>
        <v>1.9293564623233166</v>
      </c>
      <c r="C458" s="235">
        <f t="shared" si="52"/>
        <v>131.02028901171272</v>
      </c>
      <c r="D458" s="546">
        <f t="shared" si="53"/>
        <v>436.73429670570908</v>
      </c>
      <c r="E458" s="558">
        <f t="shared" si="54"/>
        <v>14725.631250522118</v>
      </c>
      <c r="F458" s="555">
        <f t="shared" si="55"/>
        <v>1.4725631250522118E-2</v>
      </c>
      <c r="G458" s="558">
        <f t="shared" si="56"/>
        <v>4417.6893751566358</v>
      </c>
      <c r="H458" s="434">
        <f t="shared" si="57"/>
        <v>4.4176893751566356E-3</v>
      </c>
    </row>
    <row r="459" spans="1:8">
      <c r="A459" s="150" t="s">
        <v>78</v>
      </c>
      <c r="B459" s="157">
        <f t="shared" si="51"/>
        <v>5.4929630894356265</v>
      </c>
      <c r="C459" s="235">
        <f t="shared" si="52"/>
        <v>131.02028901171272</v>
      </c>
      <c r="D459" s="546">
        <f t="shared" si="53"/>
        <v>436.73429670570908</v>
      </c>
      <c r="E459" s="558">
        <f t="shared" si="54"/>
        <v>41924.522765665526</v>
      </c>
      <c r="F459" s="555">
        <f t="shared" si="55"/>
        <v>4.1924522765665523E-2</v>
      </c>
      <c r="G459" s="558">
        <f t="shared" si="56"/>
        <v>12577.356829699658</v>
      </c>
      <c r="H459" s="434">
        <f t="shared" si="57"/>
        <v>1.2577356829699658E-2</v>
      </c>
    </row>
    <row r="460" spans="1:8">
      <c r="A460" s="150" t="s">
        <v>79</v>
      </c>
      <c r="B460" s="157">
        <f t="shared" si="51"/>
        <v>0.89660248141777421</v>
      </c>
      <c r="C460" s="235">
        <f t="shared" si="52"/>
        <v>131.02028901171272</v>
      </c>
      <c r="D460" s="546">
        <f t="shared" si="53"/>
        <v>436.73429670570908</v>
      </c>
      <c r="E460" s="558">
        <f t="shared" si="54"/>
        <v>6843.2338852314797</v>
      </c>
      <c r="F460" s="555">
        <f t="shared" si="55"/>
        <v>6.8432338852314799E-3</v>
      </c>
      <c r="G460" s="558">
        <f t="shared" si="56"/>
        <v>2052.9701655694439</v>
      </c>
      <c r="H460" s="434">
        <f t="shared" si="57"/>
        <v>2.0529701655694439E-3</v>
      </c>
    </row>
    <row r="461" spans="1:8">
      <c r="A461" s="150" t="s">
        <v>80</v>
      </c>
      <c r="B461" s="157">
        <f t="shared" si="51"/>
        <v>1.668364135215628</v>
      </c>
      <c r="C461" s="235">
        <f t="shared" si="52"/>
        <v>131.02028901171272</v>
      </c>
      <c r="D461" s="546">
        <f t="shared" si="53"/>
        <v>436.73429670570908</v>
      </c>
      <c r="E461" s="558">
        <f t="shared" si="54"/>
        <v>12733.631926781069</v>
      </c>
      <c r="F461" s="555">
        <f t="shared" si="55"/>
        <v>1.2733631926781069E-2</v>
      </c>
      <c r="G461" s="558">
        <f t="shared" si="56"/>
        <v>3820.0895780343203</v>
      </c>
      <c r="H461" s="434">
        <f t="shared" si="57"/>
        <v>3.8200895780343201E-3</v>
      </c>
    </row>
    <row r="462" spans="1:8">
      <c r="A462" s="150" t="s">
        <v>81</v>
      </c>
      <c r="B462" s="157">
        <f t="shared" si="51"/>
        <v>0</v>
      </c>
      <c r="C462" s="235">
        <f t="shared" si="52"/>
        <v>131.02028901171272</v>
      </c>
      <c r="D462" s="546">
        <f t="shared" si="53"/>
        <v>436.73429670570908</v>
      </c>
      <c r="E462" s="558">
        <f t="shared" si="54"/>
        <v>0</v>
      </c>
      <c r="F462" s="555">
        <f t="shared" si="55"/>
        <v>0</v>
      </c>
      <c r="G462" s="558">
        <f t="shared" si="56"/>
        <v>0</v>
      </c>
      <c r="H462" s="434">
        <f t="shared" si="57"/>
        <v>0</v>
      </c>
    </row>
    <row r="463" spans="1:8">
      <c r="A463" s="150" t="s">
        <v>82</v>
      </c>
      <c r="B463" s="157">
        <f t="shared" si="51"/>
        <v>1.1521938244670611E-2</v>
      </c>
      <c r="C463" s="235">
        <f t="shared" si="52"/>
        <v>131.02028901171272</v>
      </c>
      <c r="D463" s="546">
        <f t="shared" si="53"/>
        <v>436.73429670570908</v>
      </c>
      <c r="E463" s="558">
        <f t="shared" si="54"/>
        <v>87.940107074871378</v>
      </c>
      <c r="F463" s="555">
        <f t="shared" si="55"/>
        <v>8.7940107074871378E-5</v>
      </c>
      <c r="G463" s="558">
        <f t="shared" si="56"/>
        <v>26.382032122461414</v>
      </c>
      <c r="H463" s="434">
        <f t="shared" si="57"/>
        <v>2.6382032122461415E-5</v>
      </c>
    </row>
    <row r="464" spans="1:8">
      <c r="A464" s="150" t="s">
        <v>213</v>
      </c>
      <c r="B464" s="157">
        <f t="shared" si="51"/>
        <v>13.711824000000002</v>
      </c>
      <c r="C464" s="235">
        <f t="shared" si="52"/>
        <v>131.02028901171272</v>
      </c>
      <c r="D464" s="546">
        <f t="shared" si="53"/>
        <v>436.73429670570908</v>
      </c>
      <c r="E464" s="558">
        <f t="shared" si="54"/>
        <v>104654.20358502047</v>
      </c>
      <c r="F464" s="555">
        <f t="shared" si="55"/>
        <v>0.10465420358502046</v>
      </c>
      <c r="G464" s="558">
        <f t="shared" si="56"/>
        <v>31396.261075506136</v>
      </c>
      <c r="H464" s="434">
        <f t="shared" si="57"/>
        <v>3.1396261075506138E-2</v>
      </c>
    </row>
    <row r="465" spans="1:8">
      <c r="A465" s="150" t="s">
        <v>96</v>
      </c>
      <c r="B465" s="157">
        <f t="shared" si="51"/>
        <v>39.96342857142858</v>
      </c>
      <c r="C465" s="235">
        <f t="shared" si="52"/>
        <v>131.02028901171272</v>
      </c>
      <c r="D465" s="546">
        <f t="shared" si="53"/>
        <v>436.73429670570908</v>
      </c>
      <c r="E465" s="558">
        <f t="shared" si="54"/>
        <v>305017.09981616662</v>
      </c>
      <c r="F465" s="555">
        <f t="shared" si="55"/>
        <v>0.30501709981616665</v>
      </c>
      <c r="G465" s="558">
        <f t="shared" si="56"/>
        <v>91505.129944849978</v>
      </c>
      <c r="H465" s="434">
        <f t="shared" si="57"/>
        <v>9.1505129944849981E-2</v>
      </c>
    </row>
    <row r="466" spans="1:8">
      <c r="A466" s="151" t="s">
        <v>274</v>
      </c>
      <c r="B466" s="157">
        <f t="shared" si="51"/>
        <v>53.67525257142858</v>
      </c>
      <c r="C466" s="235">
        <f t="shared" si="52"/>
        <v>131.02028901171272</v>
      </c>
      <c r="D466" s="546">
        <f t="shared" si="53"/>
        <v>436.73429670570908</v>
      </c>
      <c r="E466" s="558">
        <f t="shared" si="54"/>
        <v>409671.30340118706</v>
      </c>
      <c r="F466" s="555">
        <f t="shared" si="55"/>
        <v>0.40967130340118707</v>
      </c>
      <c r="G466" s="558">
        <f t="shared" si="56"/>
        <v>122901.39102035612</v>
      </c>
      <c r="H466" s="434">
        <f t="shared" si="57"/>
        <v>0.12290139102035612</v>
      </c>
    </row>
    <row r="467" spans="1:8">
      <c r="A467" s="151" t="s">
        <v>84</v>
      </c>
      <c r="B467" s="157">
        <f t="shared" si="51"/>
        <v>2.2950252413447354E-3</v>
      </c>
      <c r="C467" s="235">
        <f t="shared" si="52"/>
        <v>131.02028901171272</v>
      </c>
      <c r="D467" s="546">
        <f t="shared" si="53"/>
        <v>436.73429670570908</v>
      </c>
      <c r="E467" s="558">
        <f t="shared" si="54"/>
        <v>17.516563721971096</v>
      </c>
      <c r="F467" s="555">
        <f t="shared" si="55"/>
        <v>1.7516563721971097E-5</v>
      </c>
      <c r="G467" s="558">
        <f t="shared" si="56"/>
        <v>5.2549691165913286</v>
      </c>
      <c r="H467" s="434">
        <f t="shared" si="57"/>
        <v>5.2549691165913288E-6</v>
      </c>
    </row>
    <row r="468" spans="1:8">
      <c r="A468" s="151" t="s">
        <v>248</v>
      </c>
      <c r="B468" s="157">
        <f t="shared" si="51"/>
        <v>9.8929015615573057</v>
      </c>
      <c r="C468" s="235">
        <f t="shared" si="52"/>
        <v>131.02028901171272</v>
      </c>
      <c r="D468" s="546">
        <f t="shared" si="53"/>
        <v>436.73429670570908</v>
      </c>
      <c r="E468" s="558">
        <f t="shared" si="54"/>
        <v>75506.638217481857</v>
      </c>
      <c r="F468" s="555">
        <f t="shared" si="55"/>
        <v>7.5506638217481853E-2</v>
      </c>
      <c r="G468" s="558">
        <f t="shared" si="56"/>
        <v>22651.991465244555</v>
      </c>
      <c r="H468" s="434">
        <f t="shared" si="57"/>
        <v>2.2651991465244554E-2</v>
      </c>
    </row>
    <row r="469" spans="1:8" ht="14.65" thickBot="1">
      <c r="A469" s="152" t="s">
        <v>86</v>
      </c>
      <c r="B469" s="158">
        <f t="shared" si="51"/>
        <v>6.8942149981478078</v>
      </c>
      <c r="C469" s="236">
        <f t="shared" si="52"/>
        <v>131.02028901171272</v>
      </c>
      <c r="D469" s="547">
        <f t="shared" si="53"/>
        <v>436.73429670570908</v>
      </c>
      <c r="E469" s="559">
        <f t="shared" si="54"/>
        <v>52619.44581370517</v>
      </c>
      <c r="F469" s="556">
        <f t="shared" si="55"/>
        <v>5.2619445813705167E-2</v>
      </c>
      <c r="G469" s="559">
        <f t="shared" si="56"/>
        <v>15785.833744111549</v>
      </c>
      <c r="H469" s="439">
        <f t="shared" si="57"/>
        <v>1.5785833744111549E-2</v>
      </c>
    </row>
    <row r="470" spans="1:8">
      <c r="A470" s="145"/>
      <c r="B470" s="234"/>
      <c r="C470" s="96"/>
      <c r="D470" s="96"/>
      <c r="E470" s="95"/>
      <c r="F470" s="95"/>
    </row>
    <row r="471" spans="1:8">
      <c r="A471" s="1" t="s">
        <v>209</v>
      </c>
      <c r="B471" s="1"/>
      <c r="C471" s="1"/>
      <c r="D471" s="1"/>
    </row>
    <row r="472" spans="1:8" ht="14.65" thickBot="1">
      <c r="A472" s="79" t="s">
        <v>358</v>
      </c>
      <c r="B472" s="79"/>
      <c r="C472" s="79"/>
    </row>
    <row r="473" spans="1:8">
      <c r="A473" s="2"/>
      <c r="B473" s="323" t="s">
        <v>43</v>
      </c>
      <c r="C473" s="324" t="s">
        <v>44</v>
      </c>
      <c r="D473" s="369" t="s">
        <v>139</v>
      </c>
    </row>
    <row r="474" spans="1:8" ht="14.65" thickBot="1">
      <c r="A474" s="5"/>
      <c r="B474" s="215" t="s">
        <v>35</v>
      </c>
      <c r="C474" s="483" t="s">
        <v>35</v>
      </c>
      <c r="D474" s="319" t="s">
        <v>35</v>
      </c>
    </row>
    <row r="475" spans="1:8" ht="14.65" thickBot="1">
      <c r="A475" s="9" t="s">
        <v>347</v>
      </c>
      <c r="B475" s="250">
        <f>B9</f>
        <v>17500</v>
      </c>
      <c r="C475" s="729">
        <f>C9</f>
        <v>7000</v>
      </c>
      <c r="D475" s="627">
        <f>B475+C475</f>
        <v>24500</v>
      </c>
    </row>
    <row r="477" spans="1:8" ht="14.65" thickBot="1">
      <c r="A477" s="120" t="s">
        <v>304</v>
      </c>
      <c r="B477" s="79"/>
      <c r="C477" s="79"/>
    </row>
    <row r="478" spans="1:8" ht="14.65" thickBot="1">
      <c r="A478" s="519"/>
      <c r="B478" s="1056" t="s">
        <v>263</v>
      </c>
      <c r="C478" s="1056"/>
      <c r="D478" s="1021" t="s">
        <v>262</v>
      </c>
      <c r="E478" s="1021"/>
      <c r="F478" s="1020"/>
    </row>
    <row r="479" spans="1:8" ht="14.65" thickBot="1">
      <c r="A479" s="602"/>
      <c r="B479" s="1065" t="s">
        <v>259</v>
      </c>
      <c r="C479" s="1009"/>
      <c r="D479" s="1100" t="s">
        <v>260</v>
      </c>
      <c r="E479" s="1030"/>
      <c r="F479" s="9" t="s">
        <v>261</v>
      </c>
    </row>
    <row r="480" spans="1:8">
      <c r="A480" s="115"/>
      <c r="B480" s="188" t="s">
        <v>43</v>
      </c>
      <c r="C480" s="190" t="s">
        <v>44</v>
      </c>
      <c r="D480" s="266" t="s">
        <v>161</v>
      </c>
      <c r="E480" s="520" t="s">
        <v>162</v>
      </c>
      <c r="F480" s="521" t="s">
        <v>139</v>
      </c>
    </row>
    <row r="481" spans="1:6" ht="14.65" thickBot="1">
      <c r="A481" s="133" t="s">
        <v>18</v>
      </c>
      <c r="B481" s="23" t="s">
        <v>70</v>
      </c>
      <c r="C481" s="24" t="s">
        <v>71</v>
      </c>
      <c r="D481" s="367" t="s">
        <v>35</v>
      </c>
      <c r="E481" s="522" t="s">
        <v>35</v>
      </c>
      <c r="F481" s="523" t="s">
        <v>35</v>
      </c>
    </row>
    <row r="482" spans="1:6">
      <c r="A482" s="231" t="s">
        <v>72</v>
      </c>
      <c r="B482" s="261">
        <v>47700</v>
      </c>
      <c r="C482" s="355">
        <v>101832</v>
      </c>
      <c r="D482" s="227">
        <f>$B$9*B482/1000000</f>
        <v>834.75</v>
      </c>
      <c r="E482" s="524">
        <f>$C$9*C482/1000000</f>
        <v>712.82399999999996</v>
      </c>
      <c r="F482" s="525">
        <f>D482+E482</f>
        <v>1547.5740000000001</v>
      </c>
    </row>
    <row r="483" spans="1:6">
      <c r="A483" s="232" t="s">
        <v>73</v>
      </c>
      <c r="B483" s="356">
        <v>31</v>
      </c>
      <c r="C483" s="357">
        <v>10</v>
      </c>
      <c r="D483" s="229">
        <f t="shared" ref="D483:D496" si="58">$B$9*B483/1000000</f>
        <v>0.54249999999999998</v>
      </c>
      <c r="E483" s="470">
        <f t="shared" ref="E483:E496" si="59">$C$9*C483/1000000</f>
        <v>7.0000000000000007E-2</v>
      </c>
      <c r="F483" s="526">
        <f t="shared" ref="F483:F496" si="60">D483+E483</f>
        <v>0.61250000000000004</v>
      </c>
    </row>
    <row r="484" spans="1:6">
      <c r="A484" s="232" t="s">
        <v>74</v>
      </c>
      <c r="B484" s="356">
        <v>85425</v>
      </c>
      <c r="C484" s="357">
        <v>111453.2</v>
      </c>
      <c r="D484" s="229">
        <f t="shared" si="58"/>
        <v>1494.9375</v>
      </c>
      <c r="E484" s="470">
        <f t="shared" si="59"/>
        <v>780.17240000000004</v>
      </c>
      <c r="F484" s="526">
        <f t="shared" si="60"/>
        <v>2275.1098999999999</v>
      </c>
    </row>
    <row r="485" spans="1:6">
      <c r="A485" s="232" t="s">
        <v>75</v>
      </c>
      <c r="B485" s="356">
        <v>2.2000000000000002</v>
      </c>
      <c r="C485" s="357">
        <v>2</v>
      </c>
      <c r="D485" s="229">
        <f t="shared" si="58"/>
        <v>3.85E-2</v>
      </c>
      <c r="E485" s="470">
        <f t="shared" si="59"/>
        <v>1.4E-2</v>
      </c>
      <c r="F485" s="526">
        <f t="shared" si="60"/>
        <v>5.2499999999999998E-2</v>
      </c>
    </row>
    <row r="486" spans="1:6">
      <c r="A486" s="232" t="s">
        <v>76</v>
      </c>
      <c r="B486" s="356">
        <v>91</v>
      </c>
      <c r="C486" s="357">
        <v>53.9</v>
      </c>
      <c r="D486" s="229">
        <f t="shared" si="58"/>
        <v>1.5925</v>
      </c>
      <c r="E486" s="470">
        <f t="shared" si="59"/>
        <v>0.37730000000000002</v>
      </c>
      <c r="F486" s="526">
        <f t="shared" si="60"/>
        <v>1.9698</v>
      </c>
    </row>
    <row r="487" spans="1:6">
      <c r="A487" s="232" t="s">
        <v>77</v>
      </c>
      <c r="B487" s="356">
        <v>663</v>
      </c>
      <c r="C487" s="357">
        <v>1400</v>
      </c>
      <c r="D487" s="229">
        <f t="shared" si="58"/>
        <v>11.602499999999999</v>
      </c>
      <c r="E487" s="470">
        <f t="shared" si="59"/>
        <v>9.8000000000000007</v>
      </c>
      <c r="F487" s="526">
        <f t="shared" si="60"/>
        <v>21.4025</v>
      </c>
    </row>
    <row r="488" spans="1:6">
      <c r="A488" s="232" t="s">
        <v>78</v>
      </c>
      <c r="B488" s="356">
        <v>109000</v>
      </c>
      <c r="C488" s="357">
        <v>24315</v>
      </c>
      <c r="D488" s="229">
        <f t="shared" si="58"/>
        <v>1907.5</v>
      </c>
      <c r="E488" s="470">
        <f t="shared" si="59"/>
        <v>170.20500000000001</v>
      </c>
      <c r="F488" s="526">
        <f t="shared" si="60"/>
        <v>2077.7049999999999</v>
      </c>
    </row>
    <row r="489" spans="1:6">
      <c r="A489" s="232" t="s">
        <v>79</v>
      </c>
      <c r="B489" s="356">
        <v>9375</v>
      </c>
      <c r="C489" s="357">
        <v>9848.1</v>
      </c>
      <c r="D489" s="229">
        <f t="shared" si="58"/>
        <v>164.0625</v>
      </c>
      <c r="E489" s="470">
        <f t="shared" si="59"/>
        <v>68.936700000000002</v>
      </c>
      <c r="F489" s="526">
        <f t="shared" si="60"/>
        <v>232.9992</v>
      </c>
    </row>
    <row r="490" spans="1:6">
      <c r="A490" s="232" t="s">
        <v>80</v>
      </c>
      <c r="B490" s="356">
        <v>12191.833333333334</v>
      </c>
      <c r="C490" s="357">
        <v>12706.1</v>
      </c>
      <c r="D490" s="229">
        <f t="shared" si="58"/>
        <v>213.35708333333335</v>
      </c>
      <c r="E490" s="470">
        <f t="shared" si="59"/>
        <v>88.942700000000002</v>
      </c>
      <c r="F490" s="526">
        <f t="shared" si="60"/>
        <v>302.29978333333338</v>
      </c>
    </row>
    <row r="491" spans="1:6">
      <c r="A491" s="232" t="s">
        <v>81</v>
      </c>
      <c r="B491" s="356">
        <v>2530</v>
      </c>
      <c r="C491" s="357">
        <v>3346.1</v>
      </c>
      <c r="D491" s="229">
        <f t="shared" si="58"/>
        <v>44.274999999999999</v>
      </c>
      <c r="E491" s="470">
        <f t="shared" si="59"/>
        <v>23.422699999999999</v>
      </c>
      <c r="F491" s="526">
        <f t="shared" si="60"/>
        <v>67.697699999999998</v>
      </c>
    </row>
    <row r="492" spans="1:6">
      <c r="A492" s="232" t="s">
        <v>82</v>
      </c>
      <c r="B492" s="356">
        <v>64.5</v>
      </c>
      <c r="C492" s="357">
        <v>47.6</v>
      </c>
      <c r="D492" s="229">
        <f t="shared" si="58"/>
        <v>1.1287499999999999</v>
      </c>
      <c r="E492" s="470">
        <f t="shared" si="59"/>
        <v>0.3332</v>
      </c>
      <c r="F492" s="526">
        <f t="shared" si="60"/>
        <v>1.4619499999999999</v>
      </c>
    </row>
    <row r="493" spans="1:6">
      <c r="A493" s="232" t="s">
        <v>83</v>
      </c>
      <c r="B493" s="356">
        <v>70700</v>
      </c>
      <c r="C493" s="357">
        <v>84567</v>
      </c>
      <c r="D493" s="229">
        <f t="shared" si="58"/>
        <v>1237.25</v>
      </c>
      <c r="E493" s="470">
        <f t="shared" si="59"/>
        <v>591.96900000000005</v>
      </c>
      <c r="F493" s="526">
        <f t="shared" si="60"/>
        <v>1829.2190000000001</v>
      </c>
    </row>
    <row r="494" spans="1:6">
      <c r="A494" s="232" t="s">
        <v>84</v>
      </c>
      <c r="B494" s="356">
        <v>117</v>
      </c>
      <c r="C494" s="357">
        <v>80.2</v>
      </c>
      <c r="D494" s="229">
        <f t="shared" si="58"/>
        <v>2.0474999999999999</v>
      </c>
      <c r="E494" s="470">
        <f t="shared" si="59"/>
        <v>0.56140000000000001</v>
      </c>
      <c r="F494" s="526">
        <f t="shared" si="60"/>
        <v>2.6088999999999998</v>
      </c>
    </row>
    <row r="495" spans="1:6">
      <c r="A495" s="232" t="s">
        <v>85</v>
      </c>
      <c r="B495" s="356">
        <v>5857.8888888888887</v>
      </c>
      <c r="C495" s="357">
        <v>3113.7</v>
      </c>
      <c r="D495" s="229">
        <f t="shared" si="58"/>
        <v>102.51305555555555</v>
      </c>
      <c r="E495" s="470">
        <f t="shared" si="59"/>
        <v>21.7959</v>
      </c>
      <c r="F495" s="526">
        <f t="shared" si="60"/>
        <v>124.30895555555556</v>
      </c>
    </row>
    <row r="496" spans="1:6" ht="14.65" thickBot="1">
      <c r="A496" s="233" t="s">
        <v>86</v>
      </c>
      <c r="B496" s="358">
        <v>2260</v>
      </c>
      <c r="C496" s="359">
        <v>3000</v>
      </c>
      <c r="D496" s="230">
        <f t="shared" si="58"/>
        <v>39.549999999999997</v>
      </c>
      <c r="E496" s="471">
        <f t="shared" si="59"/>
        <v>21</v>
      </c>
      <c r="F496" s="527">
        <f t="shared" si="60"/>
        <v>60.55</v>
      </c>
    </row>
    <row r="498" spans="1:8" ht="14.65" thickBot="1">
      <c r="A498" s="79" t="s">
        <v>393</v>
      </c>
    </row>
    <row r="499" spans="1:8" ht="14.65" thickBot="1">
      <c r="A499" s="419"/>
      <c r="B499" s="1019" t="s">
        <v>262</v>
      </c>
      <c r="C499" s="1021"/>
      <c r="D499" s="1021"/>
      <c r="E499" s="1021"/>
      <c r="F499" s="1021"/>
      <c r="G499" s="1019" t="s">
        <v>263</v>
      </c>
      <c r="H499" s="1020"/>
    </row>
    <row r="500" spans="1:8">
      <c r="A500" s="315" t="s">
        <v>93</v>
      </c>
      <c r="B500" s="323" t="s">
        <v>208</v>
      </c>
      <c r="C500" s="274" t="s">
        <v>198</v>
      </c>
      <c r="D500" s="274" t="s">
        <v>141</v>
      </c>
      <c r="E500" s="274" t="s">
        <v>142</v>
      </c>
      <c r="F500" s="324" t="s">
        <v>210</v>
      </c>
      <c r="G500" s="1089" t="s">
        <v>95</v>
      </c>
      <c r="H500" s="1090"/>
    </row>
    <row r="501" spans="1:8" ht="14.65" thickBot="1">
      <c r="A501" s="345" t="s">
        <v>297</v>
      </c>
      <c r="B501" s="586" t="s">
        <v>35</v>
      </c>
      <c r="C501" s="349" t="s">
        <v>35</v>
      </c>
      <c r="D501" s="349" t="s">
        <v>35</v>
      </c>
      <c r="E501" s="349" t="s">
        <v>35</v>
      </c>
      <c r="F501" s="522" t="s">
        <v>35</v>
      </c>
      <c r="G501" s="530" t="s">
        <v>70</v>
      </c>
      <c r="H501" s="155" t="s">
        <v>237</v>
      </c>
    </row>
    <row r="502" spans="1:8">
      <c r="A502" s="373" t="s">
        <v>72</v>
      </c>
      <c r="B502" s="590">
        <f t="shared" ref="B502:B514" si="61">B431</f>
        <v>161.84002022130252</v>
      </c>
      <c r="C502" s="591">
        <f t="shared" ref="C502:C514" si="62">B240</f>
        <v>302.034235670459</v>
      </c>
      <c r="D502" s="591">
        <f>F482</f>
        <v>1547.5740000000001</v>
      </c>
      <c r="E502" s="591">
        <f>B502+C502+D502</f>
        <v>2011.4482558917616</v>
      </c>
      <c r="F502" s="294">
        <f t="shared" ref="F502:F518" si="63">$C$418+$C$191+$D$475</f>
        <v>47145.093658544582</v>
      </c>
      <c r="G502" s="551">
        <f>E502/F502*1000000</f>
        <v>42665.060132449362</v>
      </c>
      <c r="H502" s="433">
        <f>G502/1000000</f>
        <v>4.2665060132449362E-2</v>
      </c>
    </row>
    <row r="503" spans="1:8">
      <c r="A503" s="374" t="s">
        <v>73</v>
      </c>
      <c r="B503" s="592">
        <f t="shared" si="61"/>
        <v>1.7314080232283452E-2</v>
      </c>
      <c r="C503" s="364">
        <f t="shared" si="62"/>
        <v>0.17005919767716551</v>
      </c>
      <c r="D503" s="364">
        <f>F483</f>
        <v>0.61250000000000004</v>
      </c>
      <c r="E503" s="364">
        <f t="shared" ref="E503:E517" si="64">B503+C503+D503</f>
        <v>0.79987327790944907</v>
      </c>
      <c r="F503" s="295">
        <f t="shared" si="63"/>
        <v>47145.093658544582</v>
      </c>
      <c r="G503" s="552">
        <f t="shared" ref="G503:G518" si="65">E503/F503*1000000</f>
        <v>16.966204027563322</v>
      </c>
      <c r="H503" s="434">
        <f t="shared" ref="H503:H518" si="66">G503/1000000</f>
        <v>1.6966204027563321E-5</v>
      </c>
    </row>
    <row r="504" spans="1:8">
      <c r="A504" s="374" t="s">
        <v>74</v>
      </c>
      <c r="B504" s="592">
        <f t="shared" si="61"/>
        <v>450.27935403260932</v>
      </c>
      <c r="C504" s="364">
        <f t="shared" si="62"/>
        <v>1457.7206459673907</v>
      </c>
      <c r="D504" s="364">
        <f t="shared" ref="D504:D511" si="67">F484</f>
        <v>2275.1098999999999</v>
      </c>
      <c r="E504" s="364">
        <f t="shared" si="64"/>
        <v>4183.1098999999995</v>
      </c>
      <c r="F504" s="295">
        <f t="shared" si="63"/>
        <v>47145.093658544582</v>
      </c>
      <c r="G504" s="552">
        <f t="shared" si="65"/>
        <v>88728.424855761259</v>
      </c>
      <c r="H504" s="434">
        <f t="shared" si="66"/>
        <v>8.8728424855761254E-2</v>
      </c>
    </row>
    <row r="505" spans="1:8">
      <c r="A505" s="374" t="s">
        <v>75</v>
      </c>
      <c r="B505" s="592">
        <f t="shared" si="61"/>
        <v>2.2932000000000001E-2</v>
      </c>
      <c r="C505" s="364">
        <f t="shared" si="62"/>
        <v>1.848E-2</v>
      </c>
      <c r="D505" s="364">
        <f t="shared" si="67"/>
        <v>5.2499999999999998E-2</v>
      </c>
      <c r="E505" s="364">
        <f t="shared" si="64"/>
        <v>9.3911999999999995E-2</v>
      </c>
      <c r="F505" s="295">
        <f t="shared" si="63"/>
        <v>47145.093658544582</v>
      </c>
      <c r="G505" s="552">
        <f t="shared" si="65"/>
        <v>1.9919782253519687</v>
      </c>
      <c r="H505" s="434">
        <f t="shared" si="66"/>
        <v>1.9919782253519687E-6</v>
      </c>
    </row>
    <row r="506" spans="1:8">
      <c r="A506" s="374" t="s">
        <v>76</v>
      </c>
      <c r="B506" s="592">
        <f t="shared" si="61"/>
        <v>0.26464265446041685</v>
      </c>
      <c r="C506" s="364">
        <f t="shared" si="62"/>
        <v>1.3673573455395831</v>
      </c>
      <c r="D506" s="364">
        <f t="shared" si="67"/>
        <v>1.9698</v>
      </c>
      <c r="E506" s="364">
        <f t="shared" si="64"/>
        <v>3.6017999999999999</v>
      </c>
      <c r="F506" s="295">
        <f t="shared" si="63"/>
        <v>47145.093658544582</v>
      </c>
      <c r="G506" s="552">
        <f t="shared" si="65"/>
        <v>76.398193756630903</v>
      </c>
      <c r="H506" s="434">
        <f t="shared" si="66"/>
        <v>7.6398193756630907E-5</v>
      </c>
    </row>
    <row r="507" spans="1:8">
      <c r="A507" s="375" t="s">
        <v>77</v>
      </c>
      <c r="B507" s="592">
        <f t="shared" si="61"/>
        <v>1.9488449114376971E-2</v>
      </c>
      <c r="C507" s="364">
        <f t="shared" si="62"/>
        <v>5.9231550885623054</v>
      </c>
      <c r="D507" s="364">
        <f t="shared" si="67"/>
        <v>21.4025</v>
      </c>
      <c r="E507" s="364">
        <f t="shared" si="64"/>
        <v>27.345143537676684</v>
      </c>
      <c r="F507" s="295">
        <f t="shared" si="63"/>
        <v>47145.093658544582</v>
      </c>
      <c r="G507" s="552">
        <f t="shared" si="65"/>
        <v>580.02098236834547</v>
      </c>
      <c r="H507" s="434">
        <f t="shared" si="66"/>
        <v>5.8002098236834552E-4</v>
      </c>
    </row>
    <row r="508" spans="1:8">
      <c r="A508" s="375" t="s">
        <v>78</v>
      </c>
      <c r="B508" s="592">
        <f t="shared" si="61"/>
        <v>214.22556048798941</v>
      </c>
      <c r="C508" s="364">
        <f t="shared" si="62"/>
        <v>831.20547642257486</v>
      </c>
      <c r="D508" s="364">
        <f t="shared" si="67"/>
        <v>2077.7049999999999</v>
      </c>
      <c r="E508" s="364">
        <f t="shared" si="64"/>
        <v>3123.1360369105641</v>
      </c>
      <c r="F508" s="295">
        <f t="shared" si="63"/>
        <v>47145.093658544582</v>
      </c>
      <c r="G508" s="552">
        <f t="shared" si="65"/>
        <v>66245.197422458121</v>
      </c>
      <c r="H508" s="434">
        <f t="shared" si="66"/>
        <v>6.6245197422458116E-2</v>
      </c>
    </row>
    <row r="509" spans="1:8">
      <c r="A509" s="375" t="s">
        <v>79</v>
      </c>
      <c r="B509" s="592">
        <f t="shared" si="61"/>
        <v>34.967496775293192</v>
      </c>
      <c r="C509" s="364">
        <f t="shared" si="62"/>
        <v>62.89590074328904</v>
      </c>
      <c r="D509" s="364">
        <f t="shared" si="67"/>
        <v>232.9992</v>
      </c>
      <c r="E509" s="364">
        <f t="shared" si="64"/>
        <v>330.86259751858222</v>
      </c>
      <c r="F509" s="295">
        <f t="shared" si="63"/>
        <v>47145.093658544582</v>
      </c>
      <c r="G509" s="552">
        <f t="shared" si="65"/>
        <v>7017.9645821663707</v>
      </c>
      <c r="H509" s="434">
        <f t="shared" si="66"/>
        <v>7.0179645821663705E-3</v>
      </c>
    </row>
    <row r="510" spans="1:8">
      <c r="A510" s="375" t="s">
        <v>80</v>
      </c>
      <c r="B510" s="592">
        <f t="shared" si="61"/>
        <v>65.06620127340949</v>
      </c>
      <c r="C510" s="364">
        <f t="shared" si="62"/>
        <v>88.065434591374881</v>
      </c>
      <c r="D510" s="364">
        <f t="shared" si="67"/>
        <v>302.29978333333338</v>
      </c>
      <c r="E510" s="364">
        <f t="shared" si="64"/>
        <v>455.43141919811774</v>
      </c>
      <c r="F510" s="295">
        <f t="shared" si="63"/>
        <v>47145.093658544582</v>
      </c>
      <c r="G510" s="552">
        <f t="shared" si="65"/>
        <v>9660.2081755664367</v>
      </c>
      <c r="H510" s="434">
        <f t="shared" si="66"/>
        <v>9.6602081755664364E-3</v>
      </c>
    </row>
    <row r="511" spans="1:8">
      <c r="A511" s="375" t="s">
        <v>81</v>
      </c>
      <c r="B511" s="592">
        <f t="shared" si="61"/>
        <v>37.24435889358238</v>
      </c>
      <c r="C511" s="364">
        <f t="shared" si="62"/>
        <v>59.955641106417616</v>
      </c>
      <c r="D511" s="364">
        <f t="shared" si="67"/>
        <v>67.697699999999998</v>
      </c>
      <c r="E511" s="364">
        <f t="shared" si="64"/>
        <v>164.89769999999999</v>
      </c>
      <c r="F511" s="295">
        <f t="shared" si="63"/>
        <v>47145.093658544582</v>
      </c>
      <c r="G511" s="552">
        <f t="shared" si="65"/>
        <v>3497.6640664730953</v>
      </c>
      <c r="H511" s="434">
        <f t="shared" si="66"/>
        <v>3.4976640664730954E-3</v>
      </c>
    </row>
    <row r="512" spans="1:8">
      <c r="A512" s="375" t="s">
        <v>82</v>
      </c>
      <c r="B512" s="592">
        <f t="shared" si="61"/>
        <v>0.44935559154215376</v>
      </c>
      <c r="C512" s="364">
        <f t="shared" si="62"/>
        <v>1.0391224702131756</v>
      </c>
      <c r="D512" s="364">
        <f>F492</f>
        <v>1.4619499999999999</v>
      </c>
      <c r="E512" s="364">
        <f t="shared" si="64"/>
        <v>2.9504280617553293</v>
      </c>
      <c r="F512" s="295">
        <f t="shared" si="63"/>
        <v>47145.093658544582</v>
      </c>
      <c r="G512" s="552">
        <f t="shared" si="65"/>
        <v>62.581868712028609</v>
      </c>
      <c r="H512" s="434">
        <f t="shared" si="66"/>
        <v>6.2581868712028612E-5</v>
      </c>
    </row>
    <row r="513" spans="1:8">
      <c r="A513" s="372" t="s">
        <v>213</v>
      </c>
      <c r="B513" s="592">
        <f t="shared" si="61"/>
        <v>534.76113600000008</v>
      </c>
      <c r="C513" s="364">
        <f t="shared" si="62"/>
        <v>430.94304000000005</v>
      </c>
      <c r="D513" s="364">
        <f>F493</f>
        <v>1829.2190000000001</v>
      </c>
      <c r="E513" s="364">
        <f t="shared" si="64"/>
        <v>2794.9231760000002</v>
      </c>
      <c r="F513" s="295">
        <f t="shared" si="63"/>
        <v>47145.093658544582</v>
      </c>
      <c r="G513" s="552">
        <f t="shared" si="65"/>
        <v>59283.436708019944</v>
      </c>
      <c r="H513" s="434">
        <f t="shared" si="66"/>
        <v>5.9283436708019943E-2</v>
      </c>
    </row>
    <row r="514" spans="1:8">
      <c r="A514" s="375" t="s">
        <v>96</v>
      </c>
      <c r="B514" s="592">
        <f t="shared" si="61"/>
        <v>1558.5737142857145</v>
      </c>
      <c r="C514" s="364">
        <f t="shared" si="62"/>
        <v>1255.9934693877551</v>
      </c>
      <c r="D514" s="364">
        <v>0</v>
      </c>
      <c r="E514" s="364">
        <f t="shared" si="64"/>
        <v>2814.5671836734696</v>
      </c>
      <c r="F514" s="295">
        <f t="shared" si="63"/>
        <v>47145.093658544582</v>
      </c>
      <c r="G514" s="552">
        <f t="shared" si="65"/>
        <v>59700.108012477293</v>
      </c>
      <c r="H514" s="434">
        <f t="shared" si="66"/>
        <v>5.9700108012477292E-2</v>
      </c>
    </row>
    <row r="515" spans="1:8">
      <c r="A515" s="350" t="s">
        <v>97</v>
      </c>
      <c r="B515" s="593">
        <f>B513+B514</f>
        <v>2093.3348502857143</v>
      </c>
      <c r="C515" s="44">
        <f>C513+C514</f>
        <v>1686.9365093877552</v>
      </c>
      <c r="D515" s="364">
        <f>D513+D514</f>
        <v>1829.2190000000001</v>
      </c>
      <c r="E515" s="364">
        <f t="shared" si="64"/>
        <v>5609.4903596734694</v>
      </c>
      <c r="F515" s="295">
        <f t="shared" si="63"/>
        <v>47145.093658544582</v>
      </c>
      <c r="G515" s="594">
        <f t="shared" si="65"/>
        <v>118983.54472049723</v>
      </c>
      <c r="H515" s="585">
        <f t="shared" si="66"/>
        <v>0.11898354472049723</v>
      </c>
    </row>
    <row r="516" spans="1:8">
      <c r="A516" s="398" t="s">
        <v>84</v>
      </c>
      <c r="B516" s="593">
        <f>B445</f>
        <v>8.9505984412444672E-2</v>
      </c>
      <c r="C516" s="44">
        <f>B254</f>
        <v>1.3961989903462106</v>
      </c>
      <c r="D516" s="364">
        <f>F494</f>
        <v>2.6088999999999998</v>
      </c>
      <c r="E516" s="364">
        <f t="shared" si="64"/>
        <v>4.0946049747586546</v>
      </c>
      <c r="F516" s="295">
        <f t="shared" si="63"/>
        <v>47145.093658544582</v>
      </c>
      <c r="G516" s="552">
        <f t="shared" si="65"/>
        <v>86.851136714552865</v>
      </c>
      <c r="H516" s="434">
        <f t="shared" si="66"/>
        <v>8.6851136714552859E-5</v>
      </c>
    </row>
    <row r="517" spans="1:8">
      <c r="A517" s="398" t="s">
        <v>85</v>
      </c>
      <c r="B517" s="593">
        <f>B446</f>
        <v>0</v>
      </c>
      <c r="C517" s="44">
        <f>B257</f>
        <v>791.04489795918357</v>
      </c>
      <c r="D517" s="364">
        <f>F495</f>
        <v>124.30895555555556</v>
      </c>
      <c r="E517" s="364">
        <f t="shared" si="64"/>
        <v>915.35385351473917</v>
      </c>
      <c r="F517" s="295">
        <f t="shared" si="63"/>
        <v>47145.093658544582</v>
      </c>
      <c r="G517" s="552">
        <f t="shared" si="65"/>
        <v>19415.675788966015</v>
      </c>
      <c r="H517" s="434">
        <f t="shared" si="66"/>
        <v>1.9415675788966014E-2</v>
      </c>
    </row>
    <row r="518" spans="1:8" ht="14.65" thickBot="1">
      <c r="A518" s="376" t="s">
        <v>86</v>
      </c>
      <c r="B518" s="595">
        <f>B447</f>
        <v>0.36285342095514839</v>
      </c>
      <c r="C518" s="49">
        <f>B260</f>
        <v>20.978931580897044</v>
      </c>
      <c r="D518" s="379">
        <f>F496</f>
        <v>60.55</v>
      </c>
      <c r="E518" s="379">
        <f>B518+C518+D518</f>
        <v>81.891785001852185</v>
      </c>
      <c r="F518" s="380">
        <f t="shared" si="63"/>
        <v>47145.093658544582</v>
      </c>
      <c r="G518" s="553">
        <f t="shared" si="65"/>
        <v>1737.0160635370826</v>
      </c>
      <c r="H518" s="439">
        <f t="shared" si="66"/>
        <v>1.7370160635370826E-3</v>
      </c>
    </row>
    <row r="520" spans="1:8">
      <c r="A520" s="329" t="s">
        <v>144</v>
      </c>
      <c r="B520" s="329"/>
      <c r="C520" s="329"/>
      <c r="D520" s="329"/>
      <c r="E520" s="329"/>
      <c r="F520" s="329"/>
    </row>
    <row r="521" spans="1:8">
      <c r="A521" s="329" t="s">
        <v>315</v>
      </c>
      <c r="B521" s="329"/>
      <c r="C521" s="329"/>
      <c r="D521" s="329"/>
      <c r="E521" s="329"/>
      <c r="F521" s="329"/>
    </row>
    <row r="522" spans="1:8">
      <c r="D522" s="121"/>
    </row>
    <row r="523" spans="1:8" ht="14.65" thickBot="1">
      <c r="A523" s="79" t="s">
        <v>432</v>
      </c>
      <c r="D523" s="121"/>
    </row>
    <row r="524" spans="1:8">
      <c r="A524" s="388" t="s">
        <v>93</v>
      </c>
      <c r="B524" s="323" t="s">
        <v>146</v>
      </c>
      <c r="C524" s="324" t="s">
        <v>147</v>
      </c>
      <c r="D524" s="1024" t="s">
        <v>95</v>
      </c>
      <c r="E524" s="1025"/>
    </row>
    <row r="525" spans="1:8" ht="14.65" thickBot="1">
      <c r="A525" s="220"/>
      <c r="B525" s="6" t="s">
        <v>35</v>
      </c>
      <c r="C525" s="422" t="s">
        <v>35</v>
      </c>
      <c r="D525" s="403" t="s">
        <v>257</v>
      </c>
      <c r="E525" s="155" t="s">
        <v>237</v>
      </c>
    </row>
    <row r="526" spans="1:8">
      <c r="A526" s="137" t="s">
        <v>211</v>
      </c>
      <c r="B526" s="159">
        <f>B515+C515</f>
        <v>3780.2713596734693</v>
      </c>
      <c r="C526" s="501">
        <f>$C$418+$C$191</f>
        <v>22645.093658544582</v>
      </c>
      <c r="D526" s="227">
        <f>B526/C526*1000000</f>
        <v>166935.55861037804</v>
      </c>
      <c r="E526" s="433">
        <f>D526/1000000</f>
        <v>0.16693555861037804</v>
      </c>
    </row>
    <row r="527" spans="1:8">
      <c r="A527" s="113" t="s">
        <v>149</v>
      </c>
      <c r="B527" s="161">
        <f>$D$513</f>
        <v>1829.2190000000001</v>
      </c>
      <c r="C527" s="502">
        <f>$D$475</f>
        <v>24500</v>
      </c>
      <c r="D527" s="229">
        <f>B527/C527*1000000</f>
        <v>74662</v>
      </c>
      <c r="E527" s="434">
        <f t="shared" ref="E527:E529" si="68">D527/1000000</f>
        <v>7.4662000000000006E-2</v>
      </c>
    </row>
    <row r="528" spans="1:8">
      <c r="A528" s="138" t="s">
        <v>96</v>
      </c>
      <c r="B528" s="444">
        <f>C528*31/98</f>
        <v>4664.2988587424397</v>
      </c>
      <c r="C528" s="587">
        <v>14745.202843766423</v>
      </c>
      <c r="D528" s="229">
        <f>B528/C528*1000000</f>
        <v>316326.53061224485</v>
      </c>
      <c r="E528" s="434">
        <f t="shared" si="68"/>
        <v>0.31632653061224486</v>
      </c>
    </row>
    <row r="529" spans="1:5" ht="14.65" thickBot="1">
      <c r="A529" s="330" t="s">
        <v>306</v>
      </c>
      <c r="B529" s="162">
        <f>SUM($B$526:$B$528)</f>
        <v>10273.78921841591</v>
      </c>
      <c r="C529" s="503">
        <f>SUM($C$526:$C$528)</f>
        <v>61890.296502311001</v>
      </c>
      <c r="D529" s="588">
        <f>B529/C529*1000000</f>
        <v>165999.99998436403</v>
      </c>
      <c r="E529" s="589">
        <f t="shared" si="68"/>
        <v>0.16599999998436402</v>
      </c>
    </row>
    <row r="531" spans="1:5" ht="14.65" thickBot="1">
      <c r="A531" s="79" t="s">
        <v>434</v>
      </c>
    </row>
    <row r="532" spans="1:5" ht="14.65" thickBot="1">
      <c r="A532" s="691"/>
      <c r="B532" s="192" t="s">
        <v>18</v>
      </c>
      <c r="C532" s="744" t="s">
        <v>106</v>
      </c>
    </row>
    <row r="533" spans="1:5">
      <c r="A533" s="172" t="s">
        <v>435</v>
      </c>
      <c r="B533" s="745" t="s">
        <v>35</v>
      </c>
      <c r="C533" s="730">
        <f>$C$528</f>
        <v>14745.202843766423</v>
      </c>
    </row>
    <row r="534" spans="1:5">
      <c r="A534" s="108" t="s">
        <v>436</v>
      </c>
      <c r="B534" s="105" t="s">
        <v>35</v>
      </c>
      <c r="C534" s="84">
        <f>C533/75%*25%</f>
        <v>4915.0676145888074</v>
      </c>
    </row>
    <row r="535" spans="1:5" ht="14.65" thickBot="1">
      <c r="A535" s="333" t="s">
        <v>437</v>
      </c>
      <c r="B535" s="381" t="s">
        <v>35</v>
      </c>
      <c r="C535" s="335">
        <f>C533+C534</f>
        <v>19660.270458355229</v>
      </c>
    </row>
    <row r="537" spans="1:5">
      <c r="A537" s="329" t="s">
        <v>316</v>
      </c>
    </row>
    <row r="538" spans="1:5">
      <c r="A538" s="329" t="s">
        <v>317</v>
      </c>
    </row>
    <row r="539" spans="1:5">
      <c r="A539" s="329"/>
    </row>
    <row r="540" spans="1:5" ht="14.65" thickBot="1">
      <c r="A540" s="329" t="s">
        <v>307</v>
      </c>
    </row>
    <row r="541" spans="1:5">
      <c r="A541" s="664" t="s">
        <v>64</v>
      </c>
      <c r="B541" s="665" t="s">
        <v>24</v>
      </c>
      <c r="C541" s="666">
        <v>0.45</v>
      </c>
    </row>
    <row r="542" spans="1:5" ht="14.65" thickBot="1">
      <c r="A542" s="667" t="s">
        <v>66</v>
      </c>
      <c r="B542" s="284" t="s">
        <v>24</v>
      </c>
      <c r="C542" s="663">
        <v>0.55000000000000004</v>
      </c>
    </row>
    <row r="543" spans="1:5">
      <c r="A543" s="329"/>
    </row>
    <row r="544" spans="1:5" ht="14.65" thickBot="1">
      <c r="A544" s="329" t="s">
        <v>363</v>
      </c>
    </row>
    <row r="545" spans="1:3" ht="14.65" thickBot="1">
      <c r="A545" s="191"/>
      <c r="B545" s="192" t="s">
        <v>18</v>
      </c>
      <c r="C545" s="193" t="s">
        <v>106</v>
      </c>
    </row>
    <row r="546" spans="1:3">
      <c r="A546" s="678" t="s">
        <v>374</v>
      </c>
      <c r="B546" s="293" t="s">
        <v>35</v>
      </c>
      <c r="C546" s="294">
        <f>$C$418</f>
        <v>6079.2194388307089</v>
      </c>
    </row>
    <row r="547" spans="1:3">
      <c r="A547" s="679" t="s">
        <v>375</v>
      </c>
      <c r="B547" s="287" t="s">
        <v>35</v>
      </c>
      <c r="C547" s="295">
        <f>$C$191</f>
        <v>16565.874219713874</v>
      </c>
    </row>
    <row r="548" spans="1:3">
      <c r="A548" s="679" t="s">
        <v>343</v>
      </c>
      <c r="B548" s="282" t="s">
        <v>35</v>
      </c>
      <c r="C548" s="370">
        <f>$B$475</f>
        <v>17500</v>
      </c>
    </row>
    <row r="549" spans="1:3">
      <c r="A549" s="679" t="s">
        <v>344</v>
      </c>
      <c r="B549" s="282" t="s">
        <v>35</v>
      </c>
      <c r="C549" s="347">
        <f>$C$475</f>
        <v>7000</v>
      </c>
    </row>
    <row r="550" spans="1:3">
      <c r="A550" s="375" t="s">
        <v>435</v>
      </c>
      <c r="B550" s="287" t="s">
        <v>35</v>
      </c>
      <c r="C550" s="279">
        <f>$C$533</f>
        <v>14745.202843766423</v>
      </c>
    </row>
    <row r="551" spans="1:3" ht="14.65" thickBot="1">
      <c r="A551" s="683" t="s">
        <v>309</v>
      </c>
      <c r="B551" s="215" t="s">
        <v>35</v>
      </c>
      <c r="C551" s="344">
        <f>C546+C547+C548+C549+C550</f>
        <v>61890.296502311001</v>
      </c>
    </row>
    <row r="552" spans="1:3">
      <c r="A552" s="675" t="s">
        <v>345</v>
      </c>
      <c r="B552" s="676" t="s">
        <v>35</v>
      </c>
      <c r="C552" s="342">
        <f>C551/C541*C542</f>
        <v>75643.695725046782</v>
      </c>
    </row>
    <row r="553" spans="1:3">
      <c r="A553" s="679" t="s">
        <v>376</v>
      </c>
      <c r="B553" s="287" t="s">
        <v>35</v>
      </c>
      <c r="C553" s="279">
        <f>$C$423</f>
        <v>24679.353172014224</v>
      </c>
    </row>
    <row r="554" spans="1:3">
      <c r="A554" s="679" t="s">
        <v>370</v>
      </c>
      <c r="B554" s="287" t="s">
        <v>35</v>
      </c>
      <c r="C554" s="279">
        <f>$C$193</f>
        <v>9481.0978238614007</v>
      </c>
    </row>
    <row r="555" spans="1:3">
      <c r="A555" s="108" t="s">
        <v>436</v>
      </c>
      <c r="B555" s="287" t="s">
        <v>35</v>
      </c>
      <c r="C555" s="347">
        <f>$C$534</f>
        <v>4915.0676145888074</v>
      </c>
    </row>
    <row r="556" spans="1:3" ht="14.65" thickBot="1">
      <c r="A556" s="680" t="s">
        <v>363</v>
      </c>
      <c r="B556" s="698" t="s">
        <v>35</v>
      </c>
      <c r="C556" s="671">
        <f>C552-C553-C554-C555</f>
        <v>36568.177114582351</v>
      </c>
    </row>
    <row r="558" spans="1:3" ht="14.65" thickBot="1">
      <c r="A558" s="79" t="s">
        <v>289</v>
      </c>
    </row>
    <row r="559" spans="1:3" ht="14.65" thickBot="1">
      <c r="A559" s="191" t="s">
        <v>53</v>
      </c>
      <c r="B559" s="192" t="s">
        <v>18</v>
      </c>
      <c r="C559" s="193" t="s">
        <v>106</v>
      </c>
    </row>
    <row r="560" spans="1:3">
      <c r="A560" s="388" t="s">
        <v>191</v>
      </c>
      <c r="B560" s="3" t="s">
        <v>35</v>
      </c>
      <c r="C560" s="687">
        <f>$C$406</f>
        <v>30758.572610844942</v>
      </c>
    </row>
    <row r="561" spans="1:3">
      <c r="A561" s="219" t="s">
        <v>190</v>
      </c>
      <c r="B561" s="90" t="s">
        <v>35</v>
      </c>
      <c r="C561" s="383">
        <f>$C$189</f>
        <v>26046.972043575275</v>
      </c>
    </row>
    <row r="562" spans="1:3">
      <c r="A562" s="219" t="s">
        <v>343</v>
      </c>
      <c r="B562" s="90" t="s">
        <v>35</v>
      </c>
      <c r="C562" s="383">
        <f>$B$475</f>
        <v>17500</v>
      </c>
    </row>
    <row r="563" spans="1:3">
      <c r="A563" s="219" t="s">
        <v>344</v>
      </c>
      <c r="B563" s="90" t="s">
        <v>35</v>
      </c>
      <c r="C563" s="747">
        <f>$C$475</f>
        <v>7000</v>
      </c>
    </row>
    <row r="564" spans="1:3">
      <c r="A564" s="582" t="s">
        <v>437</v>
      </c>
      <c r="B564" s="724" t="s">
        <v>35</v>
      </c>
      <c r="C564" s="750">
        <f>C535</f>
        <v>19660.270458355229</v>
      </c>
    </row>
    <row r="565" spans="1:3" ht="14.65" thickBot="1">
      <c r="A565" s="748" t="s">
        <v>363</v>
      </c>
      <c r="B565" s="694" t="s">
        <v>35</v>
      </c>
      <c r="C565" s="749">
        <f>C556</f>
        <v>36568.177114582351</v>
      </c>
    </row>
    <row r="567" spans="1:3" ht="14.65" thickBot="1">
      <c r="A567" s="79" t="s">
        <v>290</v>
      </c>
    </row>
    <row r="568" spans="1:3" ht="14.65" thickBot="1">
      <c r="A568" s="191" t="s">
        <v>90</v>
      </c>
      <c r="B568" s="192" t="s">
        <v>18</v>
      </c>
      <c r="C568" s="193" t="s">
        <v>91</v>
      </c>
    </row>
    <row r="569" spans="1:3">
      <c r="A569" s="272" t="s">
        <v>191</v>
      </c>
      <c r="B569" s="308" t="s">
        <v>35</v>
      </c>
      <c r="C569" s="614">
        <f>$C$406</f>
        <v>30758.572610844942</v>
      </c>
    </row>
    <row r="570" spans="1:3">
      <c r="A570" s="257" t="s">
        <v>190</v>
      </c>
      <c r="B570" s="282" t="s">
        <v>35</v>
      </c>
      <c r="C570" s="370">
        <f>$C$189</f>
        <v>26046.972043575275</v>
      </c>
    </row>
    <row r="571" spans="1:3">
      <c r="A571" s="257" t="s">
        <v>343</v>
      </c>
      <c r="B571" s="282" t="s">
        <v>35</v>
      </c>
      <c r="C571" s="370">
        <f>$B$475</f>
        <v>17500</v>
      </c>
    </row>
    <row r="572" spans="1:3">
      <c r="A572" s="257" t="s">
        <v>344</v>
      </c>
      <c r="B572" s="282" t="s">
        <v>35</v>
      </c>
      <c r="C572" s="347">
        <f>$C$475</f>
        <v>7000</v>
      </c>
    </row>
    <row r="573" spans="1:3">
      <c r="A573" s="108" t="s">
        <v>437</v>
      </c>
      <c r="B573" s="178" t="s">
        <v>35</v>
      </c>
      <c r="C573" s="84">
        <f>C535</f>
        <v>19660.270458355229</v>
      </c>
    </row>
    <row r="574" spans="1:3">
      <c r="A574" s="68" t="s">
        <v>363</v>
      </c>
      <c r="B574" s="178" t="s">
        <v>35</v>
      </c>
      <c r="C574" s="82">
        <f>C556</f>
        <v>36568.177114582351</v>
      </c>
    </row>
    <row r="575" spans="1:3" ht="14.65" thickBot="1">
      <c r="A575" s="255" t="s">
        <v>305</v>
      </c>
      <c r="B575" s="677" t="s">
        <v>35</v>
      </c>
      <c r="C575" s="256">
        <f>SUM(C569:C574)</f>
        <v>137533.99222735778</v>
      </c>
    </row>
    <row r="577" spans="1:3" ht="14.65" thickBot="1">
      <c r="A577" s="79" t="s">
        <v>307</v>
      </c>
      <c r="B577" s="79"/>
      <c r="C577" s="79"/>
    </row>
    <row r="578" spans="1:3" ht="14.65" thickBot="1">
      <c r="A578" s="103" t="s">
        <v>90</v>
      </c>
      <c r="B578" s="102" t="s">
        <v>18</v>
      </c>
      <c r="C578" s="17" t="s">
        <v>106</v>
      </c>
    </row>
    <row r="579" spans="1:3">
      <c r="A579" s="276" t="s">
        <v>374</v>
      </c>
      <c r="B579" s="296" t="s">
        <v>35</v>
      </c>
      <c r="C579" s="297">
        <f>$C$418</f>
        <v>6079.2194388307089</v>
      </c>
    </row>
    <row r="580" spans="1:3">
      <c r="A580" s="257" t="s">
        <v>375</v>
      </c>
      <c r="B580" s="278" t="s">
        <v>35</v>
      </c>
      <c r="C580" s="295">
        <f>$C$191</f>
        <v>16565.874219713874</v>
      </c>
    </row>
    <row r="581" spans="1:3">
      <c r="A581" s="257" t="s">
        <v>343</v>
      </c>
      <c r="B581" s="346" t="s">
        <v>35</v>
      </c>
      <c r="C581" s="370">
        <f>$B$475</f>
        <v>17500</v>
      </c>
    </row>
    <row r="582" spans="1:3">
      <c r="A582" s="257" t="s">
        <v>344</v>
      </c>
      <c r="B582" s="346" t="s">
        <v>35</v>
      </c>
      <c r="C582" s="347">
        <f>$C$475</f>
        <v>7000</v>
      </c>
    </row>
    <row r="583" spans="1:3">
      <c r="A583" s="348" t="s">
        <v>435</v>
      </c>
      <c r="B583" s="278" t="s">
        <v>35</v>
      </c>
      <c r="C583" s="279">
        <f>$C$533</f>
        <v>14745.202843766423</v>
      </c>
    </row>
    <row r="584" spans="1:3">
      <c r="A584" s="257" t="s">
        <v>309</v>
      </c>
      <c r="B584" s="278" t="s">
        <v>35</v>
      </c>
      <c r="C584" s="279">
        <f>C579+C580+C581+C582+C583</f>
        <v>61890.296502311001</v>
      </c>
    </row>
    <row r="585" spans="1:3">
      <c r="A585" s="257" t="s">
        <v>305</v>
      </c>
      <c r="B585" s="278" t="s">
        <v>35</v>
      </c>
      <c r="C585" s="279">
        <f>C575</f>
        <v>137533.99222735778</v>
      </c>
    </row>
    <row r="586" spans="1:3">
      <c r="A586" s="299" t="s">
        <v>64</v>
      </c>
      <c r="B586" s="260" t="s">
        <v>24</v>
      </c>
      <c r="C586" s="371">
        <f>C584/C585</f>
        <v>0.45</v>
      </c>
    </row>
    <row r="587" spans="1:3">
      <c r="A587" s="108" t="s">
        <v>437</v>
      </c>
      <c r="B587" s="178" t="s">
        <v>35</v>
      </c>
      <c r="C587" s="84">
        <f>C534</f>
        <v>4915.0676145888074</v>
      </c>
    </row>
    <row r="588" spans="1:3">
      <c r="A588" s="257" t="s">
        <v>376</v>
      </c>
      <c r="B588" s="278" t="s">
        <v>35</v>
      </c>
      <c r="C588" s="279">
        <f>$C$423</f>
        <v>24679.353172014224</v>
      </c>
    </row>
    <row r="589" spans="1:3">
      <c r="A589" s="257" t="s">
        <v>370</v>
      </c>
      <c r="B589" s="278" t="s">
        <v>35</v>
      </c>
      <c r="C589" s="279">
        <f>$C$193</f>
        <v>9481.0978238614007</v>
      </c>
    </row>
    <row r="590" spans="1:3">
      <c r="A590" s="68" t="s">
        <v>363</v>
      </c>
      <c r="B590" s="178" t="s">
        <v>35</v>
      </c>
      <c r="C590" s="82">
        <f>C556</f>
        <v>36568.177114582351</v>
      </c>
    </row>
    <row r="591" spans="1:3">
      <c r="A591" s="257" t="s">
        <v>345</v>
      </c>
      <c r="B591" s="278" t="s">
        <v>35</v>
      </c>
      <c r="C591" s="279">
        <f>C587+C588+C589+C590</f>
        <v>75643.695725046782</v>
      </c>
    </row>
    <row r="592" spans="1:3">
      <c r="A592" s="257" t="s">
        <v>305</v>
      </c>
      <c r="B592" s="278" t="s">
        <v>35</v>
      </c>
      <c r="C592" s="279">
        <f>C575</f>
        <v>137533.99222735778</v>
      </c>
    </row>
    <row r="593" spans="1:9" ht="14.65" thickBot="1">
      <c r="A593" s="301" t="s">
        <v>66</v>
      </c>
      <c r="B593" s="277" t="s">
        <v>24</v>
      </c>
      <c r="C593" s="303">
        <f>C591/C592</f>
        <v>0.55000000000000004</v>
      </c>
    </row>
    <row r="595" spans="1:9" ht="14.65" thickBot="1">
      <c r="A595" s="79" t="s">
        <v>308</v>
      </c>
    </row>
    <row r="596" spans="1:9" ht="14.65" thickBot="1">
      <c r="A596" s="419"/>
      <c r="B596" s="1019" t="s">
        <v>262</v>
      </c>
      <c r="C596" s="1021"/>
      <c r="D596" s="1021"/>
      <c r="E596" s="1021"/>
      <c r="F596" s="1021"/>
      <c r="G596" s="1021"/>
      <c r="H596" s="1019" t="s">
        <v>263</v>
      </c>
      <c r="I596" s="1020"/>
    </row>
    <row r="597" spans="1:9">
      <c r="A597" s="92" t="s">
        <v>93</v>
      </c>
      <c r="B597" s="323" t="s">
        <v>208</v>
      </c>
      <c r="C597" s="274" t="s">
        <v>198</v>
      </c>
      <c r="D597" s="274" t="s">
        <v>141</v>
      </c>
      <c r="E597" s="274" t="s">
        <v>153</v>
      </c>
      <c r="F597" s="274" t="s">
        <v>142</v>
      </c>
      <c r="G597" s="324" t="s">
        <v>309</v>
      </c>
      <c r="H597" s="1094" t="s">
        <v>95</v>
      </c>
      <c r="I597" s="1095"/>
    </row>
    <row r="598" spans="1:9" ht="14.65" thickBot="1">
      <c r="A598" s="93" t="s">
        <v>297</v>
      </c>
      <c r="B598" s="6" t="s">
        <v>35</v>
      </c>
      <c r="C598" s="7" t="s">
        <v>35</v>
      </c>
      <c r="D598" s="7" t="s">
        <v>35</v>
      </c>
      <c r="E598" s="7" t="s">
        <v>35</v>
      </c>
      <c r="F598" s="7" t="s">
        <v>35</v>
      </c>
      <c r="G598" s="422" t="s">
        <v>35</v>
      </c>
      <c r="H598" s="530" t="s">
        <v>70</v>
      </c>
      <c r="I598" s="155" t="s">
        <v>237</v>
      </c>
    </row>
    <row r="599" spans="1:9">
      <c r="A599" s="111" t="s">
        <v>72</v>
      </c>
      <c r="B599" s="540">
        <f t="shared" ref="B599:D609" si="69">B502</f>
        <v>161.84002022130252</v>
      </c>
      <c r="C599" s="567">
        <f t="shared" si="69"/>
        <v>302.034235670459</v>
      </c>
      <c r="D599" s="567">
        <f t="shared" si="69"/>
        <v>1547.5740000000001</v>
      </c>
      <c r="E599" s="428">
        <v>0</v>
      </c>
      <c r="F599" s="428">
        <f>B599+C599+D599+E599</f>
        <v>2011.4482558917616</v>
      </c>
      <c r="G599" s="545">
        <f t="shared" ref="G599:G613" si="70">$C$584</f>
        <v>61890.296502311001</v>
      </c>
      <c r="H599" s="557">
        <f>F599/G599*1000000</f>
        <v>32500.220059806205</v>
      </c>
      <c r="I599" s="433">
        <f>H599/1000000</f>
        <v>3.2500220059806205E-2</v>
      </c>
    </row>
    <row r="600" spans="1:9">
      <c r="A600" s="112" t="s">
        <v>73</v>
      </c>
      <c r="B600" s="543">
        <f t="shared" si="69"/>
        <v>1.7314080232283452E-2</v>
      </c>
      <c r="C600" s="484">
        <f t="shared" si="69"/>
        <v>0.17005919767716551</v>
      </c>
      <c r="D600" s="484">
        <f t="shared" si="69"/>
        <v>0.61250000000000004</v>
      </c>
      <c r="E600" s="235">
        <v>0</v>
      </c>
      <c r="F600" s="238">
        <f t="shared" ref="F600:F613" si="71">B600+C600+D600+E600</f>
        <v>0.79987327790944907</v>
      </c>
      <c r="G600" s="596">
        <f t="shared" si="70"/>
        <v>61890.296502311001</v>
      </c>
      <c r="H600" s="558">
        <f t="shared" ref="H600:H613" si="72">F600/G600*1000000</f>
        <v>12.924049861024361</v>
      </c>
      <c r="I600" s="434">
        <f t="shared" ref="I600:I613" si="73">H600/1000000</f>
        <v>1.292404986102436E-5</v>
      </c>
    </row>
    <row r="601" spans="1:9">
      <c r="A601" s="112" t="s">
        <v>74</v>
      </c>
      <c r="B601" s="543">
        <f t="shared" si="69"/>
        <v>450.27935403260932</v>
      </c>
      <c r="C601" s="484">
        <f>C504</f>
        <v>1457.7206459673907</v>
      </c>
      <c r="D601" s="484">
        <f t="shared" si="69"/>
        <v>2275.1098999999999</v>
      </c>
      <c r="E601" s="235">
        <v>0</v>
      </c>
      <c r="F601" s="238">
        <f t="shared" si="71"/>
        <v>4183.1098999999995</v>
      </c>
      <c r="G601" s="596">
        <f t="shared" si="70"/>
        <v>61890.296502311001</v>
      </c>
      <c r="H601" s="558">
        <f t="shared" si="72"/>
        <v>67589.107443422909</v>
      </c>
      <c r="I601" s="434">
        <f t="shared" si="73"/>
        <v>6.7589107443422905E-2</v>
      </c>
    </row>
    <row r="602" spans="1:9">
      <c r="A602" s="112" t="s">
        <v>75</v>
      </c>
      <c r="B602" s="543">
        <f t="shared" si="69"/>
        <v>2.2932000000000001E-2</v>
      </c>
      <c r="C602" s="485">
        <f>C505</f>
        <v>1.848E-2</v>
      </c>
      <c r="D602" s="484">
        <f t="shared" si="69"/>
        <v>5.2499999999999998E-2</v>
      </c>
      <c r="E602" s="235">
        <v>0</v>
      </c>
      <c r="F602" s="238">
        <f t="shared" si="71"/>
        <v>9.3911999999999995E-2</v>
      </c>
      <c r="G602" s="596">
        <f t="shared" si="70"/>
        <v>61890.296502311001</v>
      </c>
      <c r="H602" s="558">
        <f t="shared" si="72"/>
        <v>1.5173945724511644</v>
      </c>
      <c r="I602" s="434">
        <f t="shared" si="73"/>
        <v>1.5173945724511643E-6</v>
      </c>
    </row>
    <row r="603" spans="1:9">
      <c r="A603" s="112" t="s">
        <v>76</v>
      </c>
      <c r="B603" s="543">
        <f t="shared" si="69"/>
        <v>0.26464265446041685</v>
      </c>
      <c r="C603" s="484">
        <f t="shared" si="69"/>
        <v>1.3673573455395831</v>
      </c>
      <c r="D603" s="484">
        <f t="shared" si="69"/>
        <v>1.9698</v>
      </c>
      <c r="E603" s="235">
        <v>0</v>
      </c>
      <c r="F603" s="238">
        <f t="shared" si="71"/>
        <v>3.6017999999999999</v>
      </c>
      <c r="G603" s="596">
        <f t="shared" si="70"/>
        <v>61890.296502311001</v>
      </c>
      <c r="H603" s="558">
        <f t="shared" si="72"/>
        <v>58.19652196795515</v>
      </c>
      <c r="I603" s="434">
        <f t="shared" si="73"/>
        <v>5.8196521967955149E-5</v>
      </c>
    </row>
    <row r="604" spans="1:9">
      <c r="A604" s="113" t="s">
        <v>77</v>
      </c>
      <c r="B604" s="543">
        <f t="shared" si="69"/>
        <v>1.9488449114376971E-2</v>
      </c>
      <c r="C604" s="484">
        <f t="shared" si="69"/>
        <v>5.9231550885623054</v>
      </c>
      <c r="D604" s="484">
        <f t="shared" si="69"/>
        <v>21.4025</v>
      </c>
      <c r="E604" s="235">
        <v>0</v>
      </c>
      <c r="F604" s="238">
        <f t="shared" si="71"/>
        <v>27.345143537676684</v>
      </c>
      <c r="G604" s="596">
        <f t="shared" si="70"/>
        <v>61890.296502311001</v>
      </c>
      <c r="H604" s="558">
        <f t="shared" si="72"/>
        <v>441.83248559256145</v>
      </c>
      <c r="I604" s="434">
        <f t="shared" si="73"/>
        <v>4.4183248559256146E-4</v>
      </c>
    </row>
    <row r="605" spans="1:9">
      <c r="A605" s="113" t="s">
        <v>78</v>
      </c>
      <c r="B605" s="543">
        <f t="shared" si="69"/>
        <v>214.22556048798941</v>
      </c>
      <c r="C605" s="484">
        <f t="shared" si="69"/>
        <v>831.20547642257486</v>
      </c>
      <c r="D605" s="484">
        <f t="shared" si="69"/>
        <v>2077.7049999999999</v>
      </c>
      <c r="E605" s="235">
        <v>0</v>
      </c>
      <c r="F605" s="238">
        <f t="shared" si="71"/>
        <v>3123.1360369105641</v>
      </c>
      <c r="G605" s="596">
        <f t="shared" si="70"/>
        <v>61890.296502311001</v>
      </c>
      <c r="H605" s="558">
        <f t="shared" si="72"/>
        <v>50462.450713803664</v>
      </c>
      <c r="I605" s="434">
        <f t="shared" si="73"/>
        <v>5.0462450713803661E-2</v>
      </c>
    </row>
    <row r="606" spans="1:9">
      <c r="A606" s="113" t="s">
        <v>79</v>
      </c>
      <c r="B606" s="543">
        <f t="shared" si="69"/>
        <v>34.967496775293192</v>
      </c>
      <c r="C606" s="484">
        <f t="shared" si="69"/>
        <v>62.89590074328904</v>
      </c>
      <c r="D606" s="484">
        <f t="shared" si="69"/>
        <v>232.9992</v>
      </c>
      <c r="E606" s="235">
        <v>0</v>
      </c>
      <c r="F606" s="238">
        <f t="shared" si="71"/>
        <v>330.86259751858222</v>
      </c>
      <c r="G606" s="596">
        <f t="shared" si="70"/>
        <v>61890.296502311001</v>
      </c>
      <c r="H606" s="558">
        <f t="shared" si="72"/>
        <v>5345.9526972249641</v>
      </c>
      <c r="I606" s="434">
        <f t="shared" si="73"/>
        <v>5.3459526972249646E-3</v>
      </c>
    </row>
    <row r="607" spans="1:9">
      <c r="A607" s="113" t="s">
        <v>80</v>
      </c>
      <c r="B607" s="543">
        <f t="shared" si="69"/>
        <v>65.06620127340949</v>
      </c>
      <c r="C607" s="484">
        <f t="shared" si="69"/>
        <v>88.065434591374881</v>
      </c>
      <c r="D607" s="484">
        <f t="shared" si="69"/>
        <v>302.29978333333338</v>
      </c>
      <c r="E607" s="235">
        <v>0</v>
      </c>
      <c r="F607" s="238">
        <f t="shared" si="71"/>
        <v>455.43141919811774</v>
      </c>
      <c r="G607" s="596">
        <f t="shared" si="70"/>
        <v>61890.296502311001</v>
      </c>
      <c r="H607" s="558">
        <f t="shared" si="72"/>
        <v>7358.6885979955159</v>
      </c>
      <c r="I607" s="434">
        <f t="shared" si="73"/>
        <v>7.3586885979955163E-3</v>
      </c>
    </row>
    <row r="608" spans="1:9">
      <c r="A608" s="113" t="s">
        <v>81</v>
      </c>
      <c r="B608" s="543">
        <f t="shared" si="69"/>
        <v>37.24435889358238</v>
      </c>
      <c r="C608" s="484">
        <f t="shared" si="69"/>
        <v>59.955641106417616</v>
      </c>
      <c r="D608" s="484">
        <f t="shared" si="69"/>
        <v>67.697699999999998</v>
      </c>
      <c r="E608" s="235">
        <v>0</v>
      </c>
      <c r="F608" s="238">
        <f t="shared" si="71"/>
        <v>164.89769999999999</v>
      </c>
      <c r="G608" s="596">
        <f t="shared" si="70"/>
        <v>61890.296502311001</v>
      </c>
      <c r="H608" s="558">
        <f t="shared" si="72"/>
        <v>2664.3546617011707</v>
      </c>
      <c r="I608" s="434">
        <f t="shared" si="73"/>
        <v>2.6643546617011707E-3</v>
      </c>
    </row>
    <row r="609" spans="1:9">
      <c r="A609" s="113" t="s">
        <v>82</v>
      </c>
      <c r="B609" s="543">
        <f t="shared" si="69"/>
        <v>0.44935559154215376</v>
      </c>
      <c r="C609" s="484">
        <f t="shared" si="69"/>
        <v>1.0391224702131756</v>
      </c>
      <c r="D609" s="484">
        <f t="shared" si="69"/>
        <v>1.4619499999999999</v>
      </c>
      <c r="E609" s="235">
        <v>0</v>
      </c>
      <c r="F609" s="238">
        <f t="shared" si="71"/>
        <v>2.9504280617553293</v>
      </c>
      <c r="G609" s="596">
        <f t="shared" si="70"/>
        <v>61890.296502311001</v>
      </c>
      <c r="H609" s="558">
        <f t="shared" si="72"/>
        <v>47.671900580491794</v>
      </c>
      <c r="I609" s="434">
        <f t="shared" si="73"/>
        <v>4.7671900580491791E-5</v>
      </c>
    </row>
    <row r="610" spans="1:9">
      <c r="A610" s="327" t="s">
        <v>154</v>
      </c>
      <c r="B610" s="712">
        <f>B515</f>
        <v>2093.3348502857143</v>
      </c>
      <c r="C610" s="485">
        <f>C515</f>
        <v>1686.9365093877552</v>
      </c>
      <c r="D610" s="484">
        <f>D515</f>
        <v>1829.2190000000001</v>
      </c>
      <c r="E610" s="364">
        <f>B528</f>
        <v>4664.2988587424397</v>
      </c>
      <c r="F610" s="238">
        <f t="shared" si="71"/>
        <v>10273.78921841591</v>
      </c>
      <c r="G610" s="596">
        <f t="shared" si="70"/>
        <v>61890.296502311001</v>
      </c>
      <c r="H610" s="597">
        <f t="shared" si="72"/>
        <v>165999.99998436403</v>
      </c>
      <c r="I610" s="585">
        <f t="shared" si="73"/>
        <v>0.16599999998436402</v>
      </c>
    </row>
    <row r="611" spans="1:9">
      <c r="A611" s="401" t="s">
        <v>84</v>
      </c>
      <c r="B611" s="543">
        <f t="shared" ref="B611:D613" si="74">B516</f>
        <v>8.9505984412444672E-2</v>
      </c>
      <c r="C611" s="484">
        <f t="shared" si="74"/>
        <v>1.3961989903462106</v>
      </c>
      <c r="D611" s="484">
        <f>D516</f>
        <v>2.6088999999999998</v>
      </c>
      <c r="E611" s="577">
        <v>0</v>
      </c>
      <c r="F611" s="238">
        <f t="shared" si="71"/>
        <v>4.0946049747586546</v>
      </c>
      <c r="G611" s="596">
        <f t="shared" si="70"/>
        <v>61890.296502311001</v>
      </c>
      <c r="H611" s="558">
        <f t="shared" si="72"/>
        <v>66.159078339619214</v>
      </c>
      <c r="I611" s="434">
        <f t="shared" si="73"/>
        <v>6.6159078339619217E-5</v>
      </c>
    </row>
    <row r="612" spans="1:9">
      <c r="A612" s="401" t="s">
        <v>85</v>
      </c>
      <c r="B612" s="543">
        <f t="shared" si="74"/>
        <v>0</v>
      </c>
      <c r="C612" s="484">
        <f t="shared" si="74"/>
        <v>791.04489795918357</v>
      </c>
      <c r="D612" s="484">
        <f t="shared" si="74"/>
        <v>124.30895555555556</v>
      </c>
      <c r="E612" s="577">
        <v>0</v>
      </c>
      <c r="F612" s="238">
        <f t="shared" si="71"/>
        <v>915.35385351473917</v>
      </c>
      <c r="G612" s="596">
        <f t="shared" si="70"/>
        <v>61890.296502311001</v>
      </c>
      <c r="H612" s="558">
        <f t="shared" si="72"/>
        <v>14789.941319485511</v>
      </c>
      <c r="I612" s="434">
        <f t="shared" si="73"/>
        <v>1.4789941319485512E-2</v>
      </c>
    </row>
    <row r="613" spans="1:9" ht="14.65" thickBot="1">
      <c r="A613" s="343" t="s">
        <v>86</v>
      </c>
      <c r="B613" s="598">
        <f t="shared" si="74"/>
        <v>0.36285342095514839</v>
      </c>
      <c r="C613" s="599">
        <f t="shared" si="74"/>
        <v>20.978931580897044</v>
      </c>
      <c r="D613" s="599">
        <f t="shared" si="74"/>
        <v>60.55</v>
      </c>
      <c r="E613" s="379">
        <v>0</v>
      </c>
      <c r="F613" s="600">
        <f t="shared" si="71"/>
        <v>81.891785001852185</v>
      </c>
      <c r="G613" s="601">
        <f t="shared" si="70"/>
        <v>61890.296502311001</v>
      </c>
      <c r="H613" s="559">
        <f t="shared" si="72"/>
        <v>1323.1764853282666</v>
      </c>
      <c r="I613" s="439">
        <f t="shared" si="73"/>
        <v>1.3231764853282666E-3</v>
      </c>
    </row>
    <row r="614" spans="1:9">
      <c r="E614" s="146"/>
      <c r="F614" s="96"/>
      <c r="G614" s="95"/>
      <c r="H614" s="95"/>
    </row>
    <row r="615" spans="1:9">
      <c r="A615" s="1" t="s">
        <v>155</v>
      </c>
      <c r="B615" s="1"/>
      <c r="C615" s="1"/>
      <c r="E615" s="146"/>
      <c r="F615" s="96"/>
      <c r="G615" s="95"/>
      <c r="H615" s="95"/>
    </row>
    <row r="616" spans="1:9" ht="14.65" thickBot="1">
      <c r="A616" s="79" t="s">
        <v>291</v>
      </c>
    </row>
    <row r="617" spans="1:9" ht="14.65" thickBot="1">
      <c r="A617" s="103" t="s">
        <v>53</v>
      </c>
      <c r="B617" s="102" t="s">
        <v>18</v>
      </c>
      <c r="C617" s="17" t="s">
        <v>106</v>
      </c>
    </row>
    <row r="618" spans="1:9" ht="14.65" thickBot="1">
      <c r="A618" s="163" t="s">
        <v>305</v>
      </c>
      <c r="B618" s="290" t="s">
        <v>35</v>
      </c>
      <c r="C618" s="384">
        <f>$C$575</f>
        <v>137533.99222735778</v>
      </c>
    </row>
    <row r="620" spans="1:9">
      <c r="A620" s="329" t="s">
        <v>319</v>
      </c>
      <c r="B620" s="329"/>
    </row>
    <row r="622" spans="1:9" ht="14.65" thickBot="1">
      <c r="A622" s="79" t="s">
        <v>292</v>
      </c>
    </row>
    <row r="623" spans="1:9" ht="14.65" thickBot="1">
      <c r="A623" s="191" t="s">
        <v>90</v>
      </c>
      <c r="B623" s="192" t="s">
        <v>18</v>
      </c>
      <c r="C623" s="193" t="s">
        <v>91</v>
      </c>
    </row>
    <row r="624" spans="1:9">
      <c r="A624" s="703" t="s">
        <v>314</v>
      </c>
      <c r="B624" s="692" t="s">
        <v>35</v>
      </c>
      <c r="C624" s="730">
        <f>$C$584</f>
        <v>61890.296502311001</v>
      </c>
    </row>
    <row r="625" spans="1:5">
      <c r="A625" s="232" t="s">
        <v>320</v>
      </c>
      <c r="B625" s="178" t="s">
        <v>237</v>
      </c>
      <c r="C625" s="722">
        <v>0.95</v>
      </c>
    </row>
    <row r="626" spans="1:5">
      <c r="A626" s="720" t="s">
        <v>17</v>
      </c>
      <c r="B626" s="724" t="s">
        <v>35</v>
      </c>
      <c r="C626" s="718">
        <f>C624/C625</f>
        <v>65147.680528748424</v>
      </c>
    </row>
    <row r="627" spans="1:5">
      <c r="A627" s="232" t="s">
        <v>321</v>
      </c>
      <c r="B627" s="178" t="s">
        <v>237</v>
      </c>
      <c r="C627" s="722">
        <f>100%-C625</f>
        <v>5.0000000000000044E-2</v>
      </c>
    </row>
    <row r="628" spans="1:5">
      <c r="A628" s="232" t="s">
        <v>348</v>
      </c>
      <c r="B628" s="178" t="s">
        <v>35</v>
      </c>
      <c r="C628" s="84">
        <f>C626*C627</f>
        <v>3257.3840264374239</v>
      </c>
    </row>
    <row r="629" spans="1:5" ht="14.65" thickBot="1">
      <c r="A629" s="680" t="s">
        <v>16</v>
      </c>
      <c r="B629" s="694" t="s">
        <v>35</v>
      </c>
      <c r="C629" s="671">
        <f>$C$591-C628</f>
        <v>72386.311698609352</v>
      </c>
    </row>
    <row r="631" spans="1:5" ht="14.65" thickBot="1">
      <c r="A631" s="1" t="s">
        <v>235</v>
      </c>
      <c r="B631" s="1"/>
      <c r="C631" s="1"/>
      <c r="D631" s="79"/>
      <c r="E631" s="79"/>
    </row>
    <row r="632" spans="1:5" ht="14.65" hidden="1" thickBot="1">
      <c r="A632" s="212"/>
      <c r="B632" s="1008" t="s">
        <v>140</v>
      </c>
      <c r="C632" s="1061"/>
      <c r="D632" s="1061"/>
      <c r="E632" s="1009"/>
    </row>
    <row r="633" spans="1:5" ht="14.65" hidden="1" thickBot="1">
      <c r="A633" s="487" t="s">
        <v>67</v>
      </c>
      <c r="B633" s="385" t="s">
        <v>228</v>
      </c>
      <c r="C633" s="19" t="s">
        <v>229</v>
      </c>
      <c r="D633" s="19" t="s">
        <v>230</v>
      </c>
      <c r="E633" s="20" t="s">
        <v>298</v>
      </c>
    </row>
    <row r="634" spans="1:5" ht="14.65" hidden="1" thickBot="1">
      <c r="A634" s="133" t="s">
        <v>18</v>
      </c>
      <c r="B634" s="23" t="s">
        <v>35</v>
      </c>
      <c r="C634" s="7" t="s">
        <v>35</v>
      </c>
      <c r="D634" s="7" t="s">
        <v>35</v>
      </c>
      <c r="E634" s="24" t="s">
        <v>35</v>
      </c>
    </row>
    <row r="635" spans="1:5" ht="14.65" hidden="1" thickBot="1">
      <c r="A635" s="134" t="s">
        <v>223</v>
      </c>
      <c r="B635" s="241">
        <f>D485</f>
        <v>3.85E-2</v>
      </c>
      <c r="C635" s="241">
        <f>E485</f>
        <v>1.4E-2</v>
      </c>
      <c r="D635" s="241">
        <f>D69</f>
        <v>4.2000000000000003E-2</v>
      </c>
      <c r="E635" s="242">
        <f>SUM(B635:D635)</f>
        <v>9.4500000000000001E-2</v>
      </c>
    </row>
    <row r="636" spans="1:5" ht="14.65" hidden="1" thickBot="1">
      <c r="A636" s="73" t="s">
        <v>226</v>
      </c>
      <c r="B636" s="240">
        <f>D494</f>
        <v>2.0474999999999999</v>
      </c>
      <c r="C636" s="240">
        <f>E494</f>
        <v>0.56140000000000001</v>
      </c>
      <c r="D636" s="240">
        <f>D78</f>
        <v>1.488</v>
      </c>
      <c r="E636" s="239">
        <f>SUM(B636:D636)</f>
        <v>4.0968999999999998</v>
      </c>
    </row>
    <row r="637" spans="1:5" ht="14.65" hidden="1" thickBot="1"/>
    <row r="638" spans="1:5" ht="14.65" thickBot="1">
      <c r="A638" s="512"/>
      <c r="B638" s="249" t="s">
        <v>18</v>
      </c>
      <c r="C638" s="249" t="s">
        <v>234</v>
      </c>
    </row>
    <row r="639" spans="1:5">
      <c r="A639" s="134" t="s">
        <v>232</v>
      </c>
      <c r="B639" s="509" t="s">
        <v>24</v>
      </c>
      <c r="C639" s="248">
        <v>0.38</v>
      </c>
    </row>
    <row r="640" spans="1:5">
      <c r="A640" s="68" t="s">
        <v>314</v>
      </c>
      <c r="B640" s="510" t="s">
        <v>35</v>
      </c>
      <c r="C640" s="244">
        <f>C624</f>
        <v>61890.296502311001</v>
      </c>
    </row>
    <row r="641" spans="1:4">
      <c r="A641" s="68" t="s">
        <v>349</v>
      </c>
      <c r="B641" s="510" t="s">
        <v>35</v>
      </c>
      <c r="C641" s="245">
        <f>C640*C639</f>
        <v>23518.312670878182</v>
      </c>
    </row>
    <row r="642" spans="1:4">
      <c r="A642" s="68" t="s">
        <v>350</v>
      </c>
      <c r="B642" s="510" t="s">
        <v>35</v>
      </c>
      <c r="C642" s="246">
        <f>F602</f>
        <v>9.3911999999999995E-2</v>
      </c>
    </row>
    <row r="643" spans="1:4" ht="14.65" thickBot="1">
      <c r="A643" s="73" t="s">
        <v>351</v>
      </c>
      <c r="B643" s="511" t="s">
        <v>240</v>
      </c>
      <c r="C643" s="387">
        <f>C642/C641*1000000</f>
        <v>3.9931436117135903</v>
      </c>
    </row>
    <row r="644" spans="1:4" ht="14.65" thickBot="1">
      <c r="A644" s="329"/>
    </row>
    <row r="645" spans="1:4" ht="14.65" thickBot="1">
      <c r="A645" s="212"/>
      <c r="B645" s="1087" t="s">
        <v>216</v>
      </c>
      <c r="C645" s="1091" t="s">
        <v>165</v>
      </c>
      <c r="D645" s="1012"/>
    </row>
    <row r="646" spans="1:4">
      <c r="A646" s="487" t="s">
        <v>67</v>
      </c>
      <c r="B646" s="1088"/>
      <c r="C646" s="104" t="s">
        <v>166</v>
      </c>
      <c r="D646" s="15" t="s">
        <v>167</v>
      </c>
    </row>
    <row r="647" spans="1:4" ht="14.65" thickBot="1">
      <c r="A647" s="133" t="s">
        <v>18</v>
      </c>
      <c r="B647" s="609" t="s">
        <v>241</v>
      </c>
      <c r="C647" s="23" t="s">
        <v>70</v>
      </c>
      <c r="D647" s="24" t="s">
        <v>70</v>
      </c>
    </row>
    <row r="648" spans="1:4">
      <c r="A648" s="134" t="s">
        <v>222</v>
      </c>
      <c r="B648" s="681">
        <f>H600</f>
        <v>12.924049861024361</v>
      </c>
      <c r="C648" s="484">
        <f>Rohdaten!$F$12</f>
        <v>40</v>
      </c>
      <c r="D648" s="110">
        <f>Rohdaten!$H$12</f>
        <v>40</v>
      </c>
    </row>
    <row r="649" spans="1:4">
      <c r="A649" s="68" t="s">
        <v>223</v>
      </c>
      <c r="B649" s="682">
        <f>C643</f>
        <v>3.9931436117135903</v>
      </c>
      <c r="C649" s="105" t="str">
        <f>Rohdaten!$F$14</f>
        <v>50mg/kgP2O5</v>
      </c>
      <c r="D649" s="80" t="str">
        <f>Rohdaten!$H$14</f>
        <v>60mg/kgP2O5</v>
      </c>
    </row>
    <row r="650" spans="1:4">
      <c r="A650" s="68" t="s">
        <v>224</v>
      </c>
      <c r="B650" s="606">
        <f>H604</f>
        <v>441.83248559256145</v>
      </c>
      <c r="C650" s="485">
        <f>Rohdaten!$F$16</f>
        <v>900</v>
      </c>
      <c r="D650" s="82">
        <f>Rohdaten!$H$16</f>
        <v>600</v>
      </c>
    </row>
    <row r="651" spans="1:4">
      <c r="A651" s="68" t="s">
        <v>225</v>
      </c>
      <c r="B651" s="606">
        <f>H609</f>
        <v>47.671900580491794</v>
      </c>
      <c r="C651" s="485">
        <f>Rohdaten!$F$21</f>
        <v>80</v>
      </c>
      <c r="D651" s="82">
        <f>Rohdaten!$H$21</f>
        <v>100</v>
      </c>
    </row>
    <row r="652" spans="1:4">
      <c r="A652" s="68" t="s">
        <v>226</v>
      </c>
      <c r="B652" s="607">
        <f>H611</f>
        <v>66.159078339619214</v>
      </c>
      <c r="C652" s="485">
        <f>Rohdaten!$F$23</f>
        <v>150</v>
      </c>
      <c r="D652" s="82">
        <f>Rohdaten!$H$23</f>
        <v>120</v>
      </c>
    </row>
    <row r="653" spans="1:4" ht="14.65" thickBot="1">
      <c r="A653" s="73" t="s">
        <v>227</v>
      </c>
      <c r="B653" s="608">
        <f>H613</f>
        <v>1323.1764853282666</v>
      </c>
      <c r="C653" s="486">
        <f>Rohdaten!$F$25</f>
        <v>5000</v>
      </c>
      <c r="D653" s="237">
        <f>Rohdaten!$H$25</f>
        <v>1500</v>
      </c>
    </row>
  </sheetData>
  <mergeCells count="55">
    <mergeCell ref="H597:I597"/>
    <mergeCell ref="B632:E632"/>
    <mergeCell ref="B645:B646"/>
    <mergeCell ref="C645:D645"/>
    <mergeCell ref="B499:F499"/>
    <mergeCell ref="G499:H499"/>
    <mergeCell ref="G500:H500"/>
    <mergeCell ref="D524:E524"/>
    <mergeCell ref="B596:G596"/>
    <mergeCell ref="H596:I596"/>
    <mergeCell ref="B478:C478"/>
    <mergeCell ref="D478:F478"/>
    <mergeCell ref="B450:D450"/>
    <mergeCell ref="E450:H450"/>
    <mergeCell ref="B479:C479"/>
    <mergeCell ref="D479:E479"/>
    <mergeCell ref="I355:L355"/>
    <mergeCell ref="I356:J356"/>
    <mergeCell ref="K356:L356"/>
    <mergeCell ref="G429:H429"/>
    <mergeCell ref="E451:F451"/>
    <mergeCell ref="G451:H451"/>
    <mergeCell ref="E429:F429"/>
    <mergeCell ref="B299:C299"/>
    <mergeCell ref="I122:J122"/>
    <mergeCell ref="B237:D237"/>
    <mergeCell ref="E237:H237"/>
    <mergeCell ref="E238:F238"/>
    <mergeCell ref="G238:H238"/>
    <mergeCell ref="B298:C298"/>
    <mergeCell ref="B211:D211"/>
    <mergeCell ref="E211:H211"/>
    <mergeCell ref="E212:F212"/>
    <mergeCell ref="G212:H212"/>
    <mergeCell ref="C355:C356"/>
    <mergeCell ref="D355:D356"/>
    <mergeCell ref="E355:E356"/>
    <mergeCell ref="F355:F356"/>
    <mergeCell ref="G355:H356"/>
    <mergeCell ref="B428:D428"/>
    <mergeCell ref="E428:H428"/>
    <mergeCell ref="D63:F63"/>
    <mergeCell ref="B120:F120"/>
    <mergeCell ref="G120:L120"/>
    <mergeCell ref="B121:B122"/>
    <mergeCell ref="C121:C122"/>
    <mergeCell ref="D121:D122"/>
    <mergeCell ref="E121:E122"/>
    <mergeCell ref="F121:F122"/>
    <mergeCell ref="G121:H122"/>
    <mergeCell ref="I121:L121"/>
    <mergeCell ref="K122:L122"/>
    <mergeCell ref="B354:F354"/>
    <mergeCell ref="G354:L354"/>
    <mergeCell ref="B355:B356"/>
  </mergeCell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0F45F-3190-41EC-AE9D-9886C640A574}">
  <sheetPr codeName="Tabelle12"/>
  <dimension ref="A1:L645"/>
  <sheetViews>
    <sheetView topLeftCell="A16" zoomScale="73" zoomScaleNormal="50" workbookViewId="0">
      <selection activeCell="B9" sqref="B9"/>
    </sheetView>
  </sheetViews>
  <sheetFormatPr baseColWidth="10" defaultColWidth="8.86328125" defaultRowHeight="14.25"/>
  <cols>
    <col min="1" max="1" width="44.86328125" customWidth="1"/>
    <col min="2" max="2" width="43" customWidth="1"/>
    <col min="3" max="3" width="41.86328125" customWidth="1"/>
    <col min="4" max="4" width="42.19921875" customWidth="1"/>
    <col min="5" max="5" width="35.265625" customWidth="1"/>
    <col min="6" max="6" width="47.6640625" customWidth="1"/>
    <col min="7" max="7" width="31.1328125" customWidth="1"/>
    <col min="8" max="8" width="29" customWidth="1"/>
    <col min="9" max="9" width="26.73046875" customWidth="1"/>
    <col min="10" max="10" width="19.1328125" customWidth="1"/>
    <col min="11" max="11" width="18.86328125" customWidth="1"/>
    <col min="12" max="12" width="19.3984375" customWidth="1"/>
  </cols>
  <sheetData>
    <row r="1" spans="1:4">
      <c r="A1" s="165"/>
      <c r="B1" t="s">
        <v>245</v>
      </c>
    </row>
    <row r="2" spans="1:4">
      <c r="A2" s="390"/>
      <c r="B2" t="s">
        <v>246</v>
      </c>
    </row>
    <row r="3" spans="1:4">
      <c r="A3" s="91"/>
      <c r="B3" t="s">
        <v>247</v>
      </c>
    </row>
    <row r="5" spans="1:4">
      <c r="A5" s="1" t="s">
        <v>194</v>
      </c>
      <c r="B5" s="13"/>
      <c r="C5" s="13"/>
      <c r="D5" s="13"/>
    </row>
    <row r="6" spans="1:4" ht="14.65" thickBot="1">
      <c r="A6" s="79" t="s">
        <v>358</v>
      </c>
      <c r="B6" s="79"/>
      <c r="C6" s="79"/>
      <c r="D6" s="79"/>
    </row>
    <row r="7" spans="1:4">
      <c r="A7" s="2"/>
      <c r="B7" s="166" t="s">
        <v>43</v>
      </c>
      <c r="C7" s="189" t="s">
        <v>299</v>
      </c>
      <c r="D7" s="190" t="s">
        <v>45</v>
      </c>
    </row>
    <row r="8" spans="1:4" ht="14.65" thickBot="1">
      <c r="A8" s="5"/>
      <c r="B8" s="6" t="s">
        <v>35</v>
      </c>
      <c r="C8" s="7" t="s">
        <v>35</v>
      </c>
      <c r="D8" s="24" t="s">
        <v>35</v>
      </c>
    </row>
    <row r="9" spans="1:4" ht="14.65" thickBot="1">
      <c r="A9" s="513" t="s">
        <v>347</v>
      </c>
      <c r="B9" s="263">
        <v>17500</v>
      </c>
      <c r="C9" s="603">
        <v>7000</v>
      </c>
      <c r="D9" s="604">
        <v>12000</v>
      </c>
    </row>
    <row r="10" spans="1:4">
      <c r="A10" s="79"/>
    </row>
    <row r="11" spans="1:4" ht="14.65" thickBot="1">
      <c r="A11" s="79" t="s">
        <v>359</v>
      </c>
    </row>
    <row r="12" spans="1:4" ht="14.65" thickBot="1">
      <c r="A12" s="164"/>
      <c r="B12" s="192" t="s">
        <v>18</v>
      </c>
      <c r="C12" s="193" t="s">
        <v>48</v>
      </c>
    </row>
    <row r="13" spans="1:4">
      <c r="A13" s="528" t="s">
        <v>49</v>
      </c>
      <c r="B13" s="173" t="s">
        <v>21</v>
      </c>
      <c r="C13" s="518">
        <v>0.14399999999999999</v>
      </c>
    </row>
    <row r="14" spans="1:4">
      <c r="A14" s="415" t="s">
        <v>50</v>
      </c>
      <c r="B14" s="37" t="s">
        <v>22</v>
      </c>
      <c r="C14" s="529">
        <v>0.752</v>
      </c>
    </row>
    <row r="15" spans="1:4">
      <c r="A15" s="415" t="s">
        <v>51</v>
      </c>
      <c r="B15" s="37" t="s">
        <v>19</v>
      </c>
      <c r="C15" s="529">
        <v>2.8340000000000001</v>
      </c>
    </row>
    <row r="16" spans="1:4" ht="14.65" thickBot="1">
      <c r="A16" s="417" t="s">
        <v>23</v>
      </c>
      <c r="B16" s="215" t="s">
        <v>237</v>
      </c>
      <c r="C16" s="416">
        <v>1.8</v>
      </c>
    </row>
    <row r="18" spans="1:3">
      <c r="A18" s="329" t="s">
        <v>325</v>
      </c>
    </row>
    <row r="20" spans="1:3" ht="14.65" thickBot="1">
      <c r="A20" s="79" t="s">
        <v>195</v>
      </c>
    </row>
    <row r="21" spans="1:3" ht="14.65" thickBot="1">
      <c r="A21" s="191" t="s">
        <v>53</v>
      </c>
      <c r="B21" s="192" t="s">
        <v>18</v>
      </c>
      <c r="C21" s="193" t="s">
        <v>54</v>
      </c>
    </row>
    <row r="22" spans="1:3">
      <c r="A22" s="763" t="s">
        <v>55</v>
      </c>
      <c r="B22" s="735" t="s">
        <v>35</v>
      </c>
      <c r="C22" s="736">
        <f>SEF+ISH</f>
        <v>19000</v>
      </c>
    </row>
    <row r="23" spans="1:3">
      <c r="A23" s="68" t="s">
        <v>366</v>
      </c>
      <c r="B23" s="178" t="s">
        <v>35</v>
      </c>
      <c r="C23" s="84">
        <f>C22*WK</f>
        <v>53846</v>
      </c>
    </row>
    <row r="24" spans="1:3">
      <c r="A24" s="68" t="s">
        <v>329</v>
      </c>
      <c r="B24" s="178" t="s">
        <v>35</v>
      </c>
      <c r="C24" s="84">
        <f>C22*SSK</f>
        <v>2736</v>
      </c>
    </row>
    <row r="25" spans="1:3" ht="14.25" customHeight="1">
      <c r="A25" s="68" t="s">
        <v>327</v>
      </c>
      <c r="B25" s="37" t="s">
        <v>237</v>
      </c>
      <c r="C25" s="732">
        <f>C24/(C24+C26)</f>
        <v>7.7837837837837834E-2</v>
      </c>
    </row>
    <row r="26" spans="1:3">
      <c r="A26" s="68" t="s">
        <v>367</v>
      </c>
      <c r="B26" s="178" t="s">
        <v>35</v>
      </c>
      <c r="C26" s="764">
        <f>C23-C30</f>
        <v>32414</v>
      </c>
    </row>
    <row r="27" spans="1:3">
      <c r="A27" s="762" t="s">
        <v>331</v>
      </c>
      <c r="B27" s="724" t="s">
        <v>35</v>
      </c>
      <c r="C27" s="754">
        <f>C24+C26</f>
        <v>35150</v>
      </c>
    </row>
    <row r="28" spans="1:3">
      <c r="A28" s="68" t="s">
        <v>428</v>
      </c>
      <c r="B28" s="178" t="s">
        <v>35</v>
      </c>
      <c r="C28" s="84">
        <f>C22*PSK</f>
        <v>14288</v>
      </c>
    </row>
    <row r="29" spans="1:3">
      <c r="A29" s="68" t="s">
        <v>326</v>
      </c>
      <c r="B29" s="178" t="s">
        <v>237</v>
      </c>
      <c r="C29" s="752">
        <v>0.4</v>
      </c>
    </row>
    <row r="30" spans="1:3" ht="14.25" customHeight="1">
      <c r="A30" s="68" t="s">
        <v>426</v>
      </c>
      <c r="B30" s="178" t="s">
        <v>35</v>
      </c>
      <c r="C30" s="764">
        <f>C28/C29*(1-C29)</f>
        <v>21432</v>
      </c>
    </row>
    <row r="31" spans="1:3" ht="14.65" thickBot="1">
      <c r="A31" s="670" t="s">
        <v>427</v>
      </c>
      <c r="B31" s="694" t="s">
        <v>35</v>
      </c>
      <c r="C31" s="765">
        <f>C28+C30</f>
        <v>35720</v>
      </c>
    </row>
    <row r="32" spans="1:3" hidden="1">
      <c r="A32" s="83"/>
      <c r="B32" s="77"/>
      <c r="C32" s="95"/>
    </row>
    <row r="33" spans="1:3" hidden="1">
      <c r="A33" s="79" t="s">
        <v>56</v>
      </c>
      <c r="B33" s="79"/>
      <c r="C33" s="79"/>
    </row>
    <row r="34" spans="1:3" hidden="1">
      <c r="A34" s="18" t="s">
        <v>53</v>
      </c>
      <c r="B34" s="104" t="s">
        <v>18</v>
      </c>
      <c r="C34" s="15" t="s">
        <v>54</v>
      </c>
    </row>
    <row r="35" spans="1:3" hidden="1">
      <c r="A35" s="272" t="s">
        <v>55</v>
      </c>
      <c r="B35" s="298" t="s">
        <v>35</v>
      </c>
      <c r="C35" s="294">
        <f>$C$22</f>
        <v>19000</v>
      </c>
    </row>
    <row r="36" spans="1:3" hidden="1">
      <c r="A36" s="257" t="s">
        <v>32</v>
      </c>
      <c r="B36" s="278" t="s">
        <v>35</v>
      </c>
      <c r="C36" s="295">
        <f>$C$24</f>
        <v>2736</v>
      </c>
    </row>
    <row r="37" spans="1:3" hidden="1">
      <c r="A37" s="257" t="s">
        <v>33</v>
      </c>
      <c r="B37" s="278" t="s">
        <v>35</v>
      </c>
      <c r="C37" s="295">
        <f>$C$28</f>
        <v>14288</v>
      </c>
    </row>
    <row r="38" spans="1:3" hidden="1">
      <c r="A38" s="257" t="s">
        <v>57</v>
      </c>
      <c r="B38" s="278" t="s">
        <v>35</v>
      </c>
      <c r="C38" s="279">
        <f>C35+C36+C37</f>
        <v>36024</v>
      </c>
    </row>
    <row r="39" spans="1:3" hidden="1">
      <c r="A39" s="257" t="s">
        <v>212</v>
      </c>
      <c r="B39" s="278" t="s">
        <v>35</v>
      </c>
      <c r="C39" s="279">
        <f>$C$22+$C$24+$C$28+$C$23</f>
        <v>89870</v>
      </c>
    </row>
    <row r="40" spans="1:3" hidden="1">
      <c r="A40" s="299" t="s">
        <v>59</v>
      </c>
      <c r="B40" s="260" t="s">
        <v>24</v>
      </c>
      <c r="C40" s="300">
        <f>C38/C39</f>
        <v>0.40084566596194504</v>
      </c>
    </row>
    <row r="41" spans="1:3" hidden="1">
      <c r="A41" s="257" t="s">
        <v>34</v>
      </c>
      <c r="B41" s="278" t="s">
        <v>35</v>
      </c>
      <c r="C41" s="279">
        <f>$C$23</f>
        <v>53846</v>
      </c>
    </row>
    <row r="42" spans="1:3" hidden="1">
      <c r="A42" s="257" t="s">
        <v>60</v>
      </c>
      <c r="B42" s="278" t="s">
        <v>35</v>
      </c>
      <c r="C42" s="279">
        <f>C41</f>
        <v>53846</v>
      </c>
    </row>
    <row r="43" spans="1:3" hidden="1">
      <c r="A43" s="257" t="s">
        <v>212</v>
      </c>
      <c r="B43" s="278" t="s">
        <v>35</v>
      </c>
      <c r="C43" s="279">
        <f>$C$22+$C$24+$C$28+$C$23</f>
        <v>89870</v>
      </c>
    </row>
    <row r="44" spans="1:3" ht="14.65" hidden="1" thickBot="1">
      <c r="A44" s="301" t="s">
        <v>61</v>
      </c>
      <c r="B44" s="277" t="s">
        <v>24</v>
      </c>
      <c r="C44" s="303">
        <f>C41/C43</f>
        <v>0.59915433403805496</v>
      </c>
    </row>
    <row r="45" spans="1:3" hidden="1"/>
    <row r="46" spans="1:3" hidden="1">
      <c r="A46" s="79" t="s">
        <v>47</v>
      </c>
      <c r="B46" s="79"/>
      <c r="C46" s="79"/>
    </row>
    <row r="47" spans="1:3" hidden="1">
      <c r="A47" s="18" t="s">
        <v>53</v>
      </c>
      <c r="B47" s="104" t="s">
        <v>18</v>
      </c>
      <c r="C47" s="15" t="s">
        <v>54</v>
      </c>
    </row>
    <row r="48" spans="1:3" hidden="1">
      <c r="A48" s="272" t="s">
        <v>55</v>
      </c>
      <c r="B48" s="298" t="s">
        <v>35</v>
      </c>
      <c r="C48" s="294">
        <f>$C$22</f>
        <v>19000</v>
      </c>
    </row>
    <row r="49" spans="1:9" hidden="1">
      <c r="A49" s="257" t="s">
        <v>32</v>
      </c>
      <c r="B49" s="278" t="s">
        <v>35</v>
      </c>
      <c r="C49" s="295">
        <f>$C$24</f>
        <v>2736</v>
      </c>
    </row>
    <row r="50" spans="1:9" hidden="1">
      <c r="A50" s="257" t="s">
        <v>33</v>
      </c>
      <c r="B50" s="278" t="s">
        <v>35</v>
      </c>
      <c r="C50" s="295">
        <f>$C$28</f>
        <v>14288</v>
      </c>
    </row>
    <row r="51" spans="1:9" hidden="1">
      <c r="A51" s="257" t="s">
        <v>430</v>
      </c>
      <c r="B51" s="278" t="s">
        <v>35</v>
      </c>
      <c r="C51" s="279">
        <f>C48+C49+C50</f>
        <v>36024</v>
      </c>
    </row>
    <row r="52" spans="1:9" hidden="1">
      <c r="A52" s="257" t="s">
        <v>58</v>
      </c>
      <c r="B52" s="278" t="s">
        <v>35</v>
      </c>
      <c r="C52" s="279">
        <f>$C$22+$C$24+$C$28+$C$23</f>
        <v>89870</v>
      </c>
    </row>
    <row r="53" spans="1:9" hidden="1">
      <c r="A53" s="299" t="s">
        <v>64</v>
      </c>
      <c r="B53" s="260" t="s">
        <v>24</v>
      </c>
      <c r="C53" s="300">
        <f>C51/C85</f>
        <v>0.40084566596194504</v>
      </c>
    </row>
    <row r="54" spans="1:9" hidden="1">
      <c r="A54" s="257" t="s">
        <v>34</v>
      </c>
      <c r="B54" s="278" t="s">
        <v>35</v>
      </c>
      <c r="C54" s="279">
        <f>$C$23</f>
        <v>53846</v>
      </c>
    </row>
    <row r="55" spans="1:9" hidden="1">
      <c r="A55" s="257" t="s">
        <v>65</v>
      </c>
      <c r="B55" s="278" t="s">
        <v>35</v>
      </c>
      <c r="C55" s="279">
        <f>C41</f>
        <v>53846</v>
      </c>
    </row>
    <row r="56" spans="1:9" hidden="1">
      <c r="A56" s="257" t="s">
        <v>58</v>
      </c>
      <c r="B56" s="278" t="s">
        <v>35</v>
      </c>
      <c r="C56" s="279">
        <f>$C$22+$C$24+$C$28+$C$23</f>
        <v>89870</v>
      </c>
    </row>
    <row r="57" spans="1:9" ht="14.65" hidden="1" thickBot="1">
      <c r="A57" s="301" t="s">
        <v>66</v>
      </c>
      <c r="B57" s="277" t="s">
        <v>24</v>
      </c>
      <c r="C57" s="303">
        <f>C55/C85</f>
        <v>0.59915433403805496</v>
      </c>
    </row>
    <row r="59" spans="1:9" ht="14.65" thickBot="1">
      <c r="A59" s="183" t="s">
        <v>303</v>
      </c>
    </row>
    <row r="60" spans="1:9" ht="14.65" thickBot="1">
      <c r="A60" s="410"/>
      <c r="B60" s="164"/>
      <c r="C60" s="1013" t="s">
        <v>263</v>
      </c>
      <c r="D60" s="1015"/>
      <c r="E60" s="1016" t="s">
        <v>262</v>
      </c>
      <c r="F60" s="1017"/>
      <c r="G60" s="1017"/>
      <c r="H60" s="1075"/>
      <c r="I60" s="1076"/>
    </row>
    <row r="61" spans="1:9">
      <c r="A61" s="115"/>
      <c r="B61" s="636" t="s">
        <v>88</v>
      </c>
      <c r="C61" s="166" t="s">
        <v>45</v>
      </c>
      <c r="D61" s="167" t="s">
        <v>299</v>
      </c>
      <c r="E61" s="617" t="s">
        <v>69</v>
      </c>
      <c r="F61" s="267" t="s">
        <v>299</v>
      </c>
      <c r="G61" s="268" t="s">
        <v>301</v>
      </c>
      <c r="H61" s="266" t="s">
        <v>253</v>
      </c>
      <c r="I61" s="275" t="s">
        <v>255</v>
      </c>
    </row>
    <row r="62" spans="1:9" ht="14.65" thickBot="1">
      <c r="A62" s="93" t="s">
        <v>93</v>
      </c>
      <c r="B62" s="637" t="s">
        <v>24</v>
      </c>
      <c r="C62" s="6" t="s">
        <v>71</v>
      </c>
      <c r="D62" s="422" t="s">
        <v>71</v>
      </c>
      <c r="E62" s="403" t="s">
        <v>35</v>
      </c>
      <c r="F62" s="349" t="s">
        <v>35</v>
      </c>
      <c r="G62" s="368" t="s">
        <v>35</v>
      </c>
      <c r="H62" s="153" t="s">
        <v>35</v>
      </c>
      <c r="I62" s="155" t="s">
        <v>35</v>
      </c>
    </row>
    <row r="63" spans="1:9">
      <c r="A63" s="184" t="s">
        <v>72</v>
      </c>
      <c r="B63" s="539">
        <v>0.35466079587700855</v>
      </c>
      <c r="C63" s="638">
        <v>39002</v>
      </c>
      <c r="D63" s="616">
        <v>101832</v>
      </c>
      <c r="E63" s="227">
        <f t="shared" ref="E63:E77" si="0">$D$9*C63/1000000</f>
        <v>468.024</v>
      </c>
      <c r="F63" s="226">
        <f t="shared" ref="F63:F77" si="1">$C$9*D63/1000000</f>
        <v>712.82399999999996</v>
      </c>
      <c r="G63" s="639">
        <f>E63+F63</f>
        <v>1180.848</v>
      </c>
      <c r="H63" s="459">
        <f>B63*G63</f>
        <v>418.80049148977378</v>
      </c>
      <c r="I63" s="467">
        <f>G63*(1-B63)</f>
        <v>762.04750851022629</v>
      </c>
    </row>
    <row r="64" spans="1:9">
      <c r="A64" s="185" t="s">
        <v>73</v>
      </c>
      <c r="B64" s="448">
        <v>0.50448951725767621</v>
      </c>
      <c r="C64" s="535">
        <v>28.6</v>
      </c>
      <c r="D64" s="357">
        <v>10</v>
      </c>
      <c r="E64" s="229">
        <f t="shared" si="0"/>
        <v>0.34320000000000001</v>
      </c>
      <c r="F64" s="224">
        <f t="shared" si="1"/>
        <v>7.0000000000000007E-2</v>
      </c>
      <c r="G64" s="640">
        <f t="shared" ref="G64:G77" si="2">E64+F64</f>
        <v>0.41320000000000001</v>
      </c>
      <c r="H64" s="461">
        <f t="shared" ref="H64:H77" si="3">B64*G64</f>
        <v>0.20845506853087181</v>
      </c>
      <c r="I64" s="468">
        <f t="shared" ref="I64:I77" si="4">G64*(1-B64)</f>
        <v>0.2047449314691282</v>
      </c>
    </row>
    <row r="65" spans="1:9">
      <c r="A65" s="186" t="s">
        <v>74</v>
      </c>
      <c r="B65" s="448">
        <v>0.23599546857054995</v>
      </c>
      <c r="C65" s="535">
        <v>159000</v>
      </c>
      <c r="D65" s="357">
        <v>111453.2</v>
      </c>
      <c r="E65" s="229">
        <f t="shared" si="0"/>
        <v>1908</v>
      </c>
      <c r="F65" s="224">
        <f t="shared" si="1"/>
        <v>780.17240000000004</v>
      </c>
      <c r="G65" s="640">
        <f t="shared" si="2"/>
        <v>2688.1723999999999</v>
      </c>
      <c r="H65" s="461">
        <f t="shared" si="3"/>
        <v>634.39650513641982</v>
      </c>
      <c r="I65" s="468">
        <f t="shared" si="4"/>
        <v>2053.7758948635801</v>
      </c>
    </row>
    <row r="66" spans="1:9">
      <c r="A66" s="186" t="s">
        <v>75</v>
      </c>
      <c r="B66" s="448" t="s">
        <v>89</v>
      </c>
      <c r="C66" s="535">
        <v>3.5</v>
      </c>
      <c r="D66" s="357">
        <v>2</v>
      </c>
      <c r="E66" s="229">
        <f t="shared" si="0"/>
        <v>4.2000000000000003E-2</v>
      </c>
      <c r="F66" s="224">
        <f t="shared" si="1"/>
        <v>1.4E-2</v>
      </c>
      <c r="G66" s="640">
        <f t="shared" si="2"/>
        <v>5.6000000000000001E-2</v>
      </c>
      <c r="H66" s="123" t="s">
        <v>89</v>
      </c>
      <c r="I66" s="72" t="s">
        <v>89</v>
      </c>
    </row>
    <row r="67" spans="1:9">
      <c r="A67" s="186" t="s">
        <v>76</v>
      </c>
      <c r="B67" s="448">
        <v>0.1621584892527064</v>
      </c>
      <c r="C67" s="535">
        <v>136</v>
      </c>
      <c r="D67" s="357">
        <v>53.9</v>
      </c>
      <c r="E67" s="229">
        <f t="shared" si="0"/>
        <v>1.6319999999999999</v>
      </c>
      <c r="F67" s="224">
        <f t="shared" si="1"/>
        <v>0.37730000000000002</v>
      </c>
      <c r="G67" s="640">
        <f t="shared" si="2"/>
        <v>2.0093000000000001</v>
      </c>
      <c r="H67" s="461">
        <f t="shared" si="3"/>
        <v>0.325825052455463</v>
      </c>
      <c r="I67" s="468">
        <f t="shared" si="4"/>
        <v>1.6834749475445372</v>
      </c>
    </row>
    <row r="68" spans="1:9">
      <c r="A68" s="186" t="s">
        <v>77</v>
      </c>
      <c r="B68" s="448">
        <v>0.24756668082287775</v>
      </c>
      <c r="C68" s="535">
        <v>656</v>
      </c>
      <c r="D68" s="357">
        <v>1400</v>
      </c>
      <c r="E68" s="229">
        <f t="shared" si="0"/>
        <v>7.8719999999999999</v>
      </c>
      <c r="F68" s="224">
        <f t="shared" si="1"/>
        <v>9.8000000000000007</v>
      </c>
      <c r="G68" s="640">
        <f t="shared" si="2"/>
        <v>17.672000000000001</v>
      </c>
      <c r="H68" s="461">
        <f t="shared" si="3"/>
        <v>4.3749983835018957</v>
      </c>
      <c r="I68" s="468">
        <f t="shared" si="4"/>
        <v>13.297001616498104</v>
      </c>
    </row>
    <row r="69" spans="1:9">
      <c r="A69" s="186" t="s">
        <v>78</v>
      </c>
      <c r="B69" s="448">
        <v>0.20907175359723923</v>
      </c>
      <c r="C69" s="535">
        <v>87577</v>
      </c>
      <c r="D69" s="357">
        <v>24315</v>
      </c>
      <c r="E69" s="229">
        <f t="shared" si="0"/>
        <v>1050.924</v>
      </c>
      <c r="F69" s="224">
        <f t="shared" si="1"/>
        <v>170.20500000000001</v>
      </c>
      <c r="G69" s="640">
        <f t="shared" si="2"/>
        <v>1221.1289999999999</v>
      </c>
      <c r="H69" s="461">
        <f t="shared" si="3"/>
        <v>255.30358139844313</v>
      </c>
      <c r="I69" s="468">
        <f t="shared" si="4"/>
        <v>965.82541860155675</v>
      </c>
    </row>
    <row r="70" spans="1:9">
      <c r="A70" s="186" t="s">
        <v>79</v>
      </c>
      <c r="B70" s="448">
        <v>0.36314397789298258</v>
      </c>
      <c r="C70" s="535">
        <v>8230</v>
      </c>
      <c r="D70" s="357">
        <v>9848.1</v>
      </c>
      <c r="E70" s="229">
        <f t="shared" si="0"/>
        <v>98.76</v>
      </c>
      <c r="F70" s="224">
        <f t="shared" si="1"/>
        <v>68.936700000000002</v>
      </c>
      <c r="G70" s="640">
        <f t="shared" si="2"/>
        <v>167.69670000000002</v>
      </c>
      <c r="H70" s="461">
        <f t="shared" si="3"/>
        <v>60.898046717526142</v>
      </c>
      <c r="I70" s="468">
        <f t="shared" si="4"/>
        <v>106.79865328247388</v>
      </c>
    </row>
    <row r="71" spans="1:9">
      <c r="A71" s="186" t="s">
        <v>80</v>
      </c>
      <c r="B71" s="448">
        <v>0.43110184372496846</v>
      </c>
      <c r="C71" s="535">
        <v>12900</v>
      </c>
      <c r="D71" s="357">
        <v>12706.1</v>
      </c>
      <c r="E71" s="229">
        <f t="shared" si="0"/>
        <v>154.80000000000001</v>
      </c>
      <c r="F71" s="224">
        <f t="shared" si="1"/>
        <v>88.942700000000002</v>
      </c>
      <c r="G71" s="640">
        <f t="shared" si="2"/>
        <v>243.74270000000001</v>
      </c>
      <c r="H71" s="461">
        <f t="shared" si="3"/>
        <v>105.07792736450187</v>
      </c>
      <c r="I71" s="468">
        <f t="shared" si="4"/>
        <v>138.66477263549814</v>
      </c>
    </row>
    <row r="72" spans="1:9">
      <c r="A72" s="186" t="s">
        <v>81</v>
      </c>
      <c r="B72" s="448">
        <v>0.38317241660064177</v>
      </c>
      <c r="C72" s="535">
        <v>8100</v>
      </c>
      <c r="D72" s="357">
        <v>3346.1</v>
      </c>
      <c r="E72" s="229">
        <f t="shared" si="0"/>
        <v>97.2</v>
      </c>
      <c r="F72" s="224">
        <f t="shared" si="1"/>
        <v>23.422699999999999</v>
      </c>
      <c r="G72" s="640">
        <f t="shared" si="2"/>
        <v>120.62270000000001</v>
      </c>
      <c r="H72" s="461">
        <f t="shared" si="3"/>
        <v>46.219291455894236</v>
      </c>
      <c r="I72" s="468">
        <f t="shared" si="4"/>
        <v>74.403408544105773</v>
      </c>
    </row>
    <row r="73" spans="1:9">
      <c r="A73" s="186" t="s">
        <v>82</v>
      </c>
      <c r="B73" s="448">
        <v>0.30725168652454959</v>
      </c>
      <c r="C73" s="535">
        <v>125</v>
      </c>
      <c r="D73" s="357">
        <v>47.6</v>
      </c>
      <c r="E73" s="229">
        <f t="shared" si="0"/>
        <v>1.5</v>
      </c>
      <c r="F73" s="224">
        <f t="shared" si="1"/>
        <v>0.3332</v>
      </c>
      <c r="G73" s="640">
        <f t="shared" si="2"/>
        <v>1.8331999999999999</v>
      </c>
      <c r="H73" s="461">
        <f t="shared" si="3"/>
        <v>0.56325379173680434</v>
      </c>
      <c r="I73" s="468">
        <f t="shared" si="4"/>
        <v>1.2699462082631956</v>
      </c>
    </row>
    <row r="74" spans="1:9">
      <c r="A74" s="186" t="s">
        <v>83</v>
      </c>
      <c r="B74" s="448" t="s">
        <v>89</v>
      </c>
      <c r="C74" s="535">
        <v>81618</v>
      </c>
      <c r="D74" s="357">
        <v>84567</v>
      </c>
      <c r="E74" s="229">
        <f t="shared" si="0"/>
        <v>979.41600000000005</v>
      </c>
      <c r="F74" s="224">
        <f t="shared" si="1"/>
        <v>591.96900000000005</v>
      </c>
      <c r="G74" s="640">
        <f t="shared" si="2"/>
        <v>1571.3850000000002</v>
      </c>
      <c r="H74" s="123" t="s">
        <v>89</v>
      </c>
      <c r="I74" s="72" t="s">
        <v>89</v>
      </c>
    </row>
    <row r="75" spans="1:9">
      <c r="A75" s="186" t="s">
        <v>84</v>
      </c>
      <c r="B75" s="448">
        <v>6.169422691786923E-2</v>
      </c>
      <c r="C75" s="535">
        <v>124</v>
      </c>
      <c r="D75" s="357">
        <v>80.2</v>
      </c>
      <c r="E75" s="229">
        <f t="shared" si="0"/>
        <v>1.488</v>
      </c>
      <c r="F75" s="224">
        <f t="shared" si="1"/>
        <v>0.56140000000000001</v>
      </c>
      <c r="G75" s="640">
        <f t="shared" si="2"/>
        <v>2.0493999999999999</v>
      </c>
      <c r="H75" s="461">
        <f t="shared" si="3"/>
        <v>0.12643614864548119</v>
      </c>
      <c r="I75" s="468">
        <f t="shared" si="4"/>
        <v>1.9229638513545189</v>
      </c>
    </row>
    <row r="76" spans="1:9">
      <c r="A76" s="186" t="s">
        <v>85</v>
      </c>
      <c r="B76" s="448" t="s">
        <v>89</v>
      </c>
      <c r="C76" s="535">
        <v>18900</v>
      </c>
      <c r="D76" s="357">
        <v>3113.7</v>
      </c>
      <c r="E76" s="229">
        <f t="shared" si="0"/>
        <v>226.8</v>
      </c>
      <c r="F76" s="224">
        <f t="shared" si="1"/>
        <v>21.7959</v>
      </c>
      <c r="G76" s="640">
        <f t="shared" si="2"/>
        <v>248.5959</v>
      </c>
      <c r="H76" s="123" t="s">
        <v>89</v>
      </c>
      <c r="I76" s="72" t="s">
        <v>89</v>
      </c>
    </row>
    <row r="77" spans="1:9" ht="14.65" thickBot="1">
      <c r="A77" s="187" t="s">
        <v>86</v>
      </c>
      <c r="B77" s="449">
        <v>0.25701474780786782</v>
      </c>
      <c r="C77" s="536">
        <v>2353</v>
      </c>
      <c r="D77" s="359">
        <v>3000</v>
      </c>
      <c r="E77" s="230">
        <f t="shared" si="0"/>
        <v>28.236000000000001</v>
      </c>
      <c r="F77" s="225">
        <f t="shared" si="1"/>
        <v>21</v>
      </c>
      <c r="G77" s="641">
        <f t="shared" si="2"/>
        <v>49.236000000000004</v>
      </c>
      <c r="H77" s="463">
        <f t="shared" si="3"/>
        <v>12.654378123068181</v>
      </c>
      <c r="I77" s="469">
        <f t="shared" si="4"/>
        <v>36.581621876931827</v>
      </c>
    </row>
    <row r="79" spans="1:9" ht="14.65" thickBot="1">
      <c r="A79" s="79" t="s">
        <v>285</v>
      </c>
    </row>
    <row r="80" spans="1:9" ht="14.65" thickBot="1">
      <c r="A80" s="103" t="s">
        <v>90</v>
      </c>
      <c r="B80" s="102" t="s">
        <v>18</v>
      </c>
      <c r="C80" s="17" t="s">
        <v>91</v>
      </c>
    </row>
    <row r="81" spans="1:3">
      <c r="A81" s="272" t="s">
        <v>301</v>
      </c>
      <c r="B81" s="298" t="s">
        <v>35</v>
      </c>
      <c r="C81" s="294">
        <f>C22</f>
        <v>19000</v>
      </c>
    </row>
    <row r="82" spans="1:3">
      <c r="A82" s="815" t="s">
        <v>366</v>
      </c>
      <c r="B82" s="278" t="s">
        <v>35</v>
      </c>
      <c r="C82" s="297">
        <f>C23</f>
        <v>53846</v>
      </c>
    </row>
    <row r="83" spans="1:3">
      <c r="A83" s="257" t="s">
        <v>329</v>
      </c>
      <c r="B83" s="278" t="s">
        <v>35</v>
      </c>
      <c r="C83" s="289">
        <f>C24</f>
        <v>2736</v>
      </c>
    </row>
    <row r="84" spans="1:3">
      <c r="A84" s="257" t="s">
        <v>428</v>
      </c>
      <c r="B84" s="278" t="s">
        <v>35</v>
      </c>
      <c r="C84" s="289">
        <f>C28</f>
        <v>14288</v>
      </c>
    </row>
    <row r="85" spans="1:3" ht="14.65" thickBot="1">
      <c r="A85" s="255" t="s">
        <v>266</v>
      </c>
      <c r="B85" s="271" t="s">
        <v>35</v>
      </c>
      <c r="C85" s="256">
        <f>C81+C82+C83+C84</f>
        <v>89870</v>
      </c>
    </row>
    <row r="87" spans="1:3" hidden="1"/>
    <row r="88" spans="1:3" hidden="1">
      <c r="A88" s="79" t="s">
        <v>56</v>
      </c>
      <c r="B88" s="79"/>
      <c r="C88" s="79"/>
    </row>
    <row r="89" spans="1:3" ht="14.65" hidden="1" thickBot="1">
      <c r="A89" s="103" t="s">
        <v>90</v>
      </c>
      <c r="B89" s="102" t="s">
        <v>18</v>
      </c>
      <c r="C89" s="17" t="s">
        <v>91</v>
      </c>
    </row>
    <row r="90" spans="1:3" hidden="1">
      <c r="A90" s="272" t="s">
        <v>55</v>
      </c>
      <c r="B90" s="298" t="s">
        <v>35</v>
      </c>
      <c r="C90" s="294">
        <f>$C$22</f>
        <v>19000</v>
      </c>
    </row>
    <row r="91" spans="1:3" hidden="1">
      <c r="A91" s="257" t="s">
        <v>87</v>
      </c>
      <c r="B91" s="278" t="s">
        <v>35</v>
      </c>
      <c r="C91" s="295">
        <f>SUM($H$63:$H$77)</f>
        <v>1538.9491901304978</v>
      </c>
    </row>
    <row r="92" spans="1:3" hidden="1">
      <c r="A92" s="257" t="s">
        <v>57</v>
      </c>
      <c r="B92" s="278" t="s">
        <v>35</v>
      </c>
      <c r="C92" s="279">
        <f>C90-C91</f>
        <v>17461.050809869503</v>
      </c>
    </row>
    <row r="93" spans="1:3" hidden="1">
      <c r="A93" s="257" t="s">
        <v>4</v>
      </c>
      <c r="B93" s="278" t="s">
        <v>35</v>
      </c>
      <c r="C93" s="279">
        <f>$C$85</f>
        <v>89870</v>
      </c>
    </row>
    <row r="94" spans="1:3" hidden="1">
      <c r="A94" s="299" t="s">
        <v>59</v>
      </c>
      <c r="B94" s="260" t="s">
        <v>24</v>
      </c>
      <c r="C94" s="300">
        <f>C92/C93</f>
        <v>0.19429232012762326</v>
      </c>
    </row>
    <row r="95" spans="1:3" hidden="1">
      <c r="A95" s="257" t="s">
        <v>34</v>
      </c>
      <c r="B95" s="278" t="s">
        <v>35</v>
      </c>
      <c r="C95" s="279">
        <f>$C$23</f>
        <v>53846</v>
      </c>
    </row>
    <row r="96" spans="1:3" hidden="1">
      <c r="A96" s="257" t="s">
        <v>32</v>
      </c>
      <c r="B96" s="278" t="s">
        <v>35</v>
      </c>
      <c r="C96" s="295">
        <f>$C$24</f>
        <v>2736</v>
      </c>
    </row>
    <row r="97" spans="1:3" hidden="1">
      <c r="A97" s="257" t="s">
        <v>33</v>
      </c>
      <c r="B97" s="278" t="s">
        <v>35</v>
      </c>
      <c r="C97" s="295">
        <f>$C$28</f>
        <v>14288</v>
      </c>
    </row>
    <row r="98" spans="1:3" hidden="1">
      <c r="A98" s="257" t="s">
        <v>87</v>
      </c>
      <c r="B98" s="278" t="s">
        <v>35</v>
      </c>
      <c r="C98" s="295">
        <f>SUM($H$63:$H$77)</f>
        <v>1538.9491901304978</v>
      </c>
    </row>
    <row r="99" spans="1:3" hidden="1">
      <c r="A99" s="257" t="s">
        <v>60</v>
      </c>
      <c r="B99" s="278" t="s">
        <v>35</v>
      </c>
      <c r="C99" s="279">
        <f>SUM(C95:C98)</f>
        <v>72408.949190130501</v>
      </c>
    </row>
    <row r="100" spans="1:3" hidden="1">
      <c r="A100" s="257" t="s">
        <v>4</v>
      </c>
      <c r="B100" s="278" t="s">
        <v>35</v>
      </c>
      <c r="C100" s="279">
        <f>$C$85</f>
        <v>89870</v>
      </c>
    </row>
    <row r="101" spans="1:3" ht="14.65" hidden="1" thickBot="1">
      <c r="A101" s="301" t="s">
        <v>61</v>
      </c>
      <c r="B101" s="277" t="s">
        <v>24</v>
      </c>
      <c r="C101" s="303">
        <f>C99/C100</f>
        <v>0.80570767987237679</v>
      </c>
    </row>
    <row r="102" spans="1:3" hidden="1">
      <c r="A102" s="83"/>
      <c r="B102" s="77"/>
      <c r="C102" s="96"/>
    </row>
    <row r="103" spans="1:3" ht="14.65" thickBot="1">
      <c r="A103" s="79" t="s">
        <v>278</v>
      </c>
      <c r="B103" s="79"/>
      <c r="C103" s="79"/>
    </row>
    <row r="104" spans="1:3" ht="14.65" thickBot="1">
      <c r="A104" s="103" t="s">
        <v>90</v>
      </c>
      <c r="B104" s="102" t="s">
        <v>18</v>
      </c>
      <c r="C104" s="17" t="s">
        <v>91</v>
      </c>
    </row>
    <row r="105" spans="1:3">
      <c r="A105" s="272" t="s">
        <v>301</v>
      </c>
      <c r="B105" s="298" t="s">
        <v>35</v>
      </c>
      <c r="C105" s="294">
        <f>C22</f>
        <v>19000</v>
      </c>
    </row>
    <row r="106" spans="1:3">
      <c r="A106" s="257" t="s">
        <v>329</v>
      </c>
      <c r="B106" s="278" t="s">
        <v>35</v>
      </c>
      <c r="C106" s="295">
        <f>C24</f>
        <v>2736</v>
      </c>
    </row>
    <row r="107" spans="1:3">
      <c r="A107" s="257" t="s">
        <v>428</v>
      </c>
      <c r="B107" s="278" t="s">
        <v>35</v>
      </c>
      <c r="C107" s="295">
        <f>C28</f>
        <v>14288</v>
      </c>
    </row>
    <row r="108" spans="1:3">
      <c r="A108" s="257" t="s">
        <v>336</v>
      </c>
      <c r="B108" s="278" t="s">
        <v>35</v>
      </c>
      <c r="C108" s="279">
        <f>C105+C106+C107</f>
        <v>36024</v>
      </c>
    </row>
    <row r="109" spans="1:3">
      <c r="A109" s="257" t="s">
        <v>266</v>
      </c>
      <c r="B109" s="278" t="s">
        <v>35</v>
      </c>
      <c r="C109" s="279">
        <f>C85</f>
        <v>89870</v>
      </c>
    </row>
    <row r="110" spans="1:3">
      <c r="A110" s="299" t="s">
        <v>389</v>
      </c>
      <c r="B110" s="260" t="s">
        <v>24</v>
      </c>
      <c r="C110" s="300">
        <f>C108/C109</f>
        <v>0.40084566596194504</v>
      </c>
    </row>
    <row r="111" spans="1:3">
      <c r="A111" s="257" t="s">
        <v>366</v>
      </c>
      <c r="B111" s="278" t="s">
        <v>35</v>
      </c>
      <c r="C111" s="279">
        <f>C23</f>
        <v>53846</v>
      </c>
    </row>
    <row r="112" spans="1:3">
      <c r="A112" s="257" t="s">
        <v>333</v>
      </c>
      <c r="B112" s="278" t="s">
        <v>35</v>
      </c>
      <c r="C112" s="279">
        <f>C111</f>
        <v>53846</v>
      </c>
    </row>
    <row r="113" spans="1:12">
      <c r="A113" s="257" t="s">
        <v>266</v>
      </c>
      <c r="B113" s="278" t="s">
        <v>35</v>
      </c>
      <c r="C113" s="279">
        <f>C85</f>
        <v>89870</v>
      </c>
    </row>
    <row r="114" spans="1:12" ht="14.65" thickBot="1">
      <c r="A114" s="301" t="s">
        <v>321</v>
      </c>
      <c r="B114" s="277" t="s">
        <v>24</v>
      </c>
      <c r="C114" s="303">
        <f>C112/C113</f>
        <v>0.59915433403805496</v>
      </c>
    </row>
    <row r="115" spans="1:12">
      <c r="A115" s="83"/>
      <c r="B115" s="77"/>
      <c r="C115" s="96"/>
    </row>
    <row r="116" spans="1:12" ht="14.65" thickBot="1">
      <c r="A116" s="79" t="s">
        <v>92</v>
      </c>
    </row>
    <row r="117" spans="1:12" ht="14.65" thickBot="1">
      <c r="A117" s="419"/>
      <c r="B117" s="1062" t="s">
        <v>262</v>
      </c>
      <c r="C117" s="1063"/>
      <c r="D117" s="1063"/>
      <c r="E117" s="1063"/>
      <c r="F117" s="1064"/>
      <c r="G117" s="1062" t="s">
        <v>263</v>
      </c>
      <c r="H117" s="1063"/>
      <c r="I117" s="1063"/>
      <c r="J117" s="1063"/>
      <c r="K117" s="1063"/>
      <c r="L117" s="1066"/>
    </row>
    <row r="118" spans="1:12">
      <c r="A118" s="452"/>
      <c r="B118" s="1024" t="s">
        <v>270</v>
      </c>
      <c r="C118" s="1041" t="s">
        <v>243</v>
      </c>
      <c r="D118" s="1041" t="s">
        <v>256</v>
      </c>
      <c r="E118" s="1041" t="s">
        <v>336</v>
      </c>
      <c r="F118" s="1083" t="s">
        <v>266</v>
      </c>
      <c r="G118" s="1022" t="s">
        <v>269</v>
      </c>
      <c r="H118" s="1023"/>
      <c r="I118" s="1085" t="s">
        <v>267</v>
      </c>
      <c r="J118" s="1032"/>
      <c r="K118" s="1032"/>
      <c r="L118" s="1023"/>
    </row>
    <row r="119" spans="1:12">
      <c r="A119" s="219" t="s">
        <v>93</v>
      </c>
      <c r="B119" s="1067"/>
      <c r="C119" s="1042"/>
      <c r="D119" s="1042"/>
      <c r="E119" s="1042"/>
      <c r="F119" s="1084"/>
      <c r="G119" s="1033"/>
      <c r="H119" s="1035"/>
      <c r="I119" s="1086" t="s">
        <v>243</v>
      </c>
      <c r="J119" s="1034"/>
      <c r="K119" s="1034" t="s">
        <v>256</v>
      </c>
      <c r="L119" s="1035"/>
    </row>
    <row r="120" spans="1:12" ht="14.65" thickBot="1">
      <c r="A120" s="220" t="s">
        <v>18</v>
      </c>
      <c r="B120" s="403" t="s">
        <v>35</v>
      </c>
      <c r="C120" s="154" t="s">
        <v>35</v>
      </c>
      <c r="D120" s="154" t="s">
        <v>35</v>
      </c>
      <c r="E120" s="154" t="s">
        <v>35</v>
      </c>
      <c r="F120" s="423" t="s">
        <v>35</v>
      </c>
      <c r="G120" s="403" t="s">
        <v>257</v>
      </c>
      <c r="H120" s="155" t="s">
        <v>237</v>
      </c>
      <c r="I120" s="153" t="s">
        <v>70</v>
      </c>
      <c r="J120" s="154" t="s">
        <v>237</v>
      </c>
      <c r="K120" s="154" t="s">
        <v>70</v>
      </c>
      <c r="L120" s="155" t="s">
        <v>237</v>
      </c>
    </row>
    <row r="121" spans="1:12">
      <c r="A121" s="148" t="s">
        <v>72</v>
      </c>
      <c r="B121" s="540">
        <f t="shared" ref="B121:D123" si="5">G63</f>
        <v>1180.848</v>
      </c>
      <c r="C121" s="428">
        <f t="shared" si="5"/>
        <v>418.80049148977378</v>
      </c>
      <c r="D121" s="428">
        <f t="shared" si="5"/>
        <v>762.04750851022629</v>
      </c>
      <c r="E121" s="428">
        <f>$C$108</f>
        <v>36024</v>
      </c>
      <c r="F121" s="382">
        <f>$C$85</f>
        <v>89870</v>
      </c>
      <c r="G121" s="766">
        <f t="shared" ref="G121:G141" si="6">B121/E121*1000000</f>
        <v>32779.480346435703</v>
      </c>
      <c r="H121" s="433">
        <f>G121/1000000</f>
        <v>3.2779480346435706E-2</v>
      </c>
      <c r="I121" s="551">
        <f t="shared" ref="I121:I141" si="7">C121/F121*1000000</f>
        <v>4660.0700065625206</v>
      </c>
      <c r="J121" s="432">
        <f>I121/1000000</f>
        <v>4.6600700065625202E-3</v>
      </c>
      <c r="K121" s="431">
        <f t="shared" ref="K121:K141" si="8">D121/F121*1000000</f>
        <v>8479.4426227909917</v>
      </c>
      <c r="L121" s="433">
        <f>K121/1000000</f>
        <v>8.4794426227909909E-3</v>
      </c>
    </row>
    <row r="122" spans="1:12">
      <c r="A122" s="149" t="s">
        <v>73</v>
      </c>
      <c r="B122" s="541">
        <f t="shared" si="5"/>
        <v>0.41320000000000001</v>
      </c>
      <c r="C122" s="235">
        <f t="shared" si="5"/>
        <v>0.20845506853087181</v>
      </c>
      <c r="D122" s="235">
        <f t="shared" si="5"/>
        <v>0.2047449314691282</v>
      </c>
      <c r="E122" s="235">
        <f t="shared" ref="E122:E141" si="9">$C$108</f>
        <v>36024</v>
      </c>
      <c r="F122" s="82">
        <f t="shared" ref="F122:F141" si="10">$C$85</f>
        <v>89870</v>
      </c>
      <c r="G122" s="767">
        <f t="shared" si="6"/>
        <v>11.470131023761937</v>
      </c>
      <c r="H122" s="434">
        <f t="shared" ref="H122:H141" si="11">G122/1000000</f>
        <v>1.1470131023761938E-5</v>
      </c>
      <c r="I122" s="552">
        <f t="shared" si="7"/>
        <v>2.3195178427825951</v>
      </c>
      <c r="J122" s="427">
        <f t="shared" ref="J122:J141" si="12">I122/1000000</f>
        <v>2.319517842782595E-6</v>
      </c>
      <c r="K122" s="426">
        <f t="shared" si="8"/>
        <v>2.2782344661080249</v>
      </c>
      <c r="L122" s="434">
        <f t="shared" ref="L122:L141" si="13">K122/1000000</f>
        <v>2.278234466108025E-6</v>
      </c>
    </row>
    <row r="123" spans="1:12">
      <c r="A123" s="149" t="s">
        <v>74</v>
      </c>
      <c r="B123" s="541">
        <f t="shared" si="5"/>
        <v>2688.1723999999999</v>
      </c>
      <c r="C123" s="235">
        <f t="shared" si="5"/>
        <v>634.39650513641982</v>
      </c>
      <c r="D123" s="235">
        <f t="shared" si="5"/>
        <v>2053.7758948635801</v>
      </c>
      <c r="E123" s="235">
        <f t="shared" si="9"/>
        <v>36024</v>
      </c>
      <c r="F123" s="82">
        <f t="shared" si="10"/>
        <v>89870</v>
      </c>
      <c r="G123" s="767">
        <f t="shared" si="6"/>
        <v>74621.707750388625</v>
      </c>
      <c r="H123" s="434">
        <f t="shared" si="11"/>
        <v>7.4621707750388622E-2</v>
      </c>
      <c r="I123" s="552">
        <f t="shared" si="7"/>
        <v>7059.0464575099577</v>
      </c>
      <c r="J123" s="427">
        <f t="shared" si="12"/>
        <v>7.0590464575099581E-3</v>
      </c>
      <c r="K123" s="426">
        <f t="shared" si="8"/>
        <v>22852.741680912208</v>
      </c>
      <c r="L123" s="434">
        <f t="shared" si="13"/>
        <v>2.2852741680912208E-2</v>
      </c>
    </row>
    <row r="124" spans="1:12">
      <c r="A124" s="149" t="s">
        <v>75</v>
      </c>
      <c r="B124" s="541">
        <f t="shared" ref="B124:B132" si="14">G66</f>
        <v>5.6000000000000001E-2</v>
      </c>
      <c r="C124" s="235" t="s">
        <v>89</v>
      </c>
      <c r="D124" s="235" t="s">
        <v>89</v>
      </c>
      <c r="E124" s="235">
        <f t="shared" si="9"/>
        <v>36024</v>
      </c>
      <c r="F124" s="82">
        <f t="shared" si="10"/>
        <v>89870</v>
      </c>
      <c r="G124" s="767">
        <f t="shared" si="6"/>
        <v>1.5545192094159448</v>
      </c>
      <c r="H124" s="434">
        <f t="shared" si="11"/>
        <v>1.5545192094159449E-6</v>
      </c>
      <c r="I124" s="552" t="s">
        <v>89</v>
      </c>
      <c r="J124" s="427" t="s">
        <v>89</v>
      </c>
      <c r="K124" s="426" t="s">
        <v>89</v>
      </c>
      <c r="L124" s="434" t="s">
        <v>89</v>
      </c>
    </row>
    <row r="125" spans="1:12">
      <c r="A125" s="149" t="s">
        <v>76</v>
      </c>
      <c r="B125" s="541">
        <f t="shared" si="14"/>
        <v>2.0093000000000001</v>
      </c>
      <c r="C125" s="235">
        <f t="shared" ref="C125:D131" si="15">H67</f>
        <v>0.325825052455463</v>
      </c>
      <c r="D125" s="235">
        <f t="shared" si="15"/>
        <v>1.6834749475445372</v>
      </c>
      <c r="E125" s="235">
        <f t="shared" si="9"/>
        <v>36024</v>
      </c>
      <c r="F125" s="82">
        <f t="shared" si="10"/>
        <v>89870</v>
      </c>
      <c r="G125" s="767">
        <f t="shared" si="6"/>
        <v>55.776704419276037</v>
      </c>
      <c r="H125" s="434">
        <f t="shared" si="11"/>
        <v>5.5776704419276039E-5</v>
      </c>
      <c r="I125" s="552">
        <f t="shared" si="7"/>
        <v>3.6255152159281518</v>
      </c>
      <c r="J125" s="427">
        <f t="shared" si="12"/>
        <v>3.6255152159281517E-6</v>
      </c>
      <c r="K125" s="426">
        <f t="shared" si="8"/>
        <v>18.732335012179117</v>
      </c>
      <c r="L125" s="434">
        <f t="shared" si="13"/>
        <v>1.8732335012179117E-5</v>
      </c>
    </row>
    <row r="126" spans="1:12">
      <c r="A126" s="150" t="s">
        <v>77</v>
      </c>
      <c r="B126" s="541">
        <f t="shared" si="14"/>
        <v>17.672000000000001</v>
      </c>
      <c r="C126" s="235">
        <f t="shared" si="15"/>
        <v>4.3749983835018957</v>
      </c>
      <c r="D126" s="235">
        <f t="shared" si="15"/>
        <v>13.297001616498104</v>
      </c>
      <c r="E126" s="235">
        <f t="shared" si="9"/>
        <v>36024</v>
      </c>
      <c r="F126" s="82">
        <f t="shared" si="10"/>
        <v>89870</v>
      </c>
      <c r="G126" s="767">
        <f t="shared" si="6"/>
        <v>490.56184765711748</v>
      </c>
      <c r="H126" s="434">
        <f t="shared" si="11"/>
        <v>4.9056184765711749E-4</v>
      </c>
      <c r="I126" s="552">
        <f t="shared" si="7"/>
        <v>48.681410743316967</v>
      </c>
      <c r="J126" s="427">
        <f t="shared" si="12"/>
        <v>4.8681410743316967E-5</v>
      </c>
      <c r="K126" s="426">
        <f t="shared" si="8"/>
        <v>147.95817977632251</v>
      </c>
      <c r="L126" s="434">
        <f t="shared" si="13"/>
        <v>1.479581797763225E-4</v>
      </c>
    </row>
    <row r="127" spans="1:12">
      <c r="A127" s="150" t="s">
        <v>78</v>
      </c>
      <c r="B127" s="541">
        <f t="shared" si="14"/>
        <v>1221.1289999999999</v>
      </c>
      <c r="C127" s="235">
        <f t="shared" si="15"/>
        <v>255.30358139844313</v>
      </c>
      <c r="D127" s="235">
        <f t="shared" si="15"/>
        <v>965.82541860155675</v>
      </c>
      <c r="E127" s="235">
        <f t="shared" si="9"/>
        <v>36024</v>
      </c>
      <c r="F127" s="82">
        <f t="shared" si="10"/>
        <v>89870</v>
      </c>
      <c r="G127" s="767">
        <f t="shared" si="6"/>
        <v>33897.651565622917</v>
      </c>
      <c r="H127" s="434">
        <f t="shared" si="11"/>
        <v>3.3897651565622917E-2</v>
      </c>
      <c r="I127" s="552">
        <f t="shared" si="7"/>
        <v>2840.8098519911332</v>
      </c>
      <c r="J127" s="427">
        <f t="shared" si="12"/>
        <v>2.8408098519911332E-3</v>
      </c>
      <c r="K127" s="426">
        <f t="shared" si="8"/>
        <v>10746.916864376952</v>
      </c>
      <c r="L127" s="434">
        <f t="shared" si="13"/>
        <v>1.0746916864376952E-2</v>
      </c>
    </row>
    <row r="128" spans="1:12">
      <c r="A128" s="150" t="s">
        <v>79</v>
      </c>
      <c r="B128" s="541">
        <f t="shared" si="14"/>
        <v>167.69670000000002</v>
      </c>
      <c r="C128" s="235">
        <f t="shared" si="15"/>
        <v>60.898046717526142</v>
      </c>
      <c r="D128" s="235">
        <f t="shared" si="15"/>
        <v>106.79865328247388</v>
      </c>
      <c r="E128" s="235">
        <f t="shared" si="9"/>
        <v>36024</v>
      </c>
      <c r="F128" s="82">
        <f t="shared" si="10"/>
        <v>89870</v>
      </c>
      <c r="G128" s="767">
        <f t="shared" si="6"/>
        <v>4655.1382411725517</v>
      </c>
      <c r="H128" s="434">
        <f t="shared" si="11"/>
        <v>4.6551382411725521E-3</v>
      </c>
      <c r="I128" s="552">
        <f t="shared" si="7"/>
        <v>677.62375339408197</v>
      </c>
      <c r="J128" s="427">
        <f t="shared" si="12"/>
        <v>6.7762375339408196E-4</v>
      </c>
      <c r="K128" s="426">
        <f t="shared" si="8"/>
        <v>1188.3682350336474</v>
      </c>
      <c r="L128" s="434">
        <f t="shared" si="13"/>
        <v>1.1883682350336473E-3</v>
      </c>
    </row>
    <row r="129" spans="1:12">
      <c r="A129" s="150" t="s">
        <v>80</v>
      </c>
      <c r="B129" s="541">
        <f t="shared" si="14"/>
        <v>243.74270000000001</v>
      </c>
      <c r="C129" s="235">
        <f t="shared" si="15"/>
        <v>105.07792736450187</v>
      </c>
      <c r="D129" s="235">
        <f t="shared" si="15"/>
        <v>138.66477263549814</v>
      </c>
      <c r="E129" s="235">
        <f t="shared" si="9"/>
        <v>36024</v>
      </c>
      <c r="F129" s="82">
        <f t="shared" si="10"/>
        <v>89870</v>
      </c>
      <c r="G129" s="767">
        <f t="shared" si="6"/>
        <v>6766.1198090162115</v>
      </c>
      <c r="H129" s="434">
        <f t="shared" si="11"/>
        <v>6.7661198090162118E-3</v>
      </c>
      <c r="I129" s="552">
        <f t="shared" si="7"/>
        <v>1169.2214016301532</v>
      </c>
      <c r="J129" s="427">
        <f t="shared" si="12"/>
        <v>1.1692214016301532E-3</v>
      </c>
      <c r="K129" s="426">
        <f t="shared" si="8"/>
        <v>1542.9483991932584</v>
      </c>
      <c r="L129" s="434">
        <f t="shared" si="13"/>
        <v>1.5429483991932585E-3</v>
      </c>
    </row>
    <row r="130" spans="1:12">
      <c r="A130" s="150" t="s">
        <v>81</v>
      </c>
      <c r="B130" s="541">
        <f t="shared" si="14"/>
        <v>120.62270000000001</v>
      </c>
      <c r="C130" s="235">
        <f t="shared" si="15"/>
        <v>46.219291455894236</v>
      </c>
      <c r="D130" s="235">
        <f t="shared" si="15"/>
        <v>74.403408544105773</v>
      </c>
      <c r="E130" s="235">
        <f t="shared" si="9"/>
        <v>36024</v>
      </c>
      <c r="F130" s="82">
        <f t="shared" si="10"/>
        <v>89870</v>
      </c>
      <c r="G130" s="767">
        <f t="shared" si="6"/>
        <v>3348.3982900288702</v>
      </c>
      <c r="H130" s="434">
        <f t="shared" si="11"/>
        <v>3.3483982900288701E-3</v>
      </c>
      <c r="I130" s="552">
        <f t="shared" si="7"/>
        <v>514.2905469666656</v>
      </c>
      <c r="J130" s="427">
        <f t="shared" si="12"/>
        <v>5.1429054696666557E-4</v>
      </c>
      <c r="K130" s="426">
        <f t="shared" si="8"/>
        <v>827.90039550579468</v>
      </c>
      <c r="L130" s="434">
        <f t="shared" si="13"/>
        <v>8.2790039550579468E-4</v>
      </c>
    </row>
    <row r="131" spans="1:12">
      <c r="A131" s="150" t="s">
        <v>82</v>
      </c>
      <c r="B131" s="541">
        <f t="shared" si="14"/>
        <v>1.8331999999999999</v>
      </c>
      <c r="C131" s="235">
        <f t="shared" si="15"/>
        <v>0.56325379173680434</v>
      </c>
      <c r="D131" s="235">
        <f t="shared" si="15"/>
        <v>1.2699462082631956</v>
      </c>
      <c r="E131" s="235">
        <f t="shared" si="9"/>
        <v>36024</v>
      </c>
      <c r="F131" s="82">
        <f t="shared" si="10"/>
        <v>89870</v>
      </c>
      <c r="G131" s="767">
        <f t="shared" si="6"/>
        <v>50.88829669109483</v>
      </c>
      <c r="H131" s="434">
        <f t="shared" si="11"/>
        <v>5.0888296691094826E-5</v>
      </c>
      <c r="I131" s="552">
        <f t="shared" si="7"/>
        <v>6.2674284158985687</v>
      </c>
      <c r="J131" s="427">
        <f t="shared" si="12"/>
        <v>6.2674284158985687E-6</v>
      </c>
      <c r="K131" s="426">
        <f t="shared" si="8"/>
        <v>14.130924760912379</v>
      </c>
      <c r="L131" s="434">
        <f t="shared" si="13"/>
        <v>1.413092476091238E-5</v>
      </c>
    </row>
    <row r="132" spans="1:12">
      <c r="A132" s="150" t="s">
        <v>213</v>
      </c>
      <c r="B132" s="541">
        <f t="shared" si="14"/>
        <v>1571.3850000000002</v>
      </c>
      <c r="C132" s="235" t="s">
        <v>89</v>
      </c>
      <c r="D132" s="235" t="s">
        <v>89</v>
      </c>
      <c r="E132" s="235">
        <f t="shared" si="9"/>
        <v>36024</v>
      </c>
      <c r="F132" s="82">
        <f t="shared" si="10"/>
        <v>89870</v>
      </c>
      <c r="G132" s="767">
        <f t="shared" si="6"/>
        <v>43620.502998001342</v>
      </c>
      <c r="H132" s="434">
        <f t="shared" si="11"/>
        <v>4.362050299800134E-2</v>
      </c>
      <c r="I132" s="552" t="s">
        <v>89</v>
      </c>
      <c r="J132" s="427" t="s">
        <v>89</v>
      </c>
      <c r="K132" s="426" t="s">
        <v>89</v>
      </c>
      <c r="L132" s="434" t="s">
        <v>89</v>
      </c>
    </row>
    <row r="133" spans="1:12">
      <c r="A133" s="150" t="s">
        <v>96</v>
      </c>
      <c r="B133" s="541">
        <f>$C$28*31/98</f>
        <v>4519.6734693877552</v>
      </c>
      <c r="C133" s="235">
        <f>B133</f>
        <v>4519.6734693877552</v>
      </c>
      <c r="D133" s="235">
        <v>0</v>
      </c>
      <c r="E133" s="235">
        <f t="shared" si="9"/>
        <v>36024</v>
      </c>
      <c r="F133" s="82">
        <f t="shared" si="10"/>
        <v>89870</v>
      </c>
      <c r="G133" s="767">
        <f t="shared" si="6"/>
        <v>125462.84336519417</v>
      </c>
      <c r="H133" s="434">
        <f t="shared" si="11"/>
        <v>0.12546284336519417</v>
      </c>
      <c r="I133" s="552">
        <f t="shared" si="7"/>
        <v>50291.237002200454</v>
      </c>
      <c r="J133" s="427">
        <f t="shared" si="12"/>
        <v>5.0291237002200458E-2</v>
      </c>
      <c r="K133" s="426">
        <f t="shared" si="8"/>
        <v>0</v>
      </c>
      <c r="L133" s="434">
        <f t="shared" si="13"/>
        <v>0</v>
      </c>
    </row>
    <row r="134" spans="1:12">
      <c r="A134" s="150" t="s">
        <v>97</v>
      </c>
      <c r="B134" s="541">
        <f>B132+B133</f>
        <v>6091.0584693877554</v>
      </c>
      <c r="C134" s="235" t="s">
        <v>89</v>
      </c>
      <c r="D134" s="235" t="s">
        <v>89</v>
      </c>
      <c r="E134" s="235">
        <f t="shared" si="9"/>
        <v>36024</v>
      </c>
      <c r="F134" s="82">
        <f t="shared" si="10"/>
        <v>89870</v>
      </c>
      <c r="G134" s="767">
        <f t="shared" si="6"/>
        <v>169083.34636319554</v>
      </c>
      <c r="H134" s="434">
        <f t="shared" si="11"/>
        <v>0.16908334636319552</v>
      </c>
      <c r="I134" s="552" t="s">
        <v>89</v>
      </c>
      <c r="J134" s="427" t="s">
        <v>89</v>
      </c>
      <c r="K134" s="426" t="s">
        <v>89</v>
      </c>
      <c r="L134" s="434" t="s">
        <v>89</v>
      </c>
    </row>
    <row r="135" spans="1:12">
      <c r="A135" s="151" t="s">
        <v>84</v>
      </c>
      <c r="B135" s="541">
        <f>G75</f>
        <v>2.0493999999999999</v>
      </c>
      <c r="C135" s="235">
        <f>H75</f>
        <v>0.12643614864548119</v>
      </c>
      <c r="D135" s="235">
        <f>I75</f>
        <v>1.9229638513545189</v>
      </c>
      <c r="E135" s="235">
        <f t="shared" si="9"/>
        <v>36024</v>
      </c>
      <c r="F135" s="82">
        <f t="shared" si="10"/>
        <v>89870</v>
      </c>
      <c r="G135" s="767">
        <f t="shared" si="6"/>
        <v>56.889851210304236</v>
      </c>
      <c r="H135" s="434">
        <f t="shared" si="11"/>
        <v>5.6889851210304239E-5</v>
      </c>
      <c r="I135" s="552">
        <f t="shared" si="7"/>
        <v>1.4068782535382351</v>
      </c>
      <c r="J135" s="427">
        <f t="shared" si="12"/>
        <v>1.406878253538235E-6</v>
      </c>
      <c r="K135" s="426">
        <f t="shared" si="8"/>
        <v>21.397172041332134</v>
      </c>
      <c r="L135" s="434">
        <f t="shared" si="13"/>
        <v>2.1397172041332134E-5</v>
      </c>
    </row>
    <row r="136" spans="1:12">
      <c r="A136" s="151" t="s">
        <v>249</v>
      </c>
      <c r="B136" s="541">
        <f>G76</f>
        <v>248.5959</v>
      </c>
      <c r="C136" s="235">
        <v>0</v>
      </c>
      <c r="D136" s="235">
        <f>E76</f>
        <v>226.8</v>
      </c>
      <c r="E136" s="235">
        <f t="shared" si="9"/>
        <v>36024</v>
      </c>
      <c r="F136" s="82">
        <f t="shared" si="10"/>
        <v>89870</v>
      </c>
      <c r="G136" s="767">
        <f t="shared" si="6"/>
        <v>6900.8411059293803</v>
      </c>
      <c r="H136" s="434">
        <f t="shared" si="11"/>
        <v>6.9008411059293803E-3</v>
      </c>
      <c r="I136" s="552">
        <f t="shared" si="7"/>
        <v>0</v>
      </c>
      <c r="J136" s="427">
        <f t="shared" si="12"/>
        <v>0</v>
      </c>
      <c r="K136" s="426">
        <f t="shared" si="8"/>
        <v>2523.6452653833317</v>
      </c>
      <c r="L136" s="434">
        <f t="shared" si="13"/>
        <v>2.5236452653833318E-3</v>
      </c>
    </row>
    <row r="137" spans="1:12">
      <c r="A137" s="151" t="s">
        <v>250</v>
      </c>
      <c r="B137" s="541">
        <f>C24*32/98</f>
        <v>893.38775510204084</v>
      </c>
      <c r="C137" s="235">
        <v>0</v>
      </c>
      <c r="D137" s="235">
        <f>B137</f>
        <v>893.38775510204084</v>
      </c>
      <c r="E137" s="235">
        <f t="shared" si="9"/>
        <v>36024</v>
      </c>
      <c r="F137" s="82">
        <f t="shared" si="10"/>
        <v>89870</v>
      </c>
      <c r="G137" s="767">
        <f t="shared" si="6"/>
        <v>24799.793335055543</v>
      </c>
      <c r="H137" s="434">
        <f t="shared" si="11"/>
        <v>2.4799793335055543E-2</v>
      </c>
      <c r="I137" s="552">
        <f t="shared" si="7"/>
        <v>0</v>
      </c>
      <c r="J137" s="427">
        <f t="shared" si="12"/>
        <v>0</v>
      </c>
      <c r="K137" s="426">
        <f t="shared" si="8"/>
        <v>9940.8896751089433</v>
      </c>
      <c r="L137" s="434">
        <f t="shared" si="13"/>
        <v>9.9408896751089441E-3</v>
      </c>
    </row>
    <row r="138" spans="1:12">
      <c r="A138" s="151" t="s">
        <v>251</v>
      </c>
      <c r="B138" s="541">
        <f>B136+B137</f>
        <v>1141.9836551020408</v>
      </c>
      <c r="C138" s="235">
        <v>0</v>
      </c>
      <c r="D138" s="235">
        <f>D136+D137</f>
        <v>1120.1877551020409</v>
      </c>
      <c r="E138" s="235">
        <f t="shared" si="9"/>
        <v>36024</v>
      </c>
      <c r="F138" s="82">
        <f t="shared" si="10"/>
        <v>89870</v>
      </c>
      <c r="G138" s="767">
        <f t="shared" si="6"/>
        <v>31700.634440984919</v>
      </c>
      <c r="H138" s="434">
        <f t="shared" si="11"/>
        <v>3.1700634440984921E-2</v>
      </c>
      <c r="I138" s="552">
        <f t="shared" si="7"/>
        <v>0</v>
      </c>
      <c r="J138" s="427">
        <f t="shared" si="12"/>
        <v>0</v>
      </c>
      <c r="K138" s="426">
        <f t="shared" si="8"/>
        <v>12464.534940492276</v>
      </c>
      <c r="L138" s="434">
        <f t="shared" si="13"/>
        <v>1.2464534940492277E-2</v>
      </c>
    </row>
    <row r="139" spans="1:12">
      <c r="A139" s="151" t="s">
        <v>238</v>
      </c>
      <c r="B139" s="541">
        <f>B138/32*96</f>
        <v>3425.9509653061223</v>
      </c>
      <c r="C139" s="235">
        <v>0</v>
      </c>
      <c r="D139" s="235">
        <f>D138/32*96</f>
        <v>3360.563265306123</v>
      </c>
      <c r="E139" s="235">
        <f t="shared" si="9"/>
        <v>36024</v>
      </c>
      <c r="F139" s="82">
        <f t="shared" si="10"/>
        <v>89870</v>
      </c>
      <c r="G139" s="767">
        <f t="shared" si="6"/>
        <v>95101.903322954764</v>
      </c>
      <c r="H139" s="434">
        <f t="shared" si="11"/>
        <v>9.5101903322954762E-2</v>
      </c>
      <c r="I139" s="552">
        <f t="shared" si="7"/>
        <v>0</v>
      </c>
      <c r="J139" s="427">
        <f t="shared" si="12"/>
        <v>0</v>
      </c>
      <c r="K139" s="426">
        <f t="shared" si="8"/>
        <v>37393.604821476838</v>
      </c>
      <c r="L139" s="434">
        <f t="shared" si="13"/>
        <v>3.7393604821476835E-2</v>
      </c>
    </row>
    <row r="140" spans="1:12">
      <c r="A140" s="151" t="s">
        <v>239</v>
      </c>
      <c r="B140" s="541">
        <f>B138/32*136</f>
        <v>4853.4305341836734</v>
      </c>
      <c r="C140" s="235">
        <v>0</v>
      </c>
      <c r="D140" s="235">
        <f>D138/32*136</f>
        <v>4760.7979591836738</v>
      </c>
      <c r="E140" s="235">
        <f t="shared" si="9"/>
        <v>36024</v>
      </c>
      <c r="F140" s="82">
        <f t="shared" si="10"/>
        <v>89870</v>
      </c>
      <c r="G140" s="767">
        <f t="shared" si="6"/>
        <v>134727.69637418591</v>
      </c>
      <c r="H140" s="434">
        <f t="shared" si="11"/>
        <v>0.13472769637418591</v>
      </c>
      <c r="I140" s="552">
        <f t="shared" si="7"/>
        <v>0</v>
      </c>
      <c r="J140" s="427">
        <f t="shared" si="12"/>
        <v>0</v>
      </c>
      <c r="K140" s="426">
        <f t="shared" si="8"/>
        <v>52974.273497092174</v>
      </c>
      <c r="L140" s="434">
        <f t="shared" si="13"/>
        <v>5.2974273497092175E-2</v>
      </c>
    </row>
    <row r="141" spans="1:12" ht="14.65" thickBot="1">
      <c r="A141" s="152" t="s">
        <v>86</v>
      </c>
      <c r="B141" s="542">
        <f>G77</f>
        <v>49.236000000000004</v>
      </c>
      <c r="C141" s="236">
        <f>H77</f>
        <v>12.654378123068181</v>
      </c>
      <c r="D141" s="236">
        <f>I77</f>
        <v>36.581621876931827</v>
      </c>
      <c r="E141" s="236">
        <f t="shared" si="9"/>
        <v>36024</v>
      </c>
      <c r="F141" s="237">
        <f t="shared" si="10"/>
        <v>89870</v>
      </c>
      <c r="G141" s="768">
        <f t="shared" si="6"/>
        <v>1366.7554963357761</v>
      </c>
      <c r="H141" s="439">
        <f t="shared" si="11"/>
        <v>1.3667554963357762E-3</v>
      </c>
      <c r="I141" s="552">
        <f t="shared" si="7"/>
        <v>140.80759010869232</v>
      </c>
      <c r="J141" s="427">
        <f t="shared" si="12"/>
        <v>1.4080759010869233E-4</v>
      </c>
      <c r="K141" s="437">
        <f t="shared" si="8"/>
        <v>407.05042702717066</v>
      </c>
      <c r="L141" s="439">
        <f t="shared" si="13"/>
        <v>4.0705042702717068E-4</v>
      </c>
    </row>
    <row r="142" spans="1:12">
      <c r="A142" s="145"/>
      <c r="B142" s="146"/>
      <c r="C142" s="95"/>
    </row>
    <row r="143" spans="1:12">
      <c r="A143" s="1" t="s">
        <v>196</v>
      </c>
      <c r="B143" s="1"/>
      <c r="C143" s="1"/>
    </row>
    <row r="144" spans="1:12" ht="14.65" thickBot="1">
      <c r="A144" s="79" t="s">
        <v>365</v>
      </c>
    </row>
    <row r="145" spans="1:3" ht="14.65" thickBot="1">
      <c r="A145" s="453" t="s">
        <v>26</v>
      </c>
      <c r="B145" s="454" t="s">
        <v>27</v>
      </c>
      <c r="C145" s="455" t="s">
        <v>28</v>
      </c>
    </row>
    <row r="146" spans="1:3" ht="14.65" thickBot="1">
      <c r="A146" s="456">
        <v>0.54110338189613694</v>
      </c>
      <c r="B146" s="457">
        <v>0.45889661810386317</v>
      </c>
      <c r="C146" s="458">
        <v>0.63600000000000001</v>
      </c>
    </row>
    <row r="148" spans="1:3" ht="14.65" thickBot="1">
      <c r="A148" s="79" t="s">
        <v>127</v>
      </c>
    </row>
    <row r="149" spans="1:3">
      <c r="A149" s="18" t="s">
        <v>53</v>
      </c>
      <c r="B149" s="104" t="s">
        <v>18</v>
      </c>
      <c r="C149" s="15" t="s">
        <v>106</v>
      </c>
    </row>
    <row r="150" spans="1:3" ht="14.65" thickBot="1">
      <c r="A150" s="93" t="s">
        <v>4</v>
      </c>
      <c r="B150" s="271" t="s">
        <v>35</v>
      </c>
      <c r="C150" s="384">
        <f>$C$85</f>
        <v>89870</v>
      </c>
    </row>
    <row r="151" spans="1:3" hidden="1">
      <c r="A151" s="83"/>
      <c r="B151" s="77"/>
      <c r="C151" s="95"/>
    </row>
    <row r="152" spans="1:3" hidden="1">
      <c r="A152" s="79" t="s">
        <v>56</v>
      </c>
      <c r="B152" s="79"/>
      <c r="C152" s="79"/>
    </row>
    <row r="153" spans="1:3" ht="14.65" hidden="1" thickBot="1">
      <c r="A153" s="103" t="s">
        <v>53</v>
      </c>
      <c r="B153" s="102" t="s">
        <v>18</v>
      </c>
      <c r="C153" s="17" t="s">
        <v>91</v>
      </c>
    </row>
    <row r="154" spans="1:3" hidden="1">
      <c r="A154" s="272" t="s">
        <v>55</v>
      </c>
      <c r="B154" s="298" t="s">
        <v>35</v>
      </c>
      <c r="C154" s="294">
        <f>$C$22</f>
        <v>19000</v>
      </c>
    </row>
    <row r="155" spans="1:3" hidden="1">
      <c r="A155" s="257" t="s">
        <v>87</v>
      </c>
      <c r="B155" s="278" t="s">
        <v>35</v>
      </c>
      <c r="C155" s="295">
        <f>SUM($H$63:$H$77)</f>
        <v>1538.9491901304978</v>
      </c>
    </row>
    <row r="156" spans="1:3" hidden="1">
      <c r="A156" s="257" t="s">
        <v>57</v>
      </c>
      <c r="B156" s="278" t="s">
        <v>35</v>
      </c>
      <c r="C156" s="279">
        <f>C154-C155</f>
        <v>17461.050809869503</v>
      </c>
    </row>
    <row r="157" spans="1:3" hidden="1">
      <c r="A157" s="257" t="s">
        <v>4</v>
      </c>
      <c r="B157" s="278" t="s">
        <v>35</v>
      </c>
      <c r="C157" s="279">
        <f>$C$85</f>
        <v>89870</v>
      </c>
    </row>
    <row r="158" spans="1:3" hidden="1">
      <c r="A158" s="299" t="s">
        <v>59</v>
      </c>
      <c r="B158" s="260" t="s">
        <v>24</v>
      </c>
      <c r="C158" s="300">
        <f>C156/C157</f>
        <v>0.19429232012762326</v>
      </c>
    </row>
    <row r="159" spans="1:3" hidden="1">
      <c r="A159" s="257" t="s">
        <v>34</v>
      </c>
      <c r="B159" s="278" t="s">
        <v>35</v>
      </c>
      <c r="C159" s="279">
        <f>$C$23</f>
        <v>53846</v>
      </c>
    </row>
    <row r="160" spans="1:3" hidden="1">
      <c r="A160" s="257" t="s">
        <v>32</v>
      </c>
      <c r="B160" s="278" t="s">
        <v>35</v>
      </c>
      <c r="C160" s="295">
        <f>$C$24</f>
        <v>2736</v>
      </c>
    </row>
    <row r="161" spans="1:3" hidden="1">
      <c r="A161" s="257" t="s">
        <v>33</v>
      </c>
      <c r="B161" s="278" t="s">
        <v>35</v>
      </c>
      <c r="C161" s="295">
        <f>$C$28</f>
        <v>14288</v>
      </c>
    </row>
    <row r="162" spans="1:3" hidden="1">
      <c r="A162" s="257" t="s">
        <v>87</v>
      </c>
      <c r="B162" s="278" t="s">
        <v>35</v>
      </c>
      <c r="C162" s="295">
        <f>SUM($H$63:$H$77)</f>
        <v>1538.9491901304978</v>
      </c>
    </row>
    <row r="163" spans="1:3" hidden="1">
      <c r="A163" s="257" t="s">
        <v>60</v>
      </c>
      <c r="B163" s="278" t="s">
        <v>35</v>
      </c>
      <c r="C163" s="279">
        <f>SUM(C159:C162)</f>
        <v>72408.949190130501</v>
      </c>
    </row>
    <row r="164" spans="1:3" hidden="1">
      <c r="A164" s="257" t="s">
        <v>4</v>
      </c>
      <c r="B164" s="278" t="s">
        <v>35</v>
      </c>
      <c r="C164" s="279">
        <f>$C$85</f>
        <v>89870</v>
      </c>
    </row>
    <row r="165" spans="1:3" ht="14.65" hidden="1" thickBot="1">
      <c r="A165" s="301" t="s">
        <v>61</v>
      </c>
      <c r="B165" s="277" t="s">
        <v>24</v>
      </c>
      <c r="C165" s="303">
        <f>C163/C164</f>
        <v>0.80570767987237679</v>
      </c>
    </row>
    <row r="166" spans="1:3" hidden="1"/>
    <row r="167" spans="1:3" hidden="1">
      <c r="A167" s="79" t="s">
        <v>47</v>
      </c>
      <c r="B167" s="79"/>
      <c r="C167" s="79"/>
    </row>
    <row r="168" spans="1:3" ht="14.65" hidden="1" thickBot="1">
      <c r="A168" s="103" t="s">
        <v>53</v>
      </c>
      <c r="B168" s="102" t="s">
        <v>18</v>
      </c>
      <c r="C168" s="17" t="s">
        <v>91</v>
      </c>
    </row>
    <row r="169" spans="1:3" hidden="1">
      <c r="A169" s="272" t="s">
        <v>55</v>
      </c>
      <c r="B169" s="298" t="s">
        <v>35</v>
      </c>
      <c r="C169" s="294">
        <f>$C$22</f>
        <v>19000</v>
      </c>
    </row>
    <row r="170" spans="1:3" hidden="1">
      <c r="A170" s="257" t="s">
        <v>32</v>
      </c>
      <c r="B170" s="278" t="s">
        <v>35</v>
      </c>
      <c r="C170" s="295">
        <f>$C$24</f>
        <v>2736</v>
      </c>
    </row>
    <row r="171" spans="1:3" hidden="1">
      <c r="A171" s="257" t="s">
        <v>33</v>
      </c>
      <c r="B171" s="278" t="s">
        <v>35</v>
      </c>
      <c r="C171" s="295">
        <f>$C$28</f>
        <v>14288</v>
      </c>
    </row>
    <row r="172" spans="1:3" hidden="1">
      <c r="A172" s="257" t="s">
        <v>430</v>
      </c>
      <c r="B172" s="278" t="s">
        <v>35</v>
      </c>
      <c r="C172" s="279">
        <f>C169+C170+C171</f>
        <v>36024</v>
      </c>
    </row>
    <row r="173" spans="1:3" hidden="1">
      <c r="A173" s="257" t="s">
        <v>4</v>
      </c>
      <c r="B173" s="278" t="s">
        <v>35</v>
      </c>
      <c r="C173" s="279">
        <f>$C$85</f>
        <v>89870</v>
      </c>
    </row>
    <row r="174" spans="1:3" hidden="1">
      <c r="A174" s="299" t="s">
        <v>64</v>
      </c>
      <c r="B174" s="260" t="s">
        <v>24</v>
      </c>
      <c r="C174" s="300">
        <f>C172/C173</f>
        <v>0.40084566596194504</v>
      </c>
    </row>
    <row r="175" spans="1:3" hidden="1">
      <c r="A175" s="257" t="s">
        <v>34</v>
      </c>
      <c r="B175" s="278" t="s">
        <v>35</v>
      </c>
      <c r="C175" s="279">
        <f>$C$23</f>
        <v>53846</v>
      </c>
    </row>
    <row r="176" spans="1:3" hidden="1">
      <c r="A176" s="257" t="s">
        <v>65</v>
      </c>
      <c r="B176" s="278" t="s">
        <v>35</v>
      </c>
      <c r="C176" s="279">
        <f>C175</f>
        <v>53846</v>
      </c>
    </row>
    <row r="177" spans="1:3" hidden="1">
      <c r="A177" s="257" t="s">
        <v>4</v>
      </c>
      <c r="B177" s="278" t="s">
        <v>35</v>
      </c>
      <c r="C177" s="279">
        <f>$C$85</f>
        <v>89870</v>
      </c>
    </row>
    <row r="178" spans="1:3" ht="14.65" hidden="1" thickBot="1">
      <c r="A178" s="301" t="s">
        <v>66</v>
      </c>
      <c r="B178" s="277" t="s">
        <v>24</v>
      </c>
      <c r="C178" s="303">
        <f>C176/C177</f>
        <v>0.59915433403805496</v>
      </c>
    </row>
    <row r="179" spans="1:3">
      <c r="A179" s="83"/>
      <c r="B179" s="77"/>
      <c r="C179" s="96"/>
    </row>
    <row r="180" spans="1:3" ht="14.65" thickBot="1">
      <c r="A180" s="79" t="s">
        <v>129</v>
      </c>
    </row>
    <row r="181" spans="1:3" ht="14.65" thickBot="1">
      <c r="A181" s="191" t="s">
        <v>90</v>
      </c>
      <c r="B181" s="192" t="s">
        <v>18</v>
      </c>
      <c r="C181" s="193" t="s">
        <v>91</v>
      </c>
    </row>
    <row r="182" spans="1:3">
      <c r="A182" s="272" t="s">
        <v>266</v>
      </c>
      <c r="B182" s="298" t="s">
        <v>35</v>
      </c>
      <c r="C182" s="313">
        <f>$C$85</f>
        <v>89870</v>
      </c>
    </row>
    <row r="183" spans="1:3">
      <c r="A183" s="257" t="s">
        <v>26</v>
      </c>
      <c r="B183" s="278" t="s">
        <v>24</v>
      </c>
      <c r="C183" s="314">
        <f>A146</f>
        <v>0.54110338189613694</v>
      </c>
    </row>
    <row r="184" spans="1:3">
      <c r="A184" s="253" t="s">
        <v>387</v>
      </c>
      <c r="B184" s="270" t="s">
        <v>35</v>
      </c>
      <c r="C184" s="254">
        <f>C182*C183</f>
        <v>48628.960931005829</v>
      </c>
    </row>
    <row r="185" spans="1:3">
      <c r="A185" s="257" t="s">
        <v>27</v>
      </c>
      <c r="B185" s="278" t="s">
        <v>24</v>
      </c>
      <c r="C185" s="314">
        <f>B146</f>
        <v>0.45889661810386317</v>
      </c>
    </row>
    <row r="186" spans="1:3">
      <c r="A186" s="253" t="s">
        <v>286</v>
      </c>
      <c r="B186" s="270" t="s">
        <v>35</v>
      </c>
      <c r="C186" s="322">
        <f>C182*C185</f>
        <v>41241.039068994185</v>
      </c>
    </row>
    <row r="187" spans="1:3">
      <c r="A187" s="281" t="s">
        <v>355</v>
      </c>
      <c r="B187" s="278" t="s">
        <v>24</v>
      </c>
      <c r="C187" s="318">
        <f>C146</f>
        <v>0.63600000000000001</v>
      </c>
    </row>
    <row r="188" spans="1:3">
      <c r="A188" s="281" t="s">
        <v>375</v>
      </c>
      <c r="B188" s="278" t="s">
        <v>35</v>
      </c>
      <c r="C188" s="289">
        <f>C186*C187</f>
        <v>26229.300847880302</v>
      </c>
    </row>
    <row r="189" spans="1:3">
      <c r="A189" s="281" t="s">
        <v>369</v>
      </c>
      <c r="B189" s="278" t="s">
        <v>24</v>
      </c>
      <c r="C189" s="318">
        <f>1-C187</f>
        <v>0.36399999999999999</v>
      </c>
    </row>
    <row r="190" spans="1:3" ht="14.65" thickBot="1">
      <c r="A190" s="319" t="s">
        <v>370</v>
      </c>
      <c r="B190" s="320" t="s">
        <v>35</v>
      </c>
      <c r="C190" s="321">
        <f>C186*C189</f>
        <v>15011.738221113883</v>
      </c>
    </row>
    <row r="191" spans="1:3">
      <c r="A191" s="77"/>
      <c r="B191" s="77"/>
      <c r="C191" s="117"/>
    </row>
    <row r="192" spans="1:3" ht="14.65" thickBot="1">
      <c r="A192" s="79" t="s">
        <v>133</v>
      </c>
      <c r="B192" s="79"/>
      <c r="C192" s="79"/>
    </row>
    <row r="193" spans="1:8" ht="14.65" thickBot="1">
      <c r="A193" s="103" t="s">
        <v>90</v>
      </c>
      <c r="B193" s="102" t="s">
        <v>18</v>
      </c>
      <c r="C193" s="17" t="s">
        <v>106</v>
      </c>
    </row>
    <row r="194" spans="1:8">
      <c r="A194" s="276" t="s">
        <v>301</v>
      </c>
      <c r="B194" s="296" t="s">
        <v>35</v>
      </c>
      <c r="C194" s="297">
        <f>$C$22</f>
        <v>19000</v>
      </c>
    </row>
    <row r="195" spans="1:8">
      <c r="A195" s="257" t="s">
        <v>329</v>
      </c>
      <c r="B195" s="278" t="s">
        <v>35</v>
      </c>
      <c r="C195" s="295">
        <f>$C$24</f>
        <v>2736</v>
      </c>
    </row>
    <row r="196" spans="1:8">
      <c r="A196" s="257" t="s">
        <v>428</v>
      </c>
      <c r="B196" s="278" t="s">
        <v>35</v>
      </c>
      <c r="C196" s="295">
        <f>$C$28</f>
        <v>14288</v>
      </c>
    </row>
    <row r="197" spans="1:8">
      <c r="A197" s="281" t="s">
        <v>375</v>
      </c>
      <c r="B197" s="278" t="s">
        <v>35</v>
      </c>
      <c r="C197" s="289">
        <f>C188</f>
        <v>26229.300847880302</v>
      </c>
    </row>
    <row r="198" spans="1:8">
      <c r="A198" s="257" t="s">
        <v>341</v>
      </c>
      <c r="B198" s="278" t="s">
        <v>35</v>
      </c>
      <c r="C198" s="279">
        <f>C194+C195+C196-C197</f>
        <v>9794.6991521196978</v>
      </c>
    </row>
    <row r="199" spans="1:8">
      <c r="A199" s="257" t="s">
        <v>387</v>
      </c>
      <c r="B199" s="278" t="s">
        <v>35</v>
      </c>
      <c r="C199" s="279">
        <f>$C$184</f>
        <v>48628.960931005829</v>
      </c>
    </row>
    <row r="200" spans="1:8">
      <c r="A200" s="299" t="s">
        <v>389</v>
      </c>
      <c r="B200" s="260" t="s">
        <v>24</v>
      </c>
      <c r="C200" s="300">
        <f>C198/C199</f>
        <v>0.20141699441236871</v>
      </c>
    </row>
    <row r="201" spans="1:8">
      <c r="A201" s="257" t="s">
        <v>366</v>
      </c>
      <c r="B201" s="278" t="s">
        <v>35</v>
      </c>
      <c r="C201" s="279">
        <f>$C$23</f>
        <v>53846</v>
      </c>
    </row>
    <row r="202" spans="1:8">
      <c r="A202" s="281" t="s">
        <v>370</v>
      </c>
      <c r="B202" s="278" t="s">
        <v>35</v>
      </c>
      <c r="C202" s="289">
        <f>C190</f>
        <v>15011.738221113883</v>
      </c>
    </row>
    <row r="203" spans="1:8">
      <c r="A203" s="257" t="s">
        <v>342</v>
      </c>
      <c r="B203" s="278" t="s">
        <v>35</v>
      </c>
      <c r="C203" s="279">
        <f>C201-C202</f>
        <v>38834.261778886117</v>
      </c>
    </row>
    <row r="204" spans="1:8">
      <c r="A204" s="257" t="s">
        <v>387</v>
      </c>
      <c r="B204" s="278" t="s">
        <v>35</v>
      </c>
      <c r="C204" s="279">
        <f>$C$184</f>
        <v>48628.960931005829</v>
      </c>
    </row>
    <row r="205" spans="1:8" ht="14.65" thickBot="1">
      <c r="A205" s="301" t="s">
        <v>321</v>
      </c>
      <c r="B205" s="277" t="s">
        <v>24</v>
      </c>
      <c r="C205" s="303">
        <f>C203/C204</f>
        <v>0.79858300558763096</v>
      </c>
    </row>
    <row r="206" spans="1:8">
      <c r="A206" s="77"/>
      <c r="B206" s="77"/>
      <c r="C206" s="117"/>
    </row>
    <row r="207" spans="1:8" ht="14.65" thickBot="1">
      <c r="A207" s="79" t="s">
        <v>135</v>
      </c>
    </row>
    <row r="208" spans="1:8" ht="14.65" thickBot="1">
      <c r="A208" s="419"/>
      <c r="B208" s="1028" t="s">
        <v>262</v>
      </c>
      <c r="C208" s="1029"/>
      <c r="D208" s="1031"/>
      <c r="E208" s="1036" t="s">
        <v>263</v>
      </c>
      <c r="F208" s="1037"/>
      <c r="G208" s="1037"/>
      <c r="H208" s="1038"/>
    </row>
    <row r="209" spans="1:8">
      <c r="A209" s="92" t="s">
        <v>93</v>
      </c>
      <c r="B209" s="377" t="s">
        <v>243</v>
      </c>
      <c r="C209" s="491" t="s">
        <v>341</v>
      </c>
      <c r="D209" s="492" t="s">
        <v>281</v>
      </c>
      <c r="E209" s="1039" t="s">
        <v>269</v>
      </c>
      <c r="F209" s="1040"/>
      <c r="G209" s="1022" t="s">
        <v>282</v>
      </c>
      <c r="H209" s="1023"/>
    </row>
    <row r="210" spans="1:8" ht="14.65" thickBot="1">
      <c r="A210" s="93" t="s">
        <v>18</v>
      </c>
      <c r="B210" s="403" t="s">
        <v>35</v>
      </c>
      <c r="C210" s="154" t="s">
        <v>35</v>
      </c>
      <c r="D210" s="155" t="s">
        <v>35</v>
      </c>
      <c r="E210" s="153" t="s">
        <v>257</v>
      </c>
      <c r="F210" s="423" t="s">
        <v>237</v>
      </c>
      <c r="G210" s="403" t="s">
        <v>71</v>
      </c>
      <c r="H210" s="155" t="s">
        <v>237</v>
      </c>
    </row>
    <row r="211" spans="1:8">
      <c r="A211" s="148" t="s">
        <v>72</v>
      </c>
      <c r="B211" s="540">
        <f>C121</f>
        <v>418.80049148977378</v>
      </c>
      <c r="C211" s="428">
        <f>$C$198</f>
        <v>9794.6991521196978</v>
      </c>
      <c r="D211" s="545">
        <f>$C$184</f>
        <v>48628.960931005829</v>
      </c>
      <c r="E211" s="557">
        <f>B211/C211*1000000</f>
        <v>42757.871884113971</v>
      </c>
      <c r="F211" s="554">
        <f>E211/1000000</f>
        <v>4.2757871884113972E-2</v>
      </c>
      <c r="G211" s="557">
        <f>B211/D211*1000000</f>
        <v>8612.1620423673612</v>
      </c>
      <c r="H211" s="433">
        <f>G211/1000000</f>
        <v>8.612162042367361E-3</v>
      </c>
    </row>
    <row r="212" spans="1:8">
      <c r="A212" s="149" t="s">
        <v>73</v>
      </c>
      <c r="B212" s="541">
        <f>C122</f>
        <v>0.20845506853087181</v>
      </c>
      <c r="C212" s="235">
        <f t="shared" ref="C212:C231" si="16">$C$198</f>
        <v>9794.6991521196978</v>
      </c>
      <c r="D212" s="546">
        <f t="shared" ref="D212:D231" si="17">$C$184</f>
        <v>48628.960931005829</v>
      </c>
      <c r="E212" s="558">
        <f t="shared" ref="E212:E231" si="18">B212/C212*1000000</f>
        <v>21.282437091062619</v>
      </c>
      <c r="F212" s="555">
        <f t="shared" ref="F212:H231" si="19">E212/1000000</f>
        <v>2.1282437091062617E-5</v>
      </c>
      <c r="G212" s="558">
        <f t="shared" ref="G212:G231" si="20">B212/D212*1000000</f>
        <v>4.2866445126521482</v>
      </c>
      <c r="H212" s="434">
        <f t="shared" si="19"/>
        <v>4.2866445126521479E-6</v>
      </c>
    </row>
    <row r="213" spans="1:8">
      <c r="A213" s="149" t="s">
        <v>74</v>
      </c>
      <c r="B213" s="541">
        <f t="shared" ref="B213:B221" si="21">C123</f>
        <v>634.39650513641982</v>
      </c>
      <c r="C213" s="235">
        <f t="shared" si="16"/>
        <v>9794.6991521196978</v>
      </c>
      <c r="D213" s="546">
        <f t="shared" si="17"/>
        <v>48628.960931005829</v>
      </c>
      <c r="E213" s="558">
        <f t="shared" si="18"/>
        <v>64769.371195962485</v>
      </c>
      <c r="F213" s="555">
        <f t="shared" si="19"/>
        <v>6.4769371195962488E-2</v>
      </c>
      <c r="G213" s="558">
        <f t="shared" si="20"/>
        <v>13045.652076269813</v>
      </c>
      <c r="H213" s="434">
        <f t="shared" si="19"/>
        <v>1.3045652076269813E-2</v>
      </c>
    </row>
    <row r="214" spans="1:8">
      <c r="A214" s="149" t="s">
        <v>75</v>
      </c>
      <c r="B214" s="541">
        <f>B124*0.56</f>
        <v>3.1360000000000006E-2</v>
      </c>
      <c r="C214" s="235">
        <f t="shared" si="16"/>
        <v>9794.6991521196978</v>
      </c>
      <c r="D214" s="546">
        <f t="shared" si="17"/>
        <v>48628.960931005829</v>
      </c>
      <c r="E214" s="558">
        <f t="shared" si="18"/>
        <v>3.2017318258533041</v>
      </c>
      <c r="F214" s="555">
        <f t="shared" si="19"/>
        <v>3.2017318258533039E-6</v>
      </c>
      <c r="G214" s="558">
        <f t="shared" si="20"/>
        <v>0.64488320127779797</v>
      </c>
      <c r="H214" s="434">
        <f t="shared" si="19"/>
        <v>6.4488320127779801E-7</v>
      </c>
    </row>
    <row r="215" spans="1:8">
      <c r="A215" s="149" t="s">
        <v>76</v>
      </c>
      <c r="B215" s="541">
        <f t="shared" si="21"/>
        <v>0.325825052455463</v>
      </c>
      <c r="C215" s="235">
        <f t="shared" si="16"/>
        <v>9794.6991521196978</v>
      </c>
      <c r="D215" s="546">
        <f t="shared" si="17"/>
        <v>48628.960931005829</v>
      </c>
      <c r="E215" s="558">
        <f t="shared" si="18"/>
        <v>33.26544770749291</v>
      </c>
      <c r="F215" s="555">
        <f t="shared" si="19"/>
        <v>3.3265447707492913E-5</v>
      </c>
      <c r="G215" s="558">
        <f t="shared" si="20"/>
        <v>6.7002264950250439</v>
      </c>
      <c r="H215" s="434">
        <f t="shared" si="19"/>
        <v>6.7002264950250441E-6</v>
      </c>
    </row>
    <row r="216" spans="1:8">
      <c r="A216" s="150" t="s">
        <v>77</v>
      </c>
      <c r="B216" s="541">
        <f t="shared" si="21"/>
        <v>4.3749983835018957</v>
      </c>
      <c r="C216" s="235">
        <f t="shared" si="16"/>
        <v>9794.6991521196978</v>
      </c>
      <c r="D216" s="546">
        <f t="shared" si="17"/>
        <v>48628.960931005829</v>
      </c>
      <c r="E216" s="558">
        <f t="shared" si="18"/>
        <v>446.67001155978232</v>
      </c>
      <c r="F216" s="555">
        <f t="shared" si="19"/>
        <v>4.4667001155978235E-4</v>
      </c>
      <c r="G216" s="558">
        <f t="shared" si="20"/>
        <v>89.966931222509359</v>
      </c>
      <c r="H216" s="434">
        <f t="shared" si="19"/>
        <v>8.9966931222509354E-5</v>
      </c>
    </row>
    <row r="217" spans="1:8">
      <c r="A217" s="150" t="s">
        <v>78</v>
      </c>
      <c r="B217" s="541">
        <f t="shared" si="21"/>
        <v>255.30358139844313</v>
      </c>
      <c r="C217" s="235">
        <f t="shared" si="16"/>
        <v>9794.6991521196978</v>
      </c>
      <c r="D217" s="546">
        <f t="shared" si="17"/>
        <v>48628.960931005829</v>
      </c>
      <c r="E217" s="558">
        <f t="shared" si="18"/>
        <v>26065.484751840711</v>
      </c>
      <c r="F217" s="555">
        <f t="shared" si="19"/>
        <v>2.6065484751840711E-2</v>
      </c>
      <c r="G217" s="558">
        <f t="shared" si="20"/>
        <v>5250.031596617182</v>
      </c>
      <c r="H217" s="434">
        <f t="shared" si="19"/>
        <v>5.2500315966171824E-3</v>
      </c>
    </row>
    <row r="218" spans="1:8">
      <c r="A218" s="150" t="s">
        <v>79</v>
      </c>
      <c r="B218" s="541">
        <f t="shared" si="21"/>
        <v>60.898046717526142</v>
      </c>
      <c r="C218" s="235">
        <f t="shared" si="16"/>
        <v>9794.6991521196978</v>
      </c>
      <c r="D218" s="546">
        <f t="shared" si="17"/>
        <v>48628.960931005829</v>
      </c>
      <c r="E218" s="558">
        <f t="shared" si="18"/>
        <v>6217.4494358356096</v>
      </c>
      <c r="F218" s="555">
        <f t="shared" si="19"/>
        <v>6.2174494358356097E-3</v>
      </c>
      <c r="G218" s="558">
        <f t="shared" si="20"/>
        <v>1252.2999782768861</v>
      </c>
      <c r="H218" s="434">
        <f t="shared" si="19"/>
        <v>1.2522999782768861E-3</v>
      </c>
    </row>
    <row r="219" spans="1:8">
      <c r="A219" s="150" t="s">
        <v>80</v>
      </c>
      <c r="B219" s="541">
        <f t="shared" si="21"/>
        <v>105.07792736450187</v>
      </c>
      <c r="C219" s="235">
        <f t="shared" si="16"/>
        <v>9794.6991521196978</v>
      </c>
      <c r="D219" s="546">
        <f t="shared" si="17"/>
        <v>48628.960931005829</v>
      </c>
      <c r="E219" s="558">
        <f t="shared" si="18"/>
        <v>10728.040313699852</v>
      </c>
      <c r="F219" s="555">
        <f t="shared" si="19"/>
        <v>1.0728040313699852E-2</v>
      </c>
      <c r="G219" s="558">
        <f t="shared" si="20"/>
        <v>2160.8096359201495</v>
      </c>
      <c r="H219" s="434">
        <f t="shared" si="19"/>
        <v>2.1608096359201495E-3</v>
      </c>
    </row>
    <row r="220" spans="1:8">
      <c r="A220" s="150" t="s">
        <v>81</v>
      </c>
      <c r="B220" s="541">
        <f t="shared" si="21"/>
        <v>46.219291455894236</v>
      </c>
      <c r="C220" s="235">
        <f t="shared" si="16"/>
        <v>9794.6991521196978</v>
      </c>
      <c r="D220" s="546">
        <f t="shared" si="17"/>
        <v>48628.960931005829</v>
      </c>
      <c r="E220" s="558">
        <f t="shared" si="18"/>
        <v>4718.8066461328517</v>
      </c>
      <c r="F220" s="555">
        <f t="shared" si="19"/>
        <v>4.718806646132852E-3</v>
      </c>
      <c r="G220" s="558">
        <f t="shared" si="20"/>
        <v>950.4478518771889</v>
      </c>
      <c r="H220" s="434">
        <f t="shared" si="19"/>
        <v>9.504478518771889E-4</v>
      </c>
    </row>
    <row r="221" spans="1:8">
      <c r="A221" s="150" t="s">
        <v>82</v>
      </c>
      <c r="B221" s="541">
        <f t="shared" si="21"/>
        <v>0.56325379173680434</v>
      </c>
      <c r="C221" s="235">
        <f t="shared" si="16"/>
        <v>9794.6991521196978</v>
      </c>
      <c r="D221" s="546">
        <f t="shared" si="17"/>
        <v>48628.960931005829</v>
      </c>
      <c r="E221" s="558">
        <f t="shared" si="18"/>
        <v>57.505981857024061</v>
      </c>
      <c r="F221" s="555">
        <f t="shared" si="19"/>
        <v>5.7505981857024063E-5</v>
      </c>
      <c r="G221" s="558">
        <f t="shared" si="20"/>
        <v>11.582682026373993</v>
      </c>
      <c r="H221" s="434">
        <f t="shared" si="19"/>
        <v>1.1582682026373993E-5</v>
      </c>
    </row>
    <row r="222" spans="1:8">
      <c r="A222" s="150" t="s">
        <v>213</v>
      </c>
      <c r="B222" s="541">
        <f>B132*0.56</f>
        <v>879.97560000000021</v>
      </c>
      <c r="C222" s="235">
        <f t="shared" si="16"/>
        <v>9794.6991521196978</v>
      </c>
      <c r="D222" s="546">
        <f t="shared" si="17"/>
        <v>48628.960931005829</v>
      </c>
      <c r="E222" s="558">
        <f t="shared" si="18"/>
        <v>89842.02437800882</v>
      </c>
      <c r="F222" s="555">
        <f t="shared" si="19"/>
        <v>8.9842024378008825E-2</v>
      </c>
      <c r="G222" s="558">
        <f t="shared" si="20"/>
        <v>18095.710522141297</v>
      </c>
      <c r="H222" s="434">
        <f t="shared" si="19"/>
        <v>1.8095710522141296E-2</v>
      </c>
    </row>
    <row r="223" spans="1:8">
      <c r="A223" s="151" t="s">
        <v>96</v>
      </c>
      <c r="B223" s="541">
        <f>B133*0.56</f>
        <v>2531.017142857143</v>
      </c>
      <c r="C223" s="235">
        <f t="shared" si="16"/>
        <v>9794.6991521196978</v>
      </c>
      <c r="D223" s="546">
        <f t="shared" si="17"/>
        <v>48628.960931005829</v>
      </c>
      <c r="E223" s="558">
        <f t="shared" si="18"/>
        <v>258406.82838220696</v>
      </c>
      <c r="F223" s="555">
        <f t="shared" si="19"/>
        <v>0.25840682838220697</v>
      </c>
      <c r="G223" s="558">
        <f t="shared" si="20"/>
        <v>52047.526708376899</v>
      </c>
      <c r="H223" s="434">
        <f t="shared" si="19"/>
        <v>5.2047526708376902E-2</v>
      </c>
    </row>
    <row r="224" spans="1:8">
      <c r="A224" s="150" t="s">
        <v>97</v>
      </c>
      <c r="B224" s="541">
        <f>B222+B223</f>
        <v>3410.9927428571432</v>
      </c>
      <c r="C224" s="235">
        <f t="shared" si="16"/>
        <v>9794.6991521196978</v>
      </c>
      <c r="D224" s="546">
        <f t="shared" si="17"/>
        <v>48628.960931005829</v>
      </c>
      <c r="E224" s="558">
        <f t="shared" si="18"/>
        <v>348248.85276021576</v>
      </c>
      <c r="F224" s="555">
        <f t="shared" si="19"/>
        <v>0.34824885276021578</v>
      </c>
      <c r="G224" s="558">
        <f t="shared" si="20"/>
        <v>70143.237230518193</v>
      </c>
      <c r="H224" s="434">
        <f t="shared" si="19"/>
        <v>7.0143237230518199E-2</v>
      </c>
    </row>
    <row r="225" spans="1:8">
      <c r="A225" s="151" t="s">
        <v>84</v>
      </c>
      <c r="B225" s="541">
        <f t="shared" ref="B225:B230" si="22">C135</f>
        <v>0.12643614864548119</v>
      </c>
      <c r="C225" s="235">
        <f t="shared" si="16"/>
        <v>9794.6991521196978</v>
      </c>
      <c r="D225" s="546">
        <f t="shared" si="17"/>
        <v>48628.960931005829</v>
      </c>
      <c r="E225" s="558">
        <f t="shared" si="18"/>
        <v>12.90863013573202</v>
      </c>
      <c r="F225" s="555">
        <f t="shared" si="19"/>
        <v>1.290863013573202E-5</v>
      </c>
      <c r="G225" s="558">
        <f t="shared" si="20"/>
        <v>2.6000174839200705</v>
      </c>
      <c r="H225" s="434">
        <f t="shared" si="19"/>
        <v>2.6000174839200706E-6</v>
      </c>
    </row>
    <row r="226" spans="1:8">
      <c r="A226" s="151" t="s">
        <v>249</v>
      </c>
      <c r="B226" s="541">
        <f t="shared" si="22"/>
        <v>0</v>
      </c>
      <c r="C226" s="235">
        <f t="shared" si="16"/>
        <v>9794.6991521196978</v>
      </c>
      <c r="D226" s="546">
        <f t="shared" si="17"/>
        <v>48628.960931005829</v>
      </c>
      <c r="E226" s="558">
        <f t="shared" si="18"/>
        <v>0</v>
      </c>
      <c r="F226" s="555">
        <f t="shared" si="19"/>
        <v>0</v>
      </c>
      <c r="G226" s="558">
        <f t="shared" si="20"/>
        <v>0</v>
      </c>
      <c r="H226" s="434">
        <f t="shared" si="19"/>
        <v>0</v>
      </c>
    </row>
    <row r="227" spans="1:8">
      <c r="A227" s="151" t="s">
        <v>250</v>
      </c>
      <c r="B227" s="541">
        <f t="shared" si="22"/>
        <v>0</v>
      </c>
      <c r="C227" s="235">
        <f t="shared" si="16"/>
        <v>9794.6991521196978</v>
      </c>
      <c r="D227" s="546">
        <f t="shared" si="17"/>
        <v>48628.960931005829</v>
      </c>
      <c r="E227" s="558">
        <f t="shared" si="18"/>
        <v>0</v>
      </c>
      <c r="F227" s="555">
        <f t="shared" si="19"/>
        <v>0</v>
      </c>
      <c r="G227" s="558">
        <f t="shared" si="20"/>
        <v>0</v>
      </c>
      <c r="H227" s="434">
        <f t="shared" si="19"/>
        <v>0</v>
      </c>
    </row>
    <row r="228" spans="1:8">
      <c r="A228" s="151" t="s">
        <v>251</v>
      </c>
      <c r="B228" s="541">
        <f t="shared" si="22"/>
        <v>0</v>
      </c>
      <c r="C228" s="235">
        <f t="shared" si="16"/>
        <v>9794.6991521196978</v>
      </c>
      <c r="D228" s="546">
        <f t="shared" si="17"/>
        <v>48628.960931005829</v>
      </c>
      <c r="E228" s="558">
        <f t="shared" si="18"/>
        <v>0</v>
      </c>
      <c r="F228" s="555">
        <f t="shared" si="19"/>
        <v>0</v>
      </c>
      <c r="G228" s="558">
        <f t="shared" si="20"/>
        <v>0</v>
      </c>
      <c r="H228" s="434">
        <f t="shared" si="19"/>
        <v>0</v>
      </c>
    </row>
    <row r="229" spans="1:8">
      <c r="A229" s="151" t="s">
        <v>238</v>
      </c>
      <c r="B229" s="541">
        <f t="shared" si="22"/>
        <v>0</v>
      </c>
      <c r="C229" s="235">
        <f t="shared" si="16"/>
        <v>9794.6991521196978</v>
      </c>
      <c r="D229" s="546">
        <f t="shared" si="17"/>
        <v>48628.960931005829</v>
      </c>
      <c r="E229" s="558">
        <f t="shared" si="18"/>
        <v>0</v>
      </c>
      <c r="F229" s="555">
        <f t="shared" si="19"/>
        <v>0</v>
      </c>
      <c r="G229" s="558">
        <f t="shared" si="20"/>
        <v>0</v>
      </c>
      <c r="H229" s="434">
        <f t="shared" si="19"/>
        <v>0</v>
      </c>
    </row>
    <row r="230" spans="1:8">
      <c r="A230" s="151" t="s">
        <v>239</v>
      </c>
      <c r="B230" s="541">
        <f t="shared" si="22"/>
        <v>0</v>
      </c>
      <c r="C230" s="235">
        <f t="shared" si="16"/>
        <v>9794.6991521196978</v>
      </c>
      <c r="D230" s="546">
        <f t="shared" si="17"/>
        <v>48628.960931005829</v>
      </c>
      <c r="E230" s="558">
        <f t="shared" si="18"/>
        <v>0</v>
      </c>
      <c r="F230" s="555">
        <f t="shared" si="19"/>
        <v>0</v>
      </c>
      <c r="G230" s="558">
        <f t="shared" si="20"/>
        <v>0</v>
      </c>
      <c r="H230" s="434">
        <f t="shared" si="19"/>
        <v>0</v>
      </c>
    </row>
    <row r="231" spans="1:8" ht="14.65" thickBot="1">
      <c r="A231" s="152" t="s">
        <v>86</v>
      </c>
      <c r="B231" s="542">
        <f t="shared" ref="B231" si="23">C141</f>
        <v>12.654378123068181</v>
      </c>
      <c r="C231" s="236">
        <f t="shared" si="16"/>
        <v>9794.6991521196978</v>
      </c>
      <c r="D231" s="547">
        <f t="shared" si="17"/>
        <v>48628.960931005829</v>
      </c>
      <c r="E231" s="558">
        <f t="shared" si="18"/>
        <v>1291.9618996495276</v>
      </c>
      <c r="F231" s="555">
        <f t="shared" si="19"/>
        <v>1.2919618996495275E-3</v>
      </c>
      <c r="G231" s="558">
        <f t="shared" si="20"/>
        <v>260.22308272270215</v>
      </c>
      <c r="H231" s="434">
        <f t="shared" si="19"/>
        <v>2.6022308272270213E-4</v>
      </c>
    </row>
    <row r="232" spans="1:8">
      <c r="A232" s="145"/>
      <c r="B232" s="146"/>
      <c r="C232" s="95"/>
    </row>
    <row r="233" spans="1:8" ht="14.65" thickBot="1">
      <c r="A233" s="79" t="s">
        <v>197</v>
      </c>
    </row>
    <row r="234" spans="1:8" ht="14.65" thickBot="1">
      <c r="A234" s="419"/>
      <c r="B234" s="1028" t="s">
        <v>262</v>
      </c>
      <c r="C234" s="1029"/>
      <c r="D234" s="1031"/>
      <c r="E234" s="1036" t="s">
        <v>263</v>
      </c>
      <c r="F234" s="1037"/>
      <c r="G234" s="1037"/>
      <c r="H234" s="1038"/>
    </row>
    <row r="235" spans="1:8">
      <c r="A235" s="92" t="s">
        <v>93</v>
      </c>
      <c r="B235" s="377" t="s">
        <v>256</v>
      </c>
      <c r="C235" s="491" t="s">
        <v>375</v>
      </c>
      <c r="D235" s="492" t="s">
        <v>286</v>
      </c>
      <c r="E235" s="1039" t="s">
        <v>269</v>
      </c>
      <c r="F235" s="1040"/>
      <c r="G235" s="1022" t="s">
        <v>258</v>
      </c>
      <c r="H235" s="1023"/>
    </row>
    <row r="236" spans="1:8" ht="14.65" thickBot="1">
      <c r="A236" s="93" t="s">
        <v>18</v>
      </c>
      <c r="B236" s="403" t="s">
        <v>35</v>
      </c>
      <c r="C236" s="154" t="s">
        <v>35</v>
      </c>
      <c r="D236" s="155" t="s">
        <v>35</v>
      </c>
      <c r="E236" s="153" t="s">
        <v>257</v>
      </c>
      <c r="F236" s="423" t="s">
        <v>237</v>
      </c>
      <c r="G236" s="403" t="s">
        <v>71</v>
      </c>
      <c r="H236" s="155" t="s">
        <v>237</v>
      </c>
    </row>
    <row r="237" spans="1:8">
      <c r="A237" s="222" t="s">
        <v>72</v>
      </c>
      <c r="B237" s="540">
        <f>D121</f>
        <v>762.04750851022629</v>
      </c>
      <c r="C237" s="428">
        <f>$C$188</f>
        <v>26229.300847880302</v>
      </c>
      <c r="D237" s="382">
        <f>$C$186</f>
        <v>41241.039068994185</v>
      </c>
      <c r="E237" s="551">
        <f>B237/C237*1000000</f>
        <v>29053.290933288848</v>
      </c>
      <c r="F237" s="554">
        <f>E237/1000000</f>
        <v>2.9053290933288848E-2</v>
      </c>
      <c r="G237" s="557">
        <f>B237/D237*1000000</f>
        <v>18477.893033571705</v>
      </c>
      <c r="H237" s="433">
        <f>G237/1000000</f>
        <v>1.8477893033571707E-2</v>
      </c>
    </row>
    <row r="238" spans="1:8">
      <c r="A238" s="149" t="s">
        <v>73</v>
      </c>
      <c r="B238" s="541">
        <f>D122</f>
        <v>0.2047449314691282</v>
      </c>
      <c r="C238" s="235">
        <f t="shared" ref="C238:C257" si="24">$C$188</f>
        <v>26229.300847880302</v>
      </c>
      <c r="D238" s="82">
        <f t="shared" ref="D238:D257" si="25">$C$186</f>
        <v>41241.039068994185</v>
      </c>
      <c r="E238" s="552">
        <f t="shared" ref="E238:E257" si="26">B238/C238*1000000</f>
        <v>7.8059622197544964</v>
      </c>
      <c r="F238" s="555">
        <f t="shared" ref="F238:H257" si="27">E238/1000000</f>
        <v>7.805962219754496E-6</v>
      </c>
      <c r="G238" s="558">
        <f t="shared" ref="G238:G257" si="28">B238/D238*1000000</f>
        <v>4.9645919717638591</v>
      </c>
      <c r="H238" s="434">
        <f t="shared" si="27"/>
        <v>4.964591971763859E-6</v>
      </c>
    </row>
    <row r="239" spans="1:8">
      <c r="A239" s="149" t="s">
        <v>74</v>
      </c>
      <c r="B239" s="541">
        <f t="shared" ref="B239:B246" si="29">D123</f>
        <v>2053.7758948635801</v>
      </c>
      <c r="C239" s="235">
        <f t="shared" si="24"/>
        <v>26229.300847880302</v>
      </c>
      <c r="D239" s="82">
        <f t="shared" si="25"/>
        <v>41241.039068994185</v>
      </c>
      <c r="E239" s="552">
        <f t="shared" si="26"/>
        <v>78300.824973363866</v>
      </c>
      <c r="F239" s="555">
        <f t="shared" si="27"/>
        <v>7.8300824973363867E-2</v>
      </c>
      <c r="G239" s="558">
        <f t="shared" si="28"/>
        <v>49799.324683059422</v>
      </c>
      <c r="H239" s="434">
        <f t="shared" si="27"/>
        <v>4.9799324683059421E-2</v>
      </c>
    </row>
    <row r="240" spans="1:8">
      <c r="A240" s="149" t="s">
        <v>75</v>
      </c>
      <c r="B240" s="541">
        <f>B124*0.44</f>
        <v>2.4640000000000002E-2</v>
      </c>
      <c r="C240" s="235">
        <f t="shared" si="24"/>
        <v>26229.300847880302</v>
      </c>
      <c r="D240" s="82">
        <f t="shared" si="25"/>
        <v>41241.039068994185</v>
      </c>
      <c r="E240" s="552">
        <f t="shared" si="26"/>
        <v>0.93940742617969031</v>
      </c>
      <c r="F240" s="555">
        <f t="shared" si="27"/>
        <v>9.3940742617969031E-7</v>
      </c>
      <c r="G240" s="558">
        <f t="shared" si="28"/>
        <v>0.59746312305028304</v>
      </c>
      <c r="H240" s="434">
        <f t="shared" si="27"/>
        <v>5.97463123050283E-7</v>
      </c>
    </row>
    <row r="241" spans="1:8">
      <c r="A241" s="149" t="s">
        <v>76</v>
      </c>
      <c r="B241" s="541">
        <f t="shared" si="29"/>
        <v>1.6834749475445372</v>
      </c>
      <c r="C241" s="235">
        <f t="shared" si="24"/>
        <v>26229.300847880302</v>
      </c>
      <c r="D241" s="82">
        <f t="shared" si="25"/>
        <v>41241.039068994185</v>
      </c>
      <c r="E241" s="552">
        <f t="shared" si="26"/>
        <v>64.182989752873482</v>
      </c>
      <c r="F241" s="555">
        <f t="shared" si="27"/>
        <v>6.418298975287348E-5</v>
      </c>
      <c r="G241" s="558">
        <f t="shared" si="28"/>
        <v>40.820381482827536</v>
      </c>
      <c r="H241" s="434">
        <f t="shared" si="27"/>
        <v>4.0820381482827538E-5</v>
      </c>
    </row>
    <row r="242" spans="1:8">
      <c r="A242" s="150" t="s">
        <v>77</v>
      </c>
      <c r="B242" s="541">
        <f t="shared" si="29"/>
        <v>13.297001616498104</v>
      </c>
      <c r="C242" s="235">
        <f t="shared" si="24"/>
        <v>26229.300847880302</v>
      </c>
      <c r="D242" s="82">
        <f t="shared" si="25"/>
        <v>41241.039068994185</v>
      </c>
      <c r="E242" s="552">
        <f t="shared" si="26"/>
        <v>506.95219417458048</v>
      </c>
      <c r="F242" s="555">
        <f t="shared" si="27"/>
        <v>5.0695219417458046E-4</v>
      </c>
      <c r="G242" s="558">
        <f t="shared" si="28"/>
        <v>322.42159549503322</v>
      </c>
      <c r="H242" s="434">
        <f t="shared" si="27"/>
        <v>3.224215954950332E-4</v>
      </c>
    </row>
    <row r="243" spans="1:8">
      <c r="A243" s="150" t="s">
        <v>78</v>
      </c>
      <c r="B243" s="541">
        <f t="shared" si="29"/>
        <v>965.82541860155675</v>
      </c>
      <c r="C243" s="235">
        <f t="shared" si="24"/>
        <v>26229.300847880302</v>
      </c>
      <c r="D243" s="82">
        <f t="shared" si="25"/>
        <v>41241.039068994185</v>
      </c>
      <c r="E243" s="552">
        <f t="shared" si="26"/>
        <v>36822.385171566973</v>
      </c>
      <c r="F243" s="555">
        <f t="shared" si="27"/>
        <v>3.6822385171566975E-2</v>
      </c>
      <c r="G243" s="558">
        <f t="shared" si="28"/>
        <v>23419.036969116598</v>
      </c>
      <c r="H243" s="434">
        <f t="shared" si="27"/>
        <v>2.3419036969116597E-2</v>
      </c>
    </row>
    <row r="244" spans="1:8">
      <c r="A244" s="150" t="s">
        <v>79</v>
      </c>
      <c r="B244" s="541">
        <f t="shared" si="29"/>
        <v>106.79865328247388</v>
      </c>
      <c r="C244" s="235">
        <f t="shared" si="24"/>
        <v>26229.300847880302</v>
      </c>
      <c r="D244" s="82">
        <f t="shared" si="25"/>
        <v>41241.039068994185</v>
      </c>
      <c r="E244" s="552">
        <f t="shared" si="26"/>
        <v>4071.7308441374153</v>
      </c>
      <c r="F244" s="555">
        <f t="shared" si="27"/>
        <v>4.0717308441374153E-3</v>
      </c>
      <c r="G244" s="558">
        <f t="shared" si="28"/>
        <v>2589.6208168713961</v>
      </c>
      <c r="H244" s="434">
        <f t="shared" si="27"/>
        <v>2.589620816871396E-3</v>
      </c>
    </row>
    <row r="245" spans="1:8">
      <c r="A245" s="150" t="s">
        <v>80</v>
      </c>
      <c r="B245" s="541">
        <f t="shared" si="29"/>
        <v>138.66477263549814</v>
      </c>
      <c r="C245" s="235">
        <f t="shared" si="24"/>
        <v>26229.300847880302</v>
      </c>
      <c r="D245" s="82">
        <f t="shared" si="25"/>
        <v>41241.039068994185</v>
      </c>
      <c r="E245" s="552">
        <f t="shared" si="26"/>
        <v>5286.6362485107647</v>
      </c>
      <c r="F245" s="555">
        <f t="shared" si="27"/>
        <v>5.2866362485107649E-3</v>
      </c>
      <c r="G245" s="558">
        <f t="shared" si="28"/>
        <v>3362.3006540528463</v>
      </c>
      <c r="H245" s="434">
        <f t="shared" si="27"/>
        <v>3.3623006540528461E-3</v>
      </c>
    </row>
    <row r="246" spans="1:8">
      <c r="A246" s="150" t="s">
        <v>81</v>
      </c>
      <c r="B246" s="541">
        <f t="shared" si="29"/>
        <v>74.403408544105773</v>
      </c>
      <c r="C246" s="235">
        <f t="shared" si="24"/>
        <v>26229.300847880302</v>
      </c>
      <c r="D246" s="82">
        <f t="shared" si="25"/>
        <v>41241.039068994185</v>
      </c>
      <c r="E246" s="552">
        <f t="shared" si="26"/>
        <v>2836.6523749762327</v>
      </c>
      <c r="F246" s="555">
        <f t="shared" si="27"/>
        <v>2.8366523749762326E-3</v>
      </c>
      <c r="G246" s="558">
        <f t="shared" si="28"/>
        <v>1804.110910484884</v>
      </c>
      <c r="H246" s="434">
        <f t="shared" si="27"/>
        <v>1.8041109104848839E-3</v>
      </c>
    </row>
    <row r="247" spans="1:8">
      <c r="A247" s="150" t="s">
        <v>82</v>
      </c>
      <c r="B247" s="541">
        <f>D131</f>
        <v>1.2699462082631956</v>
      </c>
      <c r="C247" s="235">
        <f t="shared" si="24"/>
        <v>26229.300847880302</v>
      </c>
      <c r="D247" s="82">
        <f t="shared" si="25"/>
        <v>41241.039068994185</v>
      </c>
      <c r="E247" s="552">
        <f t="shared" si="26"/>
        <v>48.417081935518887</v>
      </c>
      <c r="F247" s="555">
        <f t="shared" si="27"/>
        <v>4.841708193551889E-5</v>
      </c>
      <c r="G247" s="558">
        <f t="shared" si="28"/>
        <v>30.793264110990009</v>
      </c>
      <c r="H247" s="434">
        <f t="shared" si="27"/>
        <v>3.079326411099001E-5</v>
      </c>
    </row>
    <row r="248" spans="1:8">
      <c r="A248" s="150" t="s">
        <v>213</v>
      </c>
      <c r="B248" s="541">
        <f>B132*0.44</f>
        <v>691.40940000000012</v>
      </c>
      <c r="C248" s="235">
        <f t="shared" si="24"/>
        <v>26229.300847880302</v>
      </c>
      <c r="D248" s="82">
        <f t="shared" si="25"/>
        <v>41241.039068994185</v>
      </c>
      <c r="E248" s="552">
        <f t="shared" si="26"/>
        <v>26360.191756917371</v>
      </c>
      <c r="F248" s="555">
        <f t="shared" si="27"/>
        <v>2.6360191756917371E-2</v>
      </c>
      <c r="G248" s="558">
        <f t="shared" si="28"/>
        <v>16765.081957399449</v>
      </c>
      <c r="H248" s="434">
        <f t="shared" si="27"/>
        <v>1.6765081957399449E-2</v>
      </c>
    </row>
    <row r="249" spans="1:8">
      <c r="A249" s="151" t="s">
        <v>96</v>
      </c>
      <c r="B249" s="541">
        <f>B133*0.44</f>
        <v>1988.6563265306122</v>
      </c>
      <c r="C249" s="235">
        <f t="shared" si="24"/>
        <v>26229.300847880302</v>
      </c>
      <c r="D249" s="82">
        <f t="shared" si="25"/>
        <v>41241.039068994185</v>
      </c>
      <c r="E249" s="552">
        <f t="shared" si="26"/>
        <v>75818.121804467533</v>
      </c>
      <c r="F249" s="555">
        <f t="shared" si="27"/>
        <v>7.5818121804467536E-2</v>
      </c>
      <c r="G249" s="558">
        <f t="shared" si="28"/>
        <v>48220.325467641349</v>
      </c>
      <c r="H249" s="434">
        <f t="shared" si="27"/>
        <v>4.8220325467641351E-2</v>
      </c>
    </row>
    <row r="250" spans="1:8">
      <c r="A250" s="150" t="s">
        <v>97</v>
      </c>
      <c r="B250" s="541">
        <f>B248+B249</f>
        <v>2680.0657265306122</v>
      </c>
      <c r="C250" s="235">
        <f t="shared" si="24"/>
        <v>26229.300847880302</v>
      </c>
      <c r="D250" s="82">
        <f t="shared" si="25"/>
        <v>41241.039068994185</v>
      </c>
      <c r="E250" s="552">
        <f t="shared" si="26"/>
        <v>102178.31356138489</v>
      </c>
      <c r="F250" s="555">
        <f t="shared" si="27"/>
        <v>0.10217831356138489</v>
      </c>
      <c r="G250" s="558">
        <f t="shared" si="28"/>
        <v>64985.407425040787</v>
      </c>
      <c r="H250" s="434">
        <f t="shared" si="27"/>
        <v>6.4985407425040789E-2</v>
      </c>
    </row>
    <row r="251" spans="1:8">
      <c r="A251" s="151" t="s">
        <v>84</v>
      </c>
      <c r="B251" s="541">
        <f t="shared" ref="B251:B257" si="30">D135</f>
        <v>1.9229638513545189</v>
      </c>
      <c r="C251" s="235">
        <f t="shared" si="24"/>
        <v>26229.300847880302</v>
      </c>
      <c r="D251" s="82">
        <f t="shared" si="25"/>
        <v>41241.039068994185</v>
      </c>
      <c r="E251" s="552">
        <f t="shared" si="26"/>
        <v>73.31357638951026</v>
      </c>
      <c r="F251" s="555">
        <f t="shared" si="27"/>
        <v>7.3313576389510266E-5</v>
      </c>
      <c r="G251" s="558">
        <f t="shared" si="28"/>
        <v>46.62743458372853</v>
      </c>
      <c r="H251" s="434">
        <f t="shared" si="27"/>
        <v>4.6627434583728527E-5</v>
      </c>
    </row>
    <row r="252" spans="1:8">
      <c r="A252" s="151" t="s">
        <v>249</v>
      </c>
      <c r="B252" s="541">
        <f t="shared" si="30"/>
        <v>226.8</v>
      </c>
      <c r="C252" s="235">
        <f t="shared" si="24"/>
        <v>26229.300847880302</v>
      </c>
      <c r="D252" s="82">
        <f t="shared" si="25"/>
        <v>41241.039068994185</v>
      </c>
      <c r="E252" s="552">
        <f t="shared" si="26"/>
        <v>8646.8183546085111</v>
      </c>
      <c r="F252" s="555">
        <f t="shared" si="27"/>
        <v>8.6468183546085115E-3</v>
      </c>
      <c r="G252" s="558">
        <f t="shared" si="28"/>
        <v>5499.3764735310142</v>
      </c>
      <c r="H252" s="434">
        <f t="shared" si="27"/>
        <v>5.4993764735310141E-3</v>
      </c>
    </row>
    <row r="253" spans="1:8">
      <c r="A253" s="151" t="s">
        <v>250</v>
      </c>
      <c r="B253" s="541">
        <f t="shared" si="30"/>
        <v>893.38775510204084</v>
      </c>
      <c r="C253" s="235">
        <f t="shared" si="24"/>
        <v>26229.300847880302</v>
      </c>
      <c r="D253" s="82">
        <f t="shared" si="25"/>
        <v>41241.039068994185</v>
      </c>
      <c r="E253" s="552">
        <f t="shared" si="26"/>
        <v>34060.677418866049</v>
      </c>
      <c r="F253" s="555">
        <f t="shared" si="27"/>
        <v>3.406067741886605E-2</v>
      </c>
      <c r="G253" s="558">
        <f t="shared" si="28"/>
        <v>21662.59083839881</v>
      </c>
      <c r="H253" s="434">
        <f t="shared" si="27"/>
        <v>2.1662590838398811E-2</v>
      </c>
    </row>
    <row r="254" spans="1:8">
      <c r="A254" s="151" t="s">
        <v>251</v>
      </c>
      <c r="B254" s="541">
        <f t="shared" si="30"/>
        <v>1120.1877551020409</v>
      </c>
      <c r="C254" s="235">
        <f t="shared" si="24"/>
        <v>26229.300847880302</v>
      </c>
      <c r="D254" s="82">
        <f t="shared" si="25"/>
        <v>41241.039068994185</v>
      </c>
      <c r="E254" s="552">
        <f t="shared" si="26"/>
        <v>42707.495773474569</v>
      </c>
      <c r="F254" s="555">
        <f t="shared" si="27"/>
        <v>4.2707495773474567E-2</v>
      </c>
      <c r="G254" s="558">
        <f t="shared" si="28"/>
        <v>27161.967311929824</v>
      </c>
      <c r="H254" s="434">
        <f t="shared" si="27"/>
        <v>2.7161967311929824E-2</v>
      </c>
    </row>
    <row r="255" spans="1:8">
      <c r="A255" s="151" t="s">
        <v>238</v>
      </c>
      <c r="B255" s="541">
        <f t="shared" si="30"/>
        <v>3360.563265306123</v>
      </c>
      <c r="C255" s="235">
        <f t="shared" si="24"/>
        <v>26229.300847880302</v>
      </c>
      <c r="D255" s="82">
        <f t="shared" si="25"/>
        <v>41241.039068994185</v>
      </c>
      <c r="E255" s="552">
        <f t="shared" si="26"/>
        <v>128122.48732042372</v>
      </c>
      <c r="F255" s="555">
        <f t="shared" si="27"/>
        <v>0.12812248732042372</v>
      </c>
      <c r="G255" s="558">
        <f t="shared" si="28"/>
        <v>81485.901935789487</v>
      </c>
      <c r="H255" s="434">
        <f t="shared" si="27"/>
        <v>8.1485901935789487E-2</v>
      </c>
    </row>
    <row r="256" spans="1:8">
      <c r="A256" s="151" t="s">
        <v>239</v>
      </c>
      <c r="B256" s="541">
        <f t="shared" si="30"/>
        <v>4760.7979591836738</v>
      </c>
      <c r="C256" s="235">
        <f t="shared" si="24"/>
        <v>26229.300847880302</v>
      </c>
      <c r="D256" s="82">
        <f t="shared" si="25"/>
        <v>41241.039068994185</v>
      </c>
      <c r="E256" s="552">
        <f t="shared" si="26"/>
        <v>181506.85703726689</v>
      </c>
      <c r="F256" s="555">
        <f t="shared" si="27"/>
        <v>0.18150685703726688</v>
      </c>
      <c r="G256" s="558">
        <f t="shared" si="28"/>
        <v>115438.36107570176</v>
      </c>
      <c r="H256" s="434">
        <f t="shared" si="27"/>
        <v>0.11543836107570175</v>
      </c>
    </row>
    <row r="257" spans="1:8" ht="14.65" thickBot="1">
      <c r="A257" s="152" t="s">
        <v>86</v>
      </c>
      <c r="B257" s="542">
        <f t="shared" si="30"/>
        <v>36.581621876931827</v>
      </c>
      <c r="C257" s="236">
        <f t="shared" si="24"/>
        <v>26229.300847880302</v>
      </c>
      <c r="D257" s="237">
        <f t="shared" si="25"/>
        <v>41241.039068994185</v>
      </c>
      <c r="E257" s="553">
        <f t="shared" si="26"/>
        <v>1394.6853592892521</v>
      </c>
      <c r="F257" s="556">
        <f t="shared" si="27"/>
        <v>1.3946853592892521E-3</v>
      </c>
      <c r="G257" s="559">
        <f t="shared" si="28"/>
        <v>887.01988850796442</v>
      </c>
      <c r="H257" s="439">
        <f t="shared" si="27"/>
        <v>8.8701988850796443E-4</v>
      </c>
    </row>
    <row r="258" spans="1:8">
      <c r="A258" s="145"/>
      <c r="B258" s="146"/>
      <c r="C258" s="95"/>
    </row>
    <row r="259" spans="1:8">
      <c r="A259" s="1" t="s">
        <v>199</v>
      </c>
      <c r="B259" s="1"/>
      <c r="C259" s="1"/>
    </row>
    <row r="260" spans="1:8" ht="14.65" thickBot="1">
      <c r="A260" s="79" t="s">
        <v>360</v>
      </c>
      <c r="B260" s="79"/>
      <c r="C260" s="79"/>
    </row>
    <row r="261" spans="1:8">
      <c r="A261" s="570" t="s">
        <v>334</v>
      </c>
      <c r="B261" s="569">
        <v>0.05</v>
      </c>
      <c r="C261" s="202" t="s">
        <v>101</v>
      </c>
    </row>
    <row r="262" spans="1:8">
      <c r="A262" s="571" t="s">
        <v>378</v>
      </c>
      <c r="B262" s="494">
        <v>1.86</v>
      </c>
      <c r="C262" s="72" t="s">
        <v>103</v>
      </c>
    </row>
    <row r="263" spans="1:8">
      <c r="A263" s="571" t="s">
        <v>379</v>
      </c>
      <c r="B263" s="494">
        <v>0.997</v>
      </c>
      <c r="C263" s="72" t="s">
        <v>103</v>
      </c>
    </row>
    <row r="264" spans="1:8">
      <c r="A264" s="571" t="s">
        <v>380</v>
      </c>
      <c r="B264" s="494">
        <v>1.0206786471090072</v>
      </c>
      <c r="C264" s="72" t="s">
        <v>103</v>
      </c>
    </row>
    <row r="265" spans="1:8" ht="14.65" thickBot="1">
      <c r="A265" s="572" t="s">
        <v>334</v>
      </c>
      <c r="B265" s="495">
        <v>0.02</v>
      </c>
      <c r="C265" s="76" t="s">
        <v>25</v>
      </c>
    </row>
    <row r="267" spans="1:8" ht="14.65" thickBot="1">
      <c r="A267" s="79" t="s">
        <v>271</v>
      </c>
    </row>
    <row r="268" spans="1:8" ht="14.65" thickBot="1">
      <c r="A268" s="103" t="s">
        <v>53</v>
      </c>
      <c r="B268" s="102" t="s">
        <v>18</v>
      </c>
      <c r="C268" s="17" t="s">
        <v>106</v>
      </c>
    </row>
    <row r="269" spans="1:8">
      <c r="A269" s="92" t="s">
        <v>387</v>
      </c>
      <c r="B269" s="270" t="s">
        <v>35</v>
      </c>
      <c r="C269" s="383">
        <f>$C$184</f>
        <v>48628.960931005829</v>
      </c>
    </row>
    <row r="270" spans="1:8">
      <c r="A270" s="392" t="s">
        <v>394</v>
      </c>
      <c r="B270" s="278" t="s">
        <v>108</v>
      </c>
      <c r="C270" s="450">
        <v>1.3</v>
      </c>
    </row>
    <row r="271" spans="1:8">
      <c r="A271" s="257" t="s">
        <v>395</v>
      </c>
      <c r="B271" s="278" t="s">
        <v>110</v>
      </c>
      <c r="C271" s="279">
        <f>C269/C270</f>
        <v>37406.893023850636</v>
      </c>
    </row>
    <row r="272" spans="1:8">
      <c r="A272" s="281" t="s">
        <v>334</v>
      </c>
      <c r="B272" s="305" t="s">
        <v>25</v>
      </c>
      <c r="C272" s="306">
        <f>$B$265</f>
        <v>0.02</v>
      </c>
    </row>
    <row r="273" spans="1:3">
      <c r="A273" s="281" t="s">
        <v>383</v>
      </c>
      <c r="B273" s="278" t="s">
        <v>110</v>
      </c>
      <c r="C273" s="289">
        <f>C271*C272</f>
        <v>748.13786047701274</v>
      </c>
    </row>
    <row r="274" spans="1:3">
      <c r="A274" s="281" t="s">
        <v>384</v>
      </c>
      <c r="B274" s="278" t="s">
        <v>108</v>
      </c>
      <c r="C274" s="307">
        <f>B264</f>
        <v>1.0206786471090072</v>
      </c>
    </row>
    <row r="275" spans="1:3" ht="14.65" thickBot="1">
      <c r="A275" s="255" t="s">
        <v>334</v>
      </c>
      <c r="B275" s="271" t="s">
        <v>35</v>
      </c>
      <c r="C275" s="280">
        <f>C273*C274</f>
        <v>763.60833928270461</v>
      </c>
    </row>
    <row r="276" spans="1:3" hidden="1">
      <c r="A276" s="79"/>
      <c r="B276" s="79"/>
      <c r="C276" s="79"/>
    </row>
    <row r="277" spans="1:3" hidden="1">
      <c r="A277" s="79" t="s">
        <v>47</v>
      </c>
      <c r="B277" s="79"/>
      <c r="C277" s="79"/>
    </row>
    <row r="278" spans="1:3" ht="14.65" hidden="1" thickBot="1">
      <c r="A278" s="103" t="s">
        <v>53</v>
      </c>
      <c r="B278" s="102" t="s">
        <v>18</v>
      </c>
      <c r="C278" s="17" t="s">
        <v>106</v>
      </c>
    </row>
    <row r="279" spans="1:3" hidden="1">
      <c r="A279" s="272" t="s">
        <v>202</v>
      </c>
      <c r="B279" s="278" t="s">
        <v>35</v>
      </c>
      <c r="C279" s="279">
        <f>$C$198</f>
        <v>9794.6991521196978</v>
      </c>
    </row>
    <row r="280" spans="1:3" hidden="1">
      <c r="A280" s="257" t="s">
        <v>115</v>
      </c>
      <c r="B280" s="278" t="s">
        <v>24</v>
      </c>
      <c r="C280" s="312">
        <v>0.05</v>
      </c>
    </row>
    <row r="281" spans="1:3" hidden="1">
      <c r="A281" s="257" t="s">
        <v>113</v>
      </c>
      <c r="B281" s="278" t="s">
        <v>35</v>
      </c>
      <c r="C281" s="295">
        <f>$C$275</f>
        <v>763.60833928270461</v>
      </c>
    </row>
    <row r="282" spans="1:3" hidden="1">
      <c r="A282" s="257" t="s">
        <v>116</v>
      </c>
      <c r="B282" s="278" t="s">
        <v>35</v>
      </c>
      <c r="C282" s="295">
        <f>C281*C280</f>
        <v>38.180416964135233</v>
      </c>
    </row>
    <row r="283" spans="1:3" hidden="1">
      <c r="A283" s="257" t="s">
        <v>430</v>
      </c>
      <c r="B283" s="278" t="s">
        <v>35</v>
      </c>
      <c r="C283" s="279">
        <f>C279+C282</f>
        <v>9832.8795690838324</v>
      </c>
    </row>
    <row r="284" spans="1:3" hidden="1">
      <c r="A284" s="257" t="s">
        <v>114</v>
      </c>
      <c r="B284" s="278" t="s">
        <v>35</v>
      </c>
      <c r="C284" s="279">
        <f>$C$269+$C$275</f>
        <v>49392.569270288535</v>
      </c>
    </row>
    <row r="285" spans="1:3" hidden="1">
      <c r="A285" s="299" t="s">
        <v>64</v>
      </c>
      <c r="B285" s="260" t="s">
        <v>24</v>
      </c>
      <c r="C285" s="300">
        <f>C283/C284</f>
        <v>0.19907609007492297</v>
      </c>
    </row>
    <row r="286" spans="1:3" hidden="1">
      <c r="A286" s="257" t="s">
        <v>134</v>
      </c>
      <c r="B286" s="278" t="s">
        <v>35</v>
      </c>
      <c r="C286" s="279">
        <f>$C$203</f>
        <v>38834.261778886117</v>
      </c>
    </row>
    <row r="287" spans="1:3" hidden="1">
      <c r="A287" s="257" t="s">
        <v>117</v>
      </c>
      <c r="B287" s="278" t="s">
        <v>24</v>
      </c>
      <c r="C287" s="312">
        <f>1-C280</f>
        <v>0.95</v>
      </c>
    </row>
    <row r="288" spans="1:3" hidden="1">
      <c r="A288" s="257" t="s">
        <v>113</v>
      </c>
      <c r="B288" s="278" t="s">
        <v>35</v>
      </c>
      <c r="C288" s="295">
        <f>$C$275</f>
        <v>763.60833928270461</v>
      </c>
    </row>
    <row r="289" spans="1:3" hidden="1">
      <c r="A289" s="257" t="s">
        <v>118</v>
      </c>
      <c r="B289" s="278" t="s">
        <v>35</v>
      </c>
      <c r="C289" s="279">
        <f>C287*C288</f>
        <v>725.42792231856936</v>
      </c>
    </row>
    <row r="290" spans="1:3" hidden="1">
      <c r="A290" s="257" t="s">
        <v>65</v>
      </c>
      <c r="B290" s="278" t="s">
        <v>35</v>
      </c>
      <c r="C290" s="279">
        <f>C286+C289</f>
        <v>39559.689701204683</v>
      </c>
    </row>
    <row r="291" spans="1:3" hidden="1">
      <c r="A291" s="257" t="s">
        <v>114</v>
      </c>
      <c r="B291" s="278" t="s">
        <v>35</v>
      </c>
      <c r="C291" s="279">
        <f>$C$269+$C$275</f>
        <v>49392.569270288535</v>
      </c>
    </row>
    <row r="292" spans="1:3" ht="14.65" hidden="1" thickBot="1">
      <c r="A292" s="301" t="s">
        <v>66</v>
      </c>
      <c r="B292" s="277" t="s">
        <v>24</v>
      </c>
      <c r="C292" s="303">
        <f>C290/C291</f>
        <v>0.80092390992507667</v>
      </c>
    </row>
    <row r="293" spans="1:3">
      <c r="A293" s="83"/>
      <c r="B293" s="77"/>
      <c r="C293" s="96"/>
    </row>
    <row r="294" spans="1:3" ht="14.65" thickBot="1">
      <c r="A294" s="79" t="s">
        <v>373</v>
      </c>
    </row>
    <row r="295" spans="1:3" ht="14.65" thickBot="1">
      <c r="A295" s="605" t="s">
        <v>23</v>
      </c>
      <c r="B295" s="1057">
        <v>1.8</v>
      </c>
      <c r="C295" s="1058"/>
    </row>
    <row r="296" spans="1:3" ht="14.65" thickBot="1">
      <c r="A296" s="2"/>
      <c r="B296" s="1059" t="s">
        <v>120</v>
      </c>
      <c r="C296" s="1060"/>
    </row>
    <row r="297" spans="1:3">
      <c r="A297" s="703" t="s">
        <v>77</v>
      </c>
      <c r="B297" s="273" t="s">
        <v>157</v>
      </c>
      <c r="C297" s="285">
        <v>0.99</v>
      </c>
    </row>
    <row r="298" spans="1:3">
      <c r="A298" s="232" t="s">
        <v>73</v>
      </c>
      <c r="B298" s="704" t="s">
        <v>158</v>
      </c>
      <c r="C298" s="705">
        <v>0.9</v>
      </c>
    </row>
    <row r="299" spans="1:3">
      <c r="A299" s="232" t="s">
        <v>86</v>
      </c>
      <c r="B299" s="704" t="s">
        <v>159</v>
      </c>
      <c r="C299" s="705">
        <v>0.95</v>
      </c>
    </row>
    <row r="300" spans="1:3">
      <c r="A300" s="232" t="s">
        <v>82</v>
      </c>
      <c r="B300" s="704" t="s">
        <v>160</v>
      </c>
      <c r="C300" s="706">
        <v>2.5000000000000001E-2</v>
      </c>
    </row>
    <row r="301" spans="1:3">
      <c r="A301" s="232" t="s">
        <v>72</v>
      </c>
      <c r="B301" s="704" t="s">
        <v>160</v>
      </c>
      <c r="C301" s="706">
        <v>2.5000000000000001E-2</v>
      </c>
    </row>
    <row r="302" spans="1:3">
      <c r="A302" s="232" t="s">
        <v>78</v>
      </c>
      <c r="B302" s="704" t="s">
        <v>160</v>
      </c>
      <c r="C302" s="706">
        <v>2.5000000000000001E-2</v>
      </c>
    </row>
    <row r="303" spans="1:3">
      <c r="A303" s="232" t="s">
        <v>80</v>
      </c>
      <c r="B303" s="704" t="s">
        <v>160</v>
      </c>
      <c r="C303" s="706">
        <v>2.5000000000000001E-2</v>
      </c>
    </row>
    <row r="304" spans="1:3">
      <c r="A304" s="232" t="s">
        <v>83</v>
      </c>
      <c r="B304" s="704" t="s">
        <v>160</v>
      </c>
      <c r="C304" s="706">
        <v>2.5000000000000001E-2</v>
      </c>
    </row>
    <row r="305" spans="1:4">
      <c r="A305" s="232" t="s">
        <v>79</v>
      </c>
      <c r="B305" s="704" t="s">
        <v>160</v>
      </c>
      <c r="C305" s="706">
        <v>2.5000000000000001E-2</v>
      </c>
    </row>
    <row r="306" spans="1:4">
      <c r="A306" s="232" t="s">
        <v>75</v>
      </c>
      <c r="B306" s="704" t="s">
        <v>322</v>
      </c>
      <c r="C306" s="706">
        <v>2.5000000000000001E-2</v>
      </c>
    </row>
    <row r="307" spans="1:4" ht="14.65" thickBot="1">
      <c r="A307" s="233" t="s">
        <v>84</v>
      </c>
      <c r="B307" s="708" t="s">
        <v>323</v>
      </c>
      <c r="C307" s="755">
        <v>2.5000000000000001E-2</v>
      </c>
    </row>
    <row r="308" spans="1:4">
      <c r="A308" s="78"/>
      <c r="B308" s="97"/>
      <c r="C308" s="98"/>
    </row>
    <row r="309" spans="1:4" ht="14.65" thickBot="1">
      <c r="A309" s="79" t="s">
        <v>273</v>
      </c>
    </row>
    <row r="310" spans="1:4">
      <c r="A310" s="18"/>
      <c r="B310" s="266" t="s">
        <v>120</v>
      </c>
      <c r="C310" s="274" t="s">
        <v>243</v>
      </c>
      <c r="D310" s="275" t="s">
        <v>244</v>
      </c>
    </row>
    <row r="311" spans="1:4" ht="14.65" thickBot="1">
      <c r="A311" s="21"/>
      <c r="B311" s="351" t="s">
        <v>237</v>
      </c>
      <c r="C311" s="325" t="s">
        <v>35</v>
      </c>
      <c r="D311" s="326" t="s">
        <v>35</v>
      </c>
    </row>
    <row r="312" spans="1:4">
      <c r="A312" s="172" t="s">
        <v>72</v>
      </c>
      <c r="B312" s="632">
        <f>C301</f>
        <v>2.5000000000000001E-2</v>
      </c>
      <c r="C312" s="378">
        <f>B211</f>
        <v>418.80049148977378</v>
      </c>
      <c r="D312" s="362">
        <f>C312*B312</f>
        <v>10.470012287244344</v>
      </c>
    </row>
    <row r="313" spans="1:4">
      <c r="A313" s="107" t="s">
        <v>73</v>
      </c>
      <c r="B313" s="363">
        <f>C298</f>
        <v>0.9</v>
      </c>
      <c r="C313" s="378">
        <f>B212</f>
        <v>0.20845506853087181</v>
      </c>
      <c r="D313" s="362">
        <f t="shared" ref="D313:D325" si="31">C313*B313</f>
        <v>0.18760956167778464</v>
      </c>
    </row>
    <row r="314" spans="1:4">
      <c r="A314" s="107" t="s">
        <v>75</v>
      </c>
      <c r="B314" s="633">
        <f>C306</f>
        <v>2.5000000000000001E-2</v>
      </c>
      <c r="C314" s="378">
        <f>B214</f>
        <v>3.1360000000000006E-2</v>
      </c>
      <c r="D314" s="362">
        <f t="shared" si="31"/>
        <v>7.8400000000000019E-4</v>
      </c>
    </row>
    <row r="315" spans="1:4">
      <c r="A315" s="108" t="s">
        <v>77</v>
      </c>
      <c r="B315" s="363">
        <f>C297</f>
        <v>0.99</v>
      </c>
      <c r="C315" s="378">
        <f>B216</f>
        <v>4.3749983835018957</v>
      </c>
      <c r="D315" s="362">
        <f t="shared" si="31"/>
        <v>4.3312483996668769</v>
      </c>
    </row>
    <row r="316" spans="1:4">
      <c r="A316" s="108" t="s">
        <v>78</v>
      </c>
      <c r="B316" s="633">
        <f>C302</f>
        <v>2.5000000000000001E-2</v>
      </c>
      <c r="C316" s="378">
        <f>B217</f>
        <v>255.30358139844313</v>
      </c>
      <c r="D316" s="362">
        <f t="shared" si="31"/>
        <v>6.3825895349610784</v>
      </c>
    </row>
    <row r="317" spans="1:4">
      <c r="A317" s="108" t="s">
        <v>79</v>
      </c>
      <c r="B317" s="633">
        <f>C305</f>
        <v>2.5000000000000001E-2</v>
      </c>
      <c r="C317" s="378">
        <f>B218</f>
        <v>60.898046717526142</v>
      </c>
      <c r="D317" s="362">
        <f t="shared" si="31"/>
        <v>1.5224511679381536</v>
      </c>
    </row>
    <row r="318" spans="1:4">
      <c r="A318" s="108" t="s">
        <v>80</v>
      </c>
      <c r="B318" s="633">
        <f>C303</f>
        <v>2.5000000000000001E-2</v>
      </c>
      <c r="C318" s="378">
        <f>B219</f>
        <v>105.07792736450187</v>
      </c>
      <c r="D318" s="362">
        <f t="shared" si="31"/>
        <v>2.626948184112547</v>
      </c>
    </row>
    <row r="319" spans="1:4">
      <c r="A319" s="108" t="s">
        <v>82</v>
      </c>
      <c r="B319" s="633">
        <f>C300</f>
        <v>2.5000000000000001E-2</v>
      </c>
      <c r="C319" s="378">
        <f t="shared" ref="C319" si="32">B221</f>
        <v>0.56325379173680434</v>
      </c>
      <c r="D319" s="362">
        <f t="shared" si="31"/>
        <v>1.408134479342011E-2</v>
      </c>
    </row>
    <row r="320" spans="1:4">
      <c r="A320" s="108" t="s">
        <v>213</v>
      </c>
      <c r="B320" s="633">
        <f>C304</f>
        <v>2.5000000000000001E-2</v>
      </c>
      <c r="C320" s="577">
        <f>B222</f>
        <v>879.97560000000021</v>
      </c>
      <c r="D320" s="362">
        <f t="shared" si="31"/>
        <v>21.999390000000005</v>
      </c>
    </row>
    <row r="321" spans="1:4">
      <c r="A321" s="575" t="s">
        <v>96</v>
      </c>
      <c r="B321" s="633">
        <f>C304</f>
        <v>2.5000000000000001E-2</v>
      </c>
      <c r="C321" s="577">
        <f>B223</f>
        <v>2531.017142857143</v>
      </c>
      <c r="D321" s="362">
        <f t="shared" si="31"/>
        <v>63.275428571428577</v>
      </c>
    </row>
    <row r="322" spans="1:4">
      <c r="A322" s="394" t="s">
        <v>274</v>
      </c>
      <c r="B322" s="662">
        <f>C304</f>
        <v>2.5000000000000001E-2</v>
      </c>
      <c r="C322" s="577">
        <f>C320+C321</f>
        <v>3410.9927428571432</v>
      </c>
      <c r="D322" s="362">
        <f t="shared" si="31"/>
        <v>85.274818571428582</v>
      </c>
    </row>
    <row r="323" spans="1:4">
      <c r="A323" s="394" t="s">
        <v>84</v>
      </c>
      <c r="B323" s="662">
        <f>C307</f>
        <v>2.5000000000000001E-2</v>
      </c>
      <c r="C323" s="577">
        <f>B225</f>
        <v>0.12643614864548119</v>
      </c>
      <c r="D323" s="362">
        <f t="shared" si="31"/>
        <v>3.1609037161370299E-3</v>
      </c>
    </row>
    <row r="324" spans="1:4">
      <c r="A324" s="575" t="s">
        <v>248</v>
      </c>
      <c r="B324" s="574">
        <v>1</v>
      </c>
      <c r="C324" s="577">
        <f>C275*B261*32/78</f>
        <v>15.66376080579907</v>
      </c>
      <c r="D324" s="362">
        <f t="shared" si="31"/>
        <v>15.66376080579907</v>
      </c>
    </row>
    <row r="325" spans="1:4" ht="14.65" thickBot="1">
      <c r="A325" s="109" t="s">
        <v>86</v>
      </c>
      <c r="B325" s="116">
        <f>C299</f>
        <v>0.95</v>
      </c>
      <c r="C325" s="236">
        <f>B231</f>
        <v>12.654378123068181</v>
      </c>
      <c r="D325" s="125">
        <f t="shared" si="31"/>
        <v>12.021659216914772</v>
      </c>
    </row>
    <row r="327" spans="1:4" ht="14.65" thickBot="1">
      <c r="A327" s="79" t="s">
        <v>272</v>
      </c>
      <c r="D327" s="99"/>
    </row>
    <row r="328" spans="1:4" ht="14.65" thickBot="1">
      <c r="A328" s="16" t="s">
        <v>90</v>
      </c>
      <c r="B328" s="101" t="s">
        <v>18</v>
      </c>
      <c r="C328" s="17" t="s">
        <v>91</v>
      </c>
    </row>
    <row r="329" spans="1:4">
      <c r="A329" s="272" t="s">
        <v>9</v>
      </c>
      <c r="B329" s="278" t="s">
        <v>35</v>
      </c>
      <c r="C329" s="279">
        <f>$C$269</f>
        <v>48628.960931005829</v>
      </c>
    </row>
    <row r="330" spans="1:4">
      <c r="A330" s="281" t="s">
        <v>334</v>
      </c>
      <c r="B330" s="278" t="s">
        <v>35</v>
      </c>
      <c r="C330" s="289">
        <f>$C$275</f>
        <v>763.60833928270461</v>
      </c>
    </row>
    <row r="331" spans="1:4" ht="14.65" thickBot="1">
      <c r="A331" s="255" t="s">
        <v>6</v>
      </c>
      <c r="B331" s="271" t="s">
        <v>35</v>
      </c>
      <c r="C331" s="280">
        <f>C329+C330</f>
        <v>49392.569270288535</v>
      </c>
    </row>
    <row r="332" spans="1:4">
      <c r="B332" s="77"/>
      <c r="C332" s="83"/>
    </row>
    <row r="333" spans="1:4" ht="14.65" thickBot="1">
      <c r="A333" s="79" t="s">
        <v>203</v>
      </c>
      <c r="B333" s="79"/>
      <c r="C333" s="79"/>
      <c r="D333" s="99"/>
    </row>
    <row r="334" spans="1:4" ht="14.65" thickBot="1">
      <c r="A334" s="191" t="s">
        <v>90</v>
      </c>
      <c r="B334" s="192" t="s">
        <v>18</v>
      </c>
      <c r="C334" s="193" t="s">
        <v>106</v>
      </c>
      <c r="D334" s="99"/>
    </row>
    <row r="335" spans="1:4">
      <c r="A335" s="272" t="s">
        <v>341</v>
      </c>
      <c r="B335" s="298" t="s">
        <v>35</v>
      </c>
      <c r="C335" s="313">
        <f>$C$198</f>
        <v>9794.6991521196978</v>
      </c>
      <c r="D335" s="99"/>
    </row>
    <row r="336" spans="1:4">
      <c r="A336" s="257" t="s">
        <v>385</v>
      </c>
      <c r="B336" s="278" t="s">
        <v>24</v>
      </c>
      <c r="C336" s="312">
        <v>0.05</v>
      </c>
      <c r="D336" s="99"/>
    </row>
    <row r="337" spans="1:12">
      <c r="A337" s="257" t="s">
        <v>334</v>
      </c>
      <c r="B337" s="278" t="s">
        <v>35</v>
      </c>
      <c r="C337" s="295">
        <f>$C$275</f>
        <v>763.60833928270461</v>
      </c>
      <c r="D337" s="99"/>
    </row>
    <row r="338" spans="1:12">
      <c r="A338" s="257" t="s">
        <v>429</v>
      </c>
      <c r="B338" s="278" t="s">
        <v>35</v>
      </c>
      <c r="C338" s="295">
        <f>C337*C336</f>
        <v>38.180416964135233</v>
      </c>
      <c r="D338" s="99"/>
    </row>
    <row r="339" spans="1:12">
      <c r="A339" s="257" t="s">
        <v>337</v>
      </c>
      <c r="B339" s="278" t="s">
        <v>35</v>
      </c>
      <c r="C339" s="279">
        <f>C335+C338</f>
        <v>9832.8795690838324</v>
      </c>
      <c r="D339" s="99"/>
    </row>
    <row r="340" spans="1:12">
      <c r="A340" s="257" t="s">
        <v>276</v>
      </c>
      <c r="B340" s="278" t="s">
        <v>35</v>
      </c>
      <c r="C340" s="289">
        <f>$C$331</f>
        <v>49392.569270288535</v>
      </c>
      <c r="D340" s="99"/>
    </row>
    <row r="341" spans="1:12">
      <c r="A341" s="299" t="s">
        <v>389</v>
      </c>
      <c r="B341" s="260" t="s">
        <v>24</v>
      </c>
      <c r="C341" s="300">
        <f>C339/C340</f>
        <v>0.19907609007492297</v>
      </c>
      <c r="D341" s="99"/>
    </row>
    <row r="342" spans="1:12">
      <c r="A342" s="257" t="s">
        <v>342</v>
      </c>
      <c r="B342" s="278" t="s">
        <v>35</v>
      </c>
      <c r="C342" s="279">
        <f>$C$203</f>
        <v>38834.261778886117</v>
      </c>
    </row>
    <row r="343" spans="1:12">
      <c r="A343" s="257" t="s">
        <v>386</v>
      </c>
      <c r="B343" s="278" t="s">
        <v>24</v>
      </c>
      <c r="C343" s="312">
        <f>1-C336</f>
        <v>0.95</v>
      </c>
    </row>
    <row r="344" spans="1:12">
      <c r="A344" s="257" t="s">
        <v>334</v>
      </c>
      <c r="B344" s="278" t="s">
        <v>35</v>
      </c>
      <c r="C344" s="295">
        <f>$C$275</f>
        <v>763.60833928270461</v>
      </c>
    </row>
    <row r="345" spans="1:12">
      <c r="A345" s="257" t="s">
        <v>356</v>
      </c>
      <c r="B345" s="278" t="s">
        <v>35</v>
      </c>
      <c r="C345" s="279">
        <f>C343*C344</f>
        <v>725.42792231856936</v>
      </c>
    </row>
    <row r="346" spans="1:12">
      <c r="A346" s="257" t="s">
        <v>335</v>
      </c>
      <c r="B346" s="278" t="s">
        <v>35</v>
      </c>
      <c r="C346" s="279">
        <f>C342+C345</f>
        <v>39559.689701204683</v>
      </c>
    </row>
    <row r="347" spans="1:12">
      <c r="A347" s="257" t="s">
        <v>276</v>
      </c>
      <c r="B347" s="278" t="s">
        <v>35</v>
      </c>
      <c r="C347" s="289">
        <f>$C$331</f>
        <v>49392.569270288535</v>
      </c>
    </row>
    <row r="348" spans="1:12" ht="14.65" thickBot="1">
      <c r="A348" s="366" t="s">
        <v>321</v>
      </c>
      <c r="B348" s="365" t="s">
        <v>24</v>
      </c>
      <c r="C348" s="303">
        <f>C346/C347</f>
        <v>0.80092390992507667</v>
      </c>
    </row>
    <row r="349" spans="1:12">
      <c r="A349" s="83"/>
      <c r="B349" s="77"/>
      <c r="C349" s="96"/>
    </row>
    <row r="350" spans="1:12" ht="14.65" thickBot="1">
      <c r="A350" s="79" t="s">
        <v>124</v>
      </c>
    </row>
    <row r="351" spans="1:12" ht="14.65" thickBot="1">
      <c r="A351" s="419"/>
      <c r="B351" s="1062" t="s">
        <v>262</v>
      </c>
      <c r="C351" s="1063"/>
      <c r="D351" s="1063"/>
      <c r="E351" s="1063"/>
      <c r="F351" s="1064"/>
      <c r="G351" s="1062" t="s">
        <v>263</v>
      </c>
      <c r="H351" s="1063"/>
      <c r="I351" s="1063"/>
      <c r="J351" s="1063"/>
      <c r="K351" s="1063"/>
      <c r="L351" s="1066"/>
    </row>
    <row r="352" spans="1:12">
      <c r="A352" s="452"/>
      <c r="B352" s="1024" t="s">
        <v>275</v>
      </c>
      <c r="C352" s="1041" t="s">
        <v>243</v>
      </c>
      <c r="D352" s="1041" t="s">
        <v>256</v>
      </c>
      <c r="E352" s="1041" t="s">
        <v>337</v>
      </c>
      <c r="F352" s="1083" t="s">
        <v>276</v>
      </c>
      <c r="G352" s="1022" t="s">
        <v>269</v>
      </c>
      <c r="H352" s="1054"/>
      <c r="I352" s="1022" t="s">
        <v>277</v>
      </c>
      <c r="J352" s="1032"/>
      <c r="K352" s="1032"/>
      <c r="L352" s="1023"/>
    </row>
    <row r="353" spans="1:12">
      <c r="A353" s="219" t="s">
        <v>93</v>
      </c>
      <c r="B353" s="1067"/>
      <c r="C353" s="1042"/>
      <c r="D353" s="1042"/>
      <c r="E353" s="1042"/>
      <c r="F353" s="1084"/>
      <c r="G353" s="1033"/>
      <c r="H353" s="1046"/>
      <c r="I353" s="1033" t="s">
        <v>243</v>
      </c>
      <c r="J353" s="1034"/>
      <c r="K353" s="1034" t="s">
        <v>256</v>
      </c>
      <c r="L353" s="1035"/>
    </row>
    <row r="354" spans="1:12" ht="14.65" thickBot="1">
      <c r="A354" s="220" t="s">
        <v>18</v>
      </c>
      <c r="B354" s="403" t="s">
        <v>35</v>
      </c>
      <c r="C354" s="154" t="s">
        <v>35</v>
      </c>
      <c r="D354" s="154" t="s">
        <v>35</v>
      </c>
      <c r="E354" s="154" t="s">
        <v>35</v>
      </c>
      <c r="F354" s="423" t="s">
        <v>35</v>
      </c>
      <c r="G354" s="403" t="s">
        <v>257</v>
      </c>
      <c r="H354" s="423" t="s">
        <v>237</v>
      </c>
      <c r="I354" s="403" t="s">
        <v>70</v>
      </c>
      <c r="J354" s="154" t="s">
        <v>237</v>
      </c>
      <c r="K354" s="154" t="s">
        <v>70</v>
      </c>
      <c r="L354" s="155" t="s">
        <v>237</v>
      </c>
    </row>
    <row r="355" spans="1:12">
      <c r="A355" s="150" t="s">
        <v>72</v>
      </c>
      <c r="B355" s="540">
        <f>B211</f>
        <v>418.80049148977378</v>
      </c>
      <c r="C355" s="428">
        <f>B355-D355</f>
        <v>408.33047920252943</v>
      </c>
      <c r="D355" s="580">
        <f>D312</f>
        <v>10.470012287244344</v>
      </c>
      <c r="E355" s="428">
        <f>$C$339</f>
        <v>9832.8795690838324</v>
      </c>
      <c r="F355" s="382">
        <f>$C$331</f>
        <v>49392.569270288535</v>
      </c>
      <c r="G355" s="551">
        <f>B355/E355*1000000</f>
        <v>42591.845913230791</v>
      </c>
      <c r="H355" s="554">
        <f>G355/1000000</f>
        <v>4.2591845913230793E-2</v>
      </c>
      <c r="I355" s="557">
        <f>C355/F355*1000000</f>
        <v>8267.0426996425831</v>
      </c>
      <c r="J355" s="430">
        <f>I355/1000000</f>
        <v>8.2670426996425839E-3</v>
      </c>
      <c r="K355" s="431">
        <f>D355/F355*1000000</f>
        <v>211.97545383698932</v>
      </c>
      <c r="L355" s="433">
        <f>K355/1000000</f>
        <v>2.1197545383698933E-4</v>
      </c>
    </row>
    <row r="356" spans="1:12">
      <c r="A356" s="149" t="s">
        <v>73</v>
      </c>
      <c r="B356" s="541">
        <f>B212</f>
        <v>0.20845506853087181</v>
      </c>
      <c r="C356" s="235">
        <f t="shared" ref="C356:C371" si="33">B356-D356</f>
        <v>2.084550685308717E-2</v>
      </c>
      <c r="D356" s="579">
        <f>D313</f>
        <v>0.18760956167778464</v>
      </c>
      <c r="E356" s="235">
        <f t="shared" ref="E356:E371" si="34">$C$339</f>
        <v>9832.8795690838324</v>
      </c>
      <c r="F356" s="82">
        <f t="shared" ref="F356:F371" si="35">$C$331</f>
        <v>49392.569270288535</v>
      </c>
      <c r="G356" s="552">
        <f t="shared" ref="G356:G371" si="36">B356/E356*1000000</f>
        <v>21.199798804237197</v>
      </c>
      <c r="H356" s="555">
        <f t="shared" ref="H356:H371" si="37">G356/1000000</f>
        <v>2.1199798804237198E-5</v>
      </c>
      <c r="I356" s="558">
        <f t="shared" ref="I356:I371" si="38">C356/F356*1000000</f>
        <v>0.42203730563225661</v>
      </c>
      <c r="J356" s="425">
        <f t="shared" ref="J356:J371" si="39">I356/1000000</f>
        <v>4.2203730563225663E-7</v>
      </c>
      <c r="K356" s="426">
        <f t="shared" ref="K356:K371" si="40">D356/F356*1000000</f>
        <v>3.7983357506903119</v>
      </c>
      <c r="L356" s="434">
        <f t="shared" ref="L356:L371" si="41">K356/1000000</f>
        <v>3.7983357506903119E-6</v>
      </c>
    </row>
    <row r="357" spans="1:12">
      <c r="A357" s="149" t="s">
        <v>74</v>
      </c>
      <c r="B357" s="541">
        <f t="shared" ref="B357:B365" si="42">B213</f>
        <v>634.39650513641982</v>
      </c>
      <c r="C357" s="235">
        <f t="shared" si="33"/>
        <v>634.39650513641982</v>
      </c>
      <c r="D357" s="579">
        <v>0</v>
      </c>
      <c r="E357" s="235">
        <f t="shared" si="34"/>
        <v>9832.8795690838324</v>
      </c>
      <c r="F357" s="82">
        <f t="shared" si="35"/>
        <v>49392.569270288535</v>
      </c>
      <c r="G357" s="552">
        <f t="shared" si="36"/>
        <v>64517.876038171496</v>
      </c>
      <c r="H357" s="555">
        <f t="shared" si="37"/>
        <v>6.4517876038171496E-2</v>
      </c>
      <c r="I357" s="558">
        <f t="shared" si="38"/>
        <v>12843.966501617742</v>
      </c>
      <c r="J357" s="425">
        <f t="shared" si="39"/>
        <v>1.2843966501617742E-2</v>
      </c>
      <c r="K357" s="426">
        <f t="shared" si="40"/>
        <v>0</v>
      </c>
      <c r="L357" s="434">
        <f t="shared" si="41"/>
        <v>0</v>
      </c>
    </row>
    <row r="358" spans="1:12">
      <c r="A358" s="149" t="s">
        <v>75</v>
      </c>
      <c r="B358" s="541">
        <f t="shared" si="42"/>
        <v>3.1360000000000006E-2</v>
      </c>
      <c r="C358" s="235">
        <f t="shared" si="33"/>
        <v>3.0576000000000006E-2</v>
      </c>
      <c r="D358" s="579">
        <f>D314</f>
        <v>7.8400000000000019E-4</v>
      </c>
      <c r="E358" s="235">
        <f t="shared" si="34"/>
        <v>9832.8795690838324</v>
      </c>
      <c r="F358" s="82">
        <f t="shared" si="35"/>
        <v>49392.569270288535</v>
      </c>
      <c r="G358" s="552">
        <f t="shared" si="36"/>
        <v>3.1892997142567401</v>
      </c>
      <c r="H358" s="555">
        <f t="shared" si="37"/>
        <v>3.1892997142567401E-6</v>
      </c>
      <c r="I358" s="558">
        <f t="shared" si="38"/>
        <v>0.61904048426151836</v>
      </c>
      <c r="J358" s="425">
        <f t="shared" si="39"/>
        <v>6.1904048426151838E-7</v>
      </c>
      <c r="K358" s="426">
        <f t="shared" si="40"/>
        <v>1.5872832929782522E-2</v>
      </c>
      <c r="L358" s="434">
        <f t="shared" si="41"/>
        <v>1.5872832929782523E-8</v>
      </c>
    </row>
    <row r="359" spans="1:12">
      <c r="A359" s="149" t="s">
        <v>76</v>
      </c>
      <c r="B359" s="541">
        <f t="shared" si="42"/>
        <v>0.325825052455463</v>
      </c>
      <c r="C359" s="235">
        <f t="shared" si="33"/>
        <v>0.325825052455463</v>
      </c>
      <c r="D359" s="579">
        <v>0</v>
      </c>
      <c r="E359" s="235">
        <f t="shared" si="34"/>
        <v>9832.8795690838324</v>
      </c>
      <c r="F359" s="82">
        <f t="shared" si="35"/>
        <v>49392.569270288535</v>
      </c>
      <c r="G359" s="552">
        <f t="shared" si="36"/>
        <v>33.136280187943093</v>
      </c>
      <c r="H359" s="555">
        <f t="shared" si="37"/>
        <v>3.3136280187943094E-5</v>
      </c>
      <c r="I359" s="558">
        <f t="shared" si="38"/>
        <v>6.5966410994428442</v>
      </c>
      <c r="J359" s="425">
        <f t="shared" si="39"/>
        <v>6.5966410994428438E-6</v>
      </c>
      <c r="K359" s="426">
        <f t="shared" si="40"/>
        <v>0</v>
      </c>
      <c r="L359" s="434">
        <f t="shared" si="41"/>
        <v>0</v>
      </c>
    </row>
    <row r="360" spans="1:12">
      <c r="A360" s="150" t="s">
        <v>77</v>
      </c>
      <c r="B360" s="541">
        <f t="shared" si="42"/>
        <v>4.3749983835018957</v>
      </c>
      <c r="C360" s="235">
        <f t="shared" si="33"/>
        <v>4.3749983835018824E-2</v>
      </c>
      <c r="D360" s="579">
        <f>D315</f>
        <v>4.3312483996668769</v>
      </c>
      <c r="E360" s="235">
        <f t="shared" si="34"/>
        <v>9832.8795690838324</v>
      </c>
      <c r="F360" s="82">
        <f t="shared" si="35"/>
        <v>49392.569270288535</v>
      </c>
      <c r="G360" s="552">
        <f t="shared" si="36"/>
        <v>444.93562163189716</v>
      </c>
      <c r="H360" s="555">
        <f t="shared" si="37"/>
        <v>4.4493562163189714E-4</v>
      </c>
      <c r="I360" s="558">
        <f t="shared" si="38"/>
        <v>0.88576043889533118</v>
      </c>
      <c r="J360" s="425">
        <f t="shared" si="39"/>
        <v>8.857604388953312E-7</v>
      </c>
      <c r="K360" s="426">
        <f t="shared" si="40"/>
        <v>87.690283450638063</v>
      </c>
      <c r="L360" s="434">
        <f t="shared" si="41"/>
        <v>8.7690283450638065E-5</v>
      </c>
    </row>
    <row r="361" spans="1:12">
      <c r="A361" s="150" t="s">
        <v>78</v>
      </c>
      <c r="B361" s="541">
        <f t="shared" si="42"/>
        <v>255.30358139844313</v>
      </c>
      <c r="C361" s="235">
        <f t="shared" si="33"/>
        <v>248.92099186348204</v>
      </c>
      <c r="D361" s="579">
        <f>D316</f>
        <v>6.3825895349610784</v>
      </c>
      <c r="E361" s="235">
        <f t="shared" si="34"/>
        <v>9832.8795690838324</v>
      </c>
      <c r="F361" s="82">
        <f t="shared" si="35"/>
        <v>49392.569270288535</v>
      </c>
      <c r="G361" s="552">
        <f t="shared" si="36"/>
        <v>25964.274209272222</v>
      </c>
      <c r="H361" s="555">
        <f t="shared" si="37"/>
        <v>2.5964274209272224E-2</v>
      </c>
      <c r="I361" s="558">
        <f t="shared" si="38"/>
        <v>5039.6445364346991</v>
      </c>
      <c r="J361" s="425">
        <f t="shared" si="39"/>
        <v>5.039644536434699E-3</v>
      </c>
      <c r="K361" s="426">
        <f t="shared" si="40"/>
        <v>129.22165478037692</v>
      </c>
      <c r="L361" s="434">
        <f t="shared" si="41"/>
        <v>1.2922165478037692E-4</v>
      </c>
    </row>
    <row r="362" spans="1:12">
      <c r="A362" s="150" t="s">
        <v>79</v>
      </c>
      <c r="B362" s="541">
        <f t="shared" si="42"/>
        <v>60.898046717526142</v>
      </c>
      <c r="C362" s="235">
        <f t="shared" si="33"/>
        <v>59.375595549587992</v>
      </c>
      <c r="D362" s="579">
        <f>D317</f>
        <v>1.5224511679381536</v>
      </c>
      <c r="E362" s="235">
        <f t="shared" si="34"/>
        <v>9832.8795690838324</v>
      </c>
      <c r="F362" s="82">
        <f t="shared" si="35"/>
        <v>49392.569270288535</v>
      </c>
      <c r="G362" s="552">
        <f t="shared" si="36"/>
        <v>6193.3074934630013</v>
      </c>
      <c r="H362" s="555">
        <f t="shared" si="37"/>
        <v>6.1933074934630017E-3</v>
      </c>
      <c r="I362" s="558">
        <f t="shared" si="38"/>
        <v>1202.1159544195773</v>
      </c>
      <c r="J362" s="425">
        <f t="shared" si="39"/>
        <v>1.2021159544195774E-3</v>
      </c>
      <c r="K362" s="426">
        <f t="shared" si="40"/>
        <v>30.823486010758391</v>
      </c>
      <c r="L362" s="434">
        <f t="shared" si="41"/>
        <v>3.0823486010758391E-5</v>
      </c>
    </row>
    <row r="363" spans="1:12">
      <c r="A363" s="150" t="s">
        <v>80</v>
      </c>
      <c r="B363" s="541">
        <f t="shared" si="42"/>
        <v>105.07792736450187</v>
      </c>
      <c r="C363" s="235">
        <f t="shared" si="33"/>
        <v>102.45097918038933</v>
      </c>
      <c r="D363" s="579">
        <f>D318</f>
        <v>2.626948184112547</v>
      </c>
      <c r="E363" s="235">
        <f t="shared" si="34"/>
        <v>9832.8795690838324</v>
      </c>
      <c r="F363" s="82">
        <f t="shared" si="35"/>
        <v>49392.569270288535</v>
      </c>
      <c r="G363" s="552">
        <f t="shared" si="36"/>
        <v>10686.384047139549</v>
      </c>
      <c r="H363" s="555">
        <f t="shared" si="37"/>
        <v>1.0686384047139549E-2</v>
      </c>
      <c r="I363" s="558">
        <f t="shared" si="38"/>
        <v>2074.2184643149831</v>
      </c>
      <c r="J363" s="425">
        <f t="shared" si="39"/>
        <v>2.0742184643149832E-3</v>
      </c>
      <c r="K363" s="426">
        <f t="shared" si="40"/>
        <v>53.185088828589322</v>
      </c>
      <c r="L363" s="434">
        <f t="shared" si="41"/>
        <v>5.318508882858932E-5</v>
      </c>
    </row>
    <row r="364" spans="1:12">
      <c r="A364" s="150" t="s">
        <v>81</v>
      </c>
      <c r="B364" s="541">
        <f t="shared" si="42"/>
        <v>46.219291455894236</v>
      </c>
      <c r="C364" s="235">
        <f t="shared" si="33"/>
        <v>46.219291455894236</v>
      </c>
      <c r="D364" s="579">
        <v>0</v>
      </c>
      <c r="E364" s="235">
        <f t="shared" si="34"/>
        <v>9832.8795690838324</v>
      </c>
      <c r="F364" s="82">
        <f t="shared" si="35"/>
        <v>49392.569270288535</v>
      </c>
      <c r="G364" s="552">
        <f t="shared" si="36"/>
        <v>4700.4838339742491</v>
      </c>
      <c r="H364" s="555">
        <f t="shared" si="37"/>
        <v>4.7004838339742491E-3</v>
      </c>
      <c r="I364" s="558">
        <f t="shared" si="38"/>
        <v>935.75394312797687</v>
      </c>
      <c r="J364" s="425">
        <f t="shared" si="39"/>
        <v>9.3575394312797686E-4</v>
      </c>
      <c r="K364" s="426">
        <f t="shared" si="40"/>
        <v>0</v>
      </c>
      <c r="L364" s="434">
        <f t="shared" si="41"/>
        <v>0</v>
      </c>
    </row>
    <row r="365" spans="1:12">
      <c r="A365" s="150" t="s">
        <v>82</v>
      </c>
      <c r="B365" s="541">
        <f t="shared" si="42"/>
        <v>0.56325379173680434</v>
      </c>
      <c r="C365" s="235">
        <f t="shared" si="33"/>
        <v>0.54917244694338418</v>
      </c>
      <c r="D365" s="579">
        <f t="shared" ref="D365:D371" si="43">D319</f>
        <v>1.408134479342011E-2</v>
      </c>
      <c r="E365" s="235">
        <f t="shared" si="34"/>
        <v>9832.8795690838324</v>
      </c>
      <c r="F365" s="82">
        <f t="shared" si="35"/>
        <v>49392.569270288535</v>
      </c>
      <c r="G365" s="552">
        <f t="shared" si="36"/>
        <v>57.282689956639516</v>
      </c>
      <c r="H365" s="555">
        <f t="shared" si="37"/>
        <v>5.7282689956639515E-5</v>
      </c>
      <c r="I365" s="558">
        <f t="shared" si="38"/>
        <v>11.118523596903307</v>
      </c>
      <c r="J365" s="425">
        <f t="shared" si="39"/>
        <v>1.1118523596903306E-5</v>
      </c>
      <c r="K365" s="426">
        <f t="shared" si="40"/>
        <v>0.28509034863854638</v>
      </c>
      <c r="L365" s="434">
        <f t="shared" si="41"/>
        <v>2.8509034863854639E-7</v>
      </c>
    </row>
    <row r="366" spans="1:12">
      <c r="A366" s="150" t="s">
        <v>213</v>
      </c>
      <c r="B366" s="541">
        <f>B222</f>
        <v>879.97560000000021</v>
      </c>
      <c r="C366" s="235">
        <f t="shared" si="33"/>
        <v>857.97621000000026</v>
      </c>
      <c r="D366" s="579">
        <f t="shared" si="43"/>
        <v>21.999390000000005</v>
      </c>
      <c r="E366" s="235">
        <f t="shared" si="34"/>
        <v>9832.8795690838324</v>
      </c>
      <c r="F366" s="82">
        <f t="shared" si="35"/>
        <v>49392.569270288535</v>
      </c>
      <c r="G366" s="552">
        <f t="shared" si="36"/>
        <v>89493.17377655943</v>
      </c>
      <c r="H366" s="555">
        <f t="shared" si="37"/>
        <v>8.9493173776559423E-2</v>
      </c>
      <c r="I366" s="558">
        <f t="shared" si="38"/>
        <v>17370.552345737251</v>
      </c>
      <c r="J366" s="425">
        <f t="shared" si="39"/>
        <v>1.7370552345737252E-2</v>
      </c>
      <c r="K366" s="426">
        <f t="shared" si="40"/>
        <v>445.39877809582697</v>
      </c>
      <c r="L366" s="434">
        <f t="shared" si="41"/>
        <v>4.4539877809582698E-4</v>
      </c>
    </row>
    <row r="367" spans="1:12">
      <c r="A367" s="150" t="s">
        <v>96</v>
      </c>
      <c r="B367" s="541">
        <f>B223</f>
        <v>2531.017142857143</v>
      </c>
      <c r="C367" s="235">
        <f t="shared" si="33"/>
        <v>2467.7417142857144</v>
      </c>
      <c r="D367" s="579">
        <f t="shared" si="43"/>
        <v>63.275428571428577</v>
      </c>
      <c r="E367" s="235">
        <f t="shared" si="34"/>
        <v>9832.8795690838324</v>
      </c>
      <c r="F367" s="82">
        <f t="shared" si="35"/>
        <v>49392.569270288535</v>
      </c>
      <c r="G367" s="552">
        <f t="shared" si="36"/>
        <v>257403.45186521669</v>
      </c>
      <c r="H367" s="555">
        <f t="shared" si="37"/>
        <v>0.25740345186521668</v>
      </c>
      <c r="I367" s="558">
        <f t="shared" si="38"/>
        <v>49961.800949888078</v>
      </c>
      <c r="J367" s="425">
        <f t="shared" si="39"/>
        <v>4.9961800949888079E-2</v>
      </c>
      <c r="K367" s="426">
        <f t="shared" si="40"/>
        <v>1281.0718192278994</v>
      </c>
      <c r="L367" s="434">
        <f t="shared" si="41"/>
        <v>1.2810718192278994E-3</v>
      </c>
    </row>
    <row r="368" spans="1:12">
      <c r="A368" s="151" t="s">
        <v>274</v>
      </c>
      <c r="B368" s="541">
        <f>B366+B367</f>
        <v>3410.9927428571432</v>
      </c>
      <c r="C368" s="235">
        <f t="shared" si="33"/>
        <v>3325.7179242857146</v>
      </c>
      <c r="D368" s="579">
        <f t="shared" si="43"/>
        <v>85.274818571428582</v>
      </c>
      <c r="E368" s="235">
        <f t="shared" si="34"/>
        <v>9832.8795690838324</v>
      </c>
      <c r="F368" s="82">
        <f t="shared" si="35"/>
        <v>49392.569270288535</v>
      </c>
      <c r="G368" s="552">
        <f t="shared" si="36"/>
        <v>346896.62564177613</v>
      </c>
      <c r="H368" s="555">
        <f t="shared" si="37"/>
        <v>0.34689662564177615</v>
      </c>
      <c r="I368" s="558">
        <f t="shared" si="38"/>
        <v>67332.353295625333</v>
      </c>
      <c r="J368" s="425">
        <f t="shared" si="39"/>
        <v>6.7332353295625327E-2</v>
      </c>
      <c r="K368" s="426">
        <f t="shared" si="40"/>
        <v>1726.4705973237265</v>
      </c>
      <c r="L368" s="434">
        <f t="shared" si="41"/>
        <v>1.7264705973237264E-3</v>
      </c>
    </row>
    <row r="369" spans="1:12">
      <c r="A369" s="151" t="s">
        <v>84</v>
      </c>
      <c r="B369" s="541">
        <f>B225</f>
        <v>0.12643614864548119</v>
      </c>
      <c r="C369" s="235">
        <f t="shared" si="33"/>
        <v>0.12327524492934416</v>
      </c>
      <c r="D369" s="579">
        <f t="shared" si="43"/>
        <v>3.1609037161370299E-3</v>
      </c>
      <c r="E369" s="235">
        <f t="shared" si="34"/>
        <v>9832.8795690838324</v>
      </c>
      <c r="F369" s="82">
        <f t="shared" si="35"/>
        <v>49392.569270288535</v>
      </c>
      <c r="G369" s="552">
        <f t="shared" si="36"/>
        <v>12.858506784016448</v>
      </c>
      <c r="H369" s="555">
        <f t="shared" si="37"/>
        <v>1.2858506784016449E-5</v>
      </c>
      <c r="I369" s="558">
        <f t="shared" si="38"/>
        <v>2.4958257233947698</v>
      </c>
      <c r="J369" s="425">
        <f t="shared" si="39"/>
        <v>2.49582572339477E-6</v>
      </c>
      <c r="K369" s="426">
        <f t="shared" si="40"/>
        <v>6.3995531369096664E-2</v>
      </c>
      <c r="L369" s="434">
        <f t="shared" si="41"/>
        <v>6.3995531369096664E-8</v>
      </c>
    </row>
    <row r="370" spans="1:12">
      <c r="A370" s="151" t="s">
        <v>248</v>
      </c>
      <c r="B370" s="33">
        <f>C275*B261*32/78</f>
        <v>15.66376080579907</v>
      </c>
      <c r="C370" s="235">
        <f t="shared" si="33"/>
        <v>0</v>
      </c>
      <c r="D370" s="579">
        <f t="shared" si="43"/>
        <v>15.66376080579907</v>
      </c>
      <c r="E370" s="235">
        <f t="shared" si="34"/>
        <v>9832.8795690838324</v>
      </c>
      <c r="F370" s="82">
        <f t="shared" si="35"/>
        <v>49392.569270288535</v>
      </c>
      <c r="G370" s="552">
        <f t="shared" si="36"/>
        <v>1592.9983374400795</v>
      </c>
      <c r="H370" s="555">
        <f t="shared" si="37"/>
        <v>1.5929983374400796E-3</v>
      </c>
      <c r="I370" s="558">
        <f t="shared" si="38"/>
        <v>0</v>
      </c>
      <c r="J370" s="425">
        <f t="shared" si="39"/>
        <v>0</v>
      </c>
      <c r="K370" s="426">
        <f t="shared" si="40"/>
        <v>317.1278805134238</v>
      </c>
      <c r="L370" s="434">
        <f t="shared" si="41"/>
        <v>3.1712788051342378E-4</v>
      </c>
    </row>
    <row r="371" spans="1:12" ht="14.65" thickBot="1">
      <c r="A371" s="152" t="s">
        <v>86</v>
      </c>
      <c r="B371" s="542">
        <f>B231</f>
        <v>12.654378123068181</v>
      </c>
      <c r="C371" s="236">
        <f t="shared" si="33"/>
        <v>0.63271890615340887</v>
      </c>
      <c r="D371" s="581">
        <f t="shared" si="43"/>
        <v>12.021659216914772</v>
      </c>
      <c r="E371" s="236">
        <f t="shared" si="34"/>
        <v>9832.8795690838324</v>
      </c>
      <c r="F371" s="237">
        <f t="shared" si="35"/>
        <v>49392.569270288535</v>
      </c>
      <c r="G371" s="553">
        <f t="shared" si="36"/>
        <v>1286.9452975764696</v>
      </c>
      <c r="H371" s="556">
        <f t="shared" si="37"/>
        <v>1.2869452975764696E-3</v>
      </c>
      <c r="I371" s="559">
        <f t="shared" si="38"/>
        <v>12.810001899091587</v>
      </c>
      <c r="J371" s="436">
        <f t="shared" si="39"/>
        <v>1.2810001899091588E-5</v>
      </c>
      <c r="K371" s="437">
        <f t="shared" si="40"/>
        <v>243.39003608274021</v>
      </c>
      <c r="L371" s="439">
        <f t="shared" si="41"/>
        <v>2.4339003608274022E-4</v>
      </c>
    </row>
    <row r="373" spans="1:12">
      <c r="A373" s="1" t="s">
        <v>204</v>
      </c>
      <c r="B373" s="1"/>
      <c r="C373" s="1"/>
    </row>
    <row r="374" spans="1:12" ht="14.65" thickBot="1">
      <c r="A374" s="79" t="s">
        <v>361</v>
      </c>
    </row>
    <row r="375" spans="1:12" ht="14.65" thickBot="1">
      <c r="A375" s="453" t="s">
        <v>26</v>
      </c>
      <c r="B375" s="454" t="s">
        <v>27</v>
      </c>
      <c r="C375" s="455" t="s">
        <v>28</v>
      </c>
    </row>
    <row r="376" spans="1:12" ht="14.65" thickBot="1">
      <c r="A376" s="456">
        <v>0.98599999999999999</v>
      </c>
      <c r="B376" s="457">
        <v>1.4E-2</v>
      </c>
      <c r="C376" s="458">
        <v>0.3</v>
      </c>
    </row>
    <row r="378" spans="1:12" ht="14.65" thickBot="1">
      <c r="A378" s="79" t="s">
        <v>287</v>
      </c>
    </row>
    <row r="379" spans="1:12">
      <c r="A379" s="18" t="s">
        <v>53</v>
      </c>
      <c r="B379" s="104" t="s">
        <v>18</v>
      </c>
      <c r="C379" s="15" t="s">
        <v>106</v>
      </c>
    </row>
    <row r="380" spans="1:12" ht="14.65" thickBot="1">
      <c r="A380" s="93" t="s">
        <v>6</v>
      </c>
      <c r="B380" s="271" t="s">
        <v>35</v>
      </c>
      <c r="C380" s="384">
        <f>$C$331</f>
        <v>49392.569270288535</v>
      </c>
    </row>
    <row r="381" spans="1:12">
      <c r="A381" s="83"/>
      <c r="B381" s="77"/>
      <c r="C381" s="95"/>
    </row>
    <row r="382" spans="1:12" hidden="1">
      <c r="A382" s="79" t="s">
        <v>47</v>
      </c>
      <c r="B382" s="79"/>
      <c r="C382" s="79"/>
    </row>
    <row r="383" spans="1:12" ht="14.65" hidden="1" thickBot="1">
      <c r="A383" s="103" t="s">
        <v>53</v>
      </c>
      <c r="B383" s="102" t="s">
        <v>18</v>
      </c>
      <c r="C383" s="17" t="s">
        <v>106</v>
      </c>
    </row>
    <row r="384" spans="1:12" hidden="1">
      <c r="A384" s="272" t="s">
        <v>202</v>
      </c>
      <c r="B384" s="278" t="s">
        <v>35</v>
      </c>
      <c r="C384" s="279">
        <f>$C$198</f>
        <v>9794.6991521196978</v>
      </c>
    </row>
    <row r="385" spans="1:3" hidden="1">
      <c r="A385" s="257" t="s">
        <v>115</v>
      </c>
      <c r="B385" s="278" t="s">
        <v>24</v>
      </c>
      <c r="C385" s="312">
        <v>0.05</v>
      </c>
    </row>
    <row r="386" spans="1:3" hidden="1">
      <c r="A386" s="257" t="s">
        <v>113</v>
      </c>
      <c r="B386" s="278" t="s">
        <v>35</v>
      </c>
      <c r="C386" s="295">
        <f>$C$275</f>
        <v>763.60833928270461</v>
      </c>
    </row>
    <row r="387" spans="1:3" hidden="1">
      <c r="A387" s="257" t="s">
        <v>116</v>
      </c>
      <c r="B387" s="278" t="s">
        <v>35</v>
      </c>
      <c r="C387" s="295">
        <f>C386*C385</f>
        <v>38.180416964135233</v>
      </c>
    </row>
    <row r="388" spans="1:3" hidden="1">
      <c r="A388" s="257" t="s">
        <v>430</v>
      </c>
      <c r="B388" s="278" t="s">
        <v>35</v>
      </c>
      <c r="C388" s="279">
        <f>C384+C387</f>
        <v>9832.8795690838324</v>
      </c>
    </row>
    <row r="389" spans="1:3" ht="14.65" hidden="1" thickBot="1">
      <c r="A389" s="360" t="s">
        <v>6</v>
      </c>
      <c r="B389" s="320" t="s">
        <v>35</v>
      </c>
      <c r="C389" s="321">
        <f>$C$331</f>
        <v>49392.569270288535</v>
      </c>
    </row>
    <row r="390" spans="1:3" hidden="1">
      <c r="A390" s="299" t="s">
        <v>64</v>
      </c>
      <c r="B390" s="260" t="s">
        <v>24</v>
      </c>
      <c r="C390" s="300">
        <f>C388/C389</f>
        <v>0.19907609007492297</v>
      </c>
    </row>
    <row r="391" spans="1:3" hidden="1">
      <c r="A391" s="257" t="s">
        <v>134</v>
      </c>
      <c r="B391" s="278" t="s">
        <v>35</v>
      </c>
      <c r="C391" s="279">
        <f>$C$203</f>
        <v>38834.261778886117</v>
      </c>
    </row>
    <row r="392" spans="1:3" hidden="1">
      <c r="A392" s="257" t="s">
        <v>117</v>
      </c>
      <c r="B392" s="278" t="s">
        <v>24</v>
      </c>
      <c r="C392" s="312">
        <f>1-C385</f>
        <v>0.95</v>
      </c>
    </row>
    <row r="393" spans="1:3" hidden="1">
      <c r="A393" s="257" t="s">
        <v>113</v>
      </c>
      <c r="B393" s="278" t="s">
        <v>35</v>
      </c>
      <c r="C393" s="295">
        <f>$C$275</f>
        <v>763.60833928270461</v>
      </c>
    </row>
    <row r="394" spans="1:3" hidden="1">
      <c r="A394" s="257" t="s">
        <v>118</v>
      </c>
      <c r="B394" s="278" t="s">
        <v>35</v>
      </c>
      <c r="C394" s="279">
        <f>C392*C393</f>
        <v>725.42792231856936</v>
      </c>
    </row>
    <row r="395" spans="1:3" hidden="1">
      <c r="A395" s="257" t="s">
        <v>65</v>
      </c>
      <c r="B395" s="278" t="s">
        <v>35</v>
      </c>
      <c r="C395" s="279">
        <f>C391+C394</f>
        <v>39559.689701204683</v>
      </c>
    </row>
    <row r="396" spans="1:3" ht="14.65" hidden="1" thickBot="1">
      <c r="A396" s="360" t="s">
        <v>6</v>
      </c>
      <c r="B396" s="320" t="s">
        <v>35</v>
      </c>
      <c r="C396" s="321">
        <f>$C$331</f>
        <v>49392.569270288535</v>
      </c>
    </row>
    <row r="397" spans="1:3" ht="14.65" hidden="1" thickBot="1">
      <c r="A397" s="301" t="s">
        <v>66</v>
      </c>
      <c r="B397" s="277" t="s">
        <v>24</v>
      </c>
      <c r="C397" s="303">
        <f>C395/C396</f>
        <v>0.80092390992507667</v>
      </c>
    </row>
    <row r="398" spans="1:3" hidden="1">
      <c r="A398" s="83"/>
      <c r="B398" s="77"/>
      <c r="C398" s="96"/>
    </row>
    <row r="399" spans="1:3" ht="14.65" thickBot="1">
      <c r="A399" s="79" t="s">
        <v>288</v>
      </c>
    </row>
    <row r="400" spans="1:3" ht="14.65" thickBot="1">
      <c r="A400" s="103" t="s">
        <v>90</v>
      </c>
      <c r="B400" s="102" t="s">
        <v>18</v>
      </c>
      <c r="C400" s="17" t="s">
        <v>91</v>
      </c>
    </row>
    <row r="401" spans="1:3">
      <c r="A401" s="276" t="s">
        <v>276</v>
      </c>
      <c r="B401" s="296" t="s">
        <v>35</v>
      </c>
      <c r="C401" s="286">
        <f>$C$380</f>
        <v>49392.569270288535</v>
      </c>
    </row>
    <row r="402" spans="1:3">
      <c r="A402" s="257" t="s">
        <v>26</v>
      </c>
      <c r="B402" s="278" t="s">
        <v>24</v>
      </c>
      <c r="C402" s="314">
        <f>A376</f>
        <v>0.98599999999999999</v>
      </c>
    </row>
    <row r="403" spans="1:3">
      <c r="A403" s="253" t="s">
        <v>396</v>
      </c>
      <c r="B403" s="270" t="s">
        <v>35</v>
      </c>
      <c r="C403" s="254">
        <f>C401*C402</f>
        <v>48701.073300504497</v>
      </c>
    </row>
    <row r="404" spans="1:3">
      <c r="A404" s="257" t="s">
        <v>27</v>
      </c>
      <c r="B404" s="278" t="s">
        <v>24</v>
      </c>
      <c r="C404" s="314">
        <f>B376</f>
        <v>1.4E-2</v>
      </c>
    </row>
    <row r="405" spans="1:3">
      <c r="A405" s="253" t="s">
        <v>295</v>
      </c>
      <c r="B405" s="270" t="s">
        <v>35</v>
      </c>
      <c r="C405" s="322">
        <f>C401*C404</f>
        <v>691.49596978403952</v>
      </c>
    </row>
    <row r="406" spans="1:3">
      <c r="A406" s="281" t="s">
        <v>355</v>
      </c>
      <c r="B406" s="278" t="s">
        <v>24</v>
      </c>
      <c r="C406" s="318">
        <f>C376</f>
        <v>0.3</v>
      </c>
    </row>
    <row r="407" spans="1:3">
      <c r="A407" s="315" t="s">
        <v>431</v>
      </c>
      <c r="B407" s="270" t="s">
        <v>35</v>
      </c>
      <c r="C407" s="317">
        <f>C405*C406</f>
        <v>207.44879093521186</v>
      </c>
    </row>
    <row r="408" spans="1:3">
      <c r="A408" s="281" t="s">
        <v>371</v>
      </c>
      <c r="B408" s="278" t="s">
        <v>24</v>
      </c>
      <c r="C408" s="318">
        <f>1-C406</f>
        <v>0.7</v>
      </c>
    </row>
    <row r="409" spans="1:3" ht="14.65" thickBot="1">
      <c r="A409" s="345" t="s">
        <v>372</v>
      </c>
      <c r="B409" s="271" t="s">
        <v>35</v>
      </c>
      <c r="C409" s="291">
        <f>C405*C408</f>
        <v>484.04717884882763</v>
      </c>
    </row>
    <row r="410" spans="1:3">
      <c r="A410" s="77"/>
      <c r="B410" s="77"/>
      <c r="C410" s="117"/>
    </row>
    <row r="411" spans="1:3" ht="14.65" thickBot="1">
      <c r="A411" s="79" t="s">
        <v>205</v>
      </c>
      <c r="B411" s="79"/>
      <c r="C411" s="79"/>
    </row>
    <row r="412" spans="1:3">
      <c r="A412" s="3" t="s">
        <v>90</v>
      </c>
      <c r="B412" s="14" t="s">
        <v>18</v>
      </c>
      <c r="C412" s="15" t="s">
        <v>106</v>
      </c>
    </row>
    <row r="413" spans="1:3">
      <c r="A413" s="282" t="s">
        <v>337</v>
      </c>
      <c r="B413" s="288" t="s">
        <v>35</v>
      </c>
      <c r="C413" s="279">
        <f>$C$388</f>
        <v>9832.8795690838324</v>
      </c>
    </row>
    <row r="414" spans="1:3">
      <c r="A414" s="287" t="s">
        <v>431</v>
      </c>
      <c r="B414" s="288" t="s">
        <v>35</v>
      </c>
      <c r="C414" s="289">
        <f>$C$407</f>
        <v>207.44879093521186</v>
      </c>
    </row>
    <row r="415" spans="1:3">
      <c r="A415" s="282" t="s">
        <v>374</v>
      </c>
      <c r="B415" s="288" t="s">
        <v>35</v>
      </c>
      <c r="C415" s="279">
        <f>C413-C414</f>
        <v>9625.4307781486204</v>
      </c>
    </row>
    <row r="416" spans="1:3">
      <c r="A416" s="282" t="s">
        <v>396</v>
      </c>
      <c r="B416" s="288" t="s">
        <v>35</v>
      </c>
      <c r="C416" s="279">
        <f>$C$403</f>
        <v>48701.073300504497</v>
      </c>
    </row>
    <row r="417" spans="1:8">
      <c r="A417" s="310" t="s">
        <v>389</v>
      </c>
      <c r="B417" s="283" t="s">
        <v>24</v>
      </c>
      <c r="C417" s="300">
        <f>C415/C416</f>
        <v>0.19764309338227481</v>
      </c>
    </row>
    <row r="418" spans="1:8">
      <c r="A418" s="282" t="s">
        <v>335</v>
      </c>
      <c r="B418" s="288" t="s">
        <v>35</v>
      </c>
      <c r="C418" s="279">
        <f>C395</f>
        <v>39559.689701204683</v>
      </c>
    </row>
    <row r="419" spans="1:8">
      <c r="A419" s="287" t="s">
        <v>372</v>
      </c>
      <c r="B419" s="288" t="s">
        <v>35</v>
      </c>
      <c r="C419" s="289">
        <f>$C$409</f>
        <v>484.04717884882763</v>
      </c>
    </row>
    <row r="420" spans="1:8">
      <c r="A420" s="282" t="s">
        <v>376</v>
      </c>
      <c r="B420" s="288" t="s">
        <v>35</v>
      </c>
      <c r="C420" s="279">
        <f>C418-C419</f>
        <v>39075.642522355854</v>
      </c>
    </row>
    <row r="421" spans="1:8">
      <c r="A421" s="282" t="s">
        <v>396</v>
      </c>
      <c r="B421" s="288" t="s">
        <v>35</v>
      </c>
      <c r="C421" s="279">
        <f>$C$403</f>
        <v>48701.073300504497</v>
      </c>
    </row>
    <row r="422" spans="1:8" ht="14.65" thickBot="1">
      <c r="A422" s="311" t="s">
        <v>321</v>
      </c>
      <c r="B422" s="284" t="s">
        <v>24</v>
      </c>
      <c r="C422" s="303">
        <f>C420/C421</f>
        <v>0.80235690661772474</v>
      </c>
    </row>
    <row r="423" spans="1:8">
      <c r="A423" s="77"/>
      <c r="B423" s="77"/>
      <c r="C423" s="117"/>
    </row>
    <row r="424" spans="1:8" ht="14.65" thickBot="1">
      <c r="A424" s="79" t="s">
        <v>207</v>
      </c>
    </row>
    <row r="425" spans="1:8" ht="14.65" thickBot="1">
      <c r="A425" s="419"/>
      <c r="B425" s="1028" t="s">
        <v>262</v>
      </c>
      <c r="C425" s="1029"/>
      <c r="D425" s="1031"/>
      <c r="E425" s="1065" t="s">
        <v>263</v>
      </c>
      <c r="F425" s="1061"/>
      <c r="G425" s="1061"/>
      <c r="H425" s="1009"/>
    </row>
    <row r="426" spans="1:8">
      <c r="A426" s="92" t="s">
        <v>93</v>
      </c>
      <c r="B426" s="377" t="s">
        <v>243</v>
      </c>
      <c r="C426" s="491" t="s">
        <v>374</v>
      </c>
      <c r="D426" s="492" t="s">
        <v>293</v>
      </c>
      <c r="E426" s="1039" t="s">
        <v>269</v>
      </c>
      <c r="F426" s="1040"/>
      <c r="G426" s="1022" t="s">
        <v>294</v>
      </c>
      <c r="H426" s="1023"/>
    </row>
    <row r="427" spans="1:8" ht="14.65" thickBot="1">
      <c r="A427" s="93" t="s">
        <v>18</v>
      </c>
      <c r="B427" s="403" t="s">
        <v>35</v>
      </c>
      <c r="C427" s="154" t="s">
        <v>35</v>
      </c>
      <c r="D427" s="155" t="s">
        <v>35</v>
      </c>
      <c r="E427" s="153" t="s">
        <v>257</v>
      </c>
      <c r="F427" s="423" t="s">
        <v>237</v>
      </c>
      <c r="G427" s="403" t="s">
        <v>71</v>
      </c>
      <c r="H427" s="155" t="s">
        <v>237</v>
      </c>
    </row>
    <row r="428" spans="1:8">
      <c r="A428" s="150" t="s">
        <v>72</v>
      </c>
      <c r="B428" s="540">
        <f>C355</f>
        <v>408.33047920252943</v>
      </c>
      <c r="C428" s="428">
        <f>$C$415</f>
        <v>9625.4307781486204</v>
      </c>
      <c r="D428" s="545">
        <f>$C$403</f>
        <v>48701.073300504497</v>
      </c>
      <c r="E428" s="557">
        <f>B428/C428*1000000</f>
        <v>42422.047242759218</v>
      </c>
      <c r="F428" s="554">
        <f>E428/1000000</f>
        <v>4.242204724275922E-2</v>
      </c>
      <c r="G428" s="557">
        <f>B428/D428*1000000</f>
        <v>8384.4246446679354</v>
      </c>
      <c r="H428" s="433">
        <f>G428/1000000</f>
        <v>8.3844246446679351E-3</v>
      </c>
    </row>
    <row r="429" spans="1:8">
      <c r="A429" s="149" t="s">
        <v>73</v>
      </c>
      <c r="B429" s="541">
        <f>C356</f>
        <v>2.084550685308717E-2</v>
      </c>
      <c r="C429" s="235">
        <f t="shared" ref="C429:C444" si="44">$C$415</f>
        <v>9625.4307781486204</v>
      </c>
      <c r="D429" s="546">
        <f t="shared" ref="D429:D444" si="45">$C$403</f>
        <v>48701.073300504497</v>
      </c>
      <c r="E429" s="558">
        <f t="shared" ref="E429:E444" si="46">B429/C429*1000000</f>
        <v>2.1656700186769871</v>
      </c>
      <c r="F429" s="555">
        <f t="shared" ref="F429:F444" si="47">E429/1000000</f>
        <v>2.165670018676987E-6</v>
      </c>
      <c r="G429" s="558">
        <f t="shared" ref="G429:G444" si="48">B429/D429*1000000</f>
        <v>0.42802972173656856</v>
      </c>
      <c r="H429" s="434">
        <f t="shared" ref="H429:H444" si="49">G429/1000000</f>
        <v>4.2802972173656857E-7</v>
      </c>
    </row>
    <row r="430" spans="1:8">
      <c r="A430" s="149" t="s">
        <v>74</v>
      </c>
      <c r="B430" s="541">
        <f t="shared" ref="B430:B433" si="50">C357</f>
        <v>634.39650513641982</v>
      </c>
      <c r="C430" s="235">
        <f t="shared" si="44"/>
        <v>9625.4307781486204</v>
      </c>
      <c r="D430" s="546">
        <f t="shared" si="45"/>
        <v>48701.073300504497</v>
      </c>
      <c r="E430" s="558">
        <f t="shared" si="46"/>
        <v>65908.37540244004</v>
      </c>
      <c r="F430" s="555">
        <f t="shared" si="47"/>
        <v>6.5908375402440045E-2</v>
      </c>
      <c r="G430" s="558">
        <f t="shared" si="48"/>
        <v>13026.335194338481</v>
      </c>
      <c r="H430" s="434">
        <f t="shared" si="49"/>
        <v>1.3026335194338481E-2</v>
      </c>
    </row>
    <row r="431" spans="1:8">
      <c r="A431" s="149" t="s">
        <v>75</v>
      </c>
      <c r="B431" s="541">
        <f t="shared" si="50"/>
        <v>3.0576000000000006E-2</v>
      </c>
      <c r="C431" s="235">
        <f t="shared" si="44"/>
        <v>9625.4307781486204</v>
      </c>
      <c r="D431" s="546">
        <f t="shared" si="45"/>
        <v>48701.073300504497</v>
      </c>
      <c r="E431" s="558">
        <f t="shared" si="46"/>
        <v>3.1765851009403936</v>
      </c>
      <c r="F431" s="555">
        <f t="shared" si="47"/>
        <v>3.1765851009403937E-6</v>
      </c>
      <c r="G431" s="558">
        <f t="shared" si="48"/>
        <v>0.62783010574190501</v>
      </c>
      <c r="H431" s="434">
        <f t="shared" si="49"/>
        <v>6.2783010574190503E-7</v>
      </c>
    </row>
    <row r="432" spans="1:8">
      <c r="A432" s="149" t="s">
        <v>76</v>
      </c>
      <c r="B432" s="541">
        <f t="shared" si="50"/>
        <v>0.325825052455463</v>
      </c>
      <c r="C432" s="235">
        <f t="shared" si="44"/>
        <v>9625.4307781486204</v>
      </c>
      <c r="D432" s="546">
        <f t="shared" si="45"/>
        <v>48701.073300504497</v>
      </c>
      <c r="E432" s="558">
        <f t="shared" si="46"/>
        <v>33.850438485843334</v>
      </c>
      <c r="F432" s="555">
        <f t="shared" si="47"/>
        <v>3.3850438485843334E-5</v>
      </c>
      <c r="G432" s="558">
        <f t="shared" si="48"/>
        <v>6.6903053746884833</v>
      </c>
      <c r="H432" s="434">
        <f t="shared" si="49"/>
        <v>6.6903053746884831E-6</v>
      </c>
    </row>
    <row r="433" spans="1:8">
      <c r="A433" s="150" t="s">
        <v>77</v>
      </c>
      <c r="B433" s="541">
        <f t="shared" si="50"/>
        <v>4.3749983835018824E-2</v>
      </c>
      <c r="C433" s="235">
        <f t="shared" si="44"/>
        <v>9625.4307781486204</v>
      </c>
      <c r="D433" s="546">
        <f t="shared" si="45"/>
        <v>48701.073300504497</v>
      </c>
      <c r="E433" s="558">
        <f t="shared" si="46"/>
        <v>4.5452494380135997</v>
      </c>
      <c r="F433" s="555">
        <f t="shared" si="47"/>
        <v>4.5452494380136001E-6</v>
      </c>
      <c r="G433" s="558">
        <f t="shared" si="48"/>
        <v>0.89833715912305401</v>
      </c>
      <c r="H433" s="434">
        <f t="shared" si="49"/>
        <v>8.9833715912305404E-7</v>
      </c>
    </row>
    <row r="434" spans="1:8">
      <c r="A434" s="150" t="s">
        <v>78</v>
      </c>
      <c r="B434" s="541">
        <f>C361</f>
        <v>248.92099186348204</v>
      </c>
      <c r="C434" s="235">
        <f t="shared" si="44"/>
        <v>9625.4307781486204</v>
      </c>
      <c r="D434" s="546">
        <f t="shared" si="45"/>
        <v>48701.073300504497</v>
      </c>
      <c r="E434" s="558">
        <f t="shared" si="46"/>
        <v>25860.763803795191</v>
      </c>
      <c r="F434" s="555">
        <f t="shared" si="47"/>
        <v>2.5860763803795192E-2</v>
      </c>
      <c r="G434" s="558">
        <f t="shared" si="48"/>
        <v>5111.2013554104451</v>
      </c>
      <c r="H434" s="434">
        <f t="shared" si="49"/>
        <v>5.1112013554104451E-3</v>
      </c>
    </row>
    <row r="435" spans="1:8">
      <c r="A435" s="150" t="s">
        <v>79</v>
      </c>
      <c r="B435" s="541">
        <f>C362</f>
        <v>59.375595549587992</v>
      </c>
      <c r="C435" s="235">
        <f t="shared" si="44"/>
        <v>9625.4307781486204</v>
      </c>
      <c r="D435" s="546">
        <f t="shared" si="45"/>
        <v>48701.073300504497</v>
      </c>
      <c r="E435" s="558">
        <f t="shared" si="46"/>
        <v>6168.6169604357638</v>
      </c>
      <c r="F435" s="555">
        <f t="shared" si="47"/>
        <v>6.1686169604357639E-3</v>
      </c>
      <c r="G435" s="558">
        <f t="shared" si="48"/>
        <v>1219.18453795089</v>
      </c>
      <c r="H435" s="434">
        <f t="shared" si="49"/>
        <v>1.2191845379508899E-3</v>
      </c>
    </row>
    <row r="436" spans="1:8">
      <c r="A436" s="150" t="s">
        <v>80</v>
      </c>
      <c r="B436" s="541">
        <f>C363</f>
        <v>102.45097918038933</v>
      </c>
      <c r="C436" s="235">
        <f t="shared" si="44"/>
        <v>9625.4307781486204</v>
      </c>
      <c r="D436" s="546">
        <f t="shared" si="45"/>
        <v>48701.073300504497</v>
      </c>
      <c r="E436" s="558">
        <f t="shared" si="46"/>
        <v>10643.781202288694</v>
      </c>
      <c r="F436" s="555">
        <f t="shared" si="47"/>
        <v>1.0643781202288694E-2</v>
      </c>
      <c r="G436" s="558">
        <f t="shared" si="48"/>
        <v>2103.6698421044457</v>
      </c>
      <c r="H436" s="434">
        <f t="shared" si="49"/>
        <v>2.1036698421044459E-3</v>
      </c>
    </row>
    <row r="437" spans="1:8">
      <c r="A437" s="150" t="s">
        <v>81</v>
      </c>
      <c r="B437" s="541">
        <f t="shared" ref="B437:B438" si="51">C364</f>
        <v>46.219291455894236</v>
      </c>
      <c r="C437" s="235">
        <f t="shared" si="44"/>
        <v>9625.4307781486204</v>
      </c>
      <c r="D437" s="546">
        <f t="shared" si="45"/>
        <v>48701.073300504497</v>
      </c>
      <c r="E437" s="558">
        <f t="shared" si="46"/>
        <v>4801.7893973971486</v>
      </c>
      <c r="F437" s="555">
        <f t="shared" si="47"/>
        <v>4.8017893973971489E-3</v>
      </c>
      <c r="G437" s="558">
        <f t="shared" si="48"/>
        <v>949.04051027178184</v>
      </c>
      <c r="H437" s="434">
        <f t="shared" si="49"/>
        <v>9.4904051027178181E-4</v>
      </c>
    </row>
    <row r="438" spans="1:8">
      <c r="A438" s="150" t="s">
        <v>82</v>
      </c>
      <c r="B438" s="541">
        <f t="shared" si="51"/>
        <v>0.54917244694338418</v>
      </c>
      <c r="C438" s="235">
        <f t="shared" si="44"/>
        <v>9625.4307781486204</v>
      </c>
      <c r="D438" s="546">
        <f t="shared" si="45"/>
        <v>48701.073300504497</v>
      </c>
      <c r="E438" s="558">
        <f t="shared" si="46"/>
        <v>57.054324071406747</v>
      </c>
      <c r="F438" s="555">
        <f t="shared" si="47"/>
        <v>5.7054324071406747E-5</v>
      </c>
      <c r="G438" s="558">
        <f t="shared" si="48"/>
        <v>11.276393100307612</v>
      </c>
      <c r="H438" s="434">
        <f t="shared" si="49"/>
        <v>1.1276393100307612E-5</v>
      </c>
    </row>
    <row r="439" spans="1:8">
      <c r="A439" s="150" t="s">
        <v>213</v>
      </c>
      <c r="B439" s="541">
        <f t="shared" ref="B439:B444" si="52">C366</f>
        <v>857.97621000000026</v>
      </c>
      <c r="C439" s="235">
        <f t="shared" si="44"/>
        <v>9625.4307781486204</v>
      </c>
      <c r="D439" s="546">
        <f t="shared" si="45"/>
        <v>48701.073300504497</v>
      </c>
      <c r="E439" s="558">
        <f t="shared" si="46"/>
        <v>89136.39605073609</v>
      </c>
      <c r="F439" s="555">
        <f t="shared" si="47"/>
        <v>8.9136396050736089E-2</v>
      </c>
      <c r="G439" s="558">
        <f t="shared" si="48"/>
        <v>17617.193048415062</v>
      </c>
      <c r="H439" s="434">
        <f t="shared" si="49"/>
        <v>1.7617193048415063E-2</v>
      </c>
    </row>
    <row r="440" spans="1:8">
      <c r="A440" s="150" t="s">
        <v>96</v>
      </c>
      <c r="B440" s="541">
        <f t="shared" si="52"/>
        <v>2467.7417142857144</v>
      </c>
      <c r="C440" s="235">
        <f t="shared" si="44"/>
        <v>9625.4307781486204</v>
      </c>
      <c r="D440" s="546">
        <f t="shared" si="45"/>
        <v>48701.073300504497</v>
      </c>
      <c r="E440" s="558">
        <f t="shared" si="46"/>
        <v>256377.27507094137</v>
      </c>
      <c r="F440" s="555">
        <f t="shared" si="47"/>
        <v>0.25637727507094138</v>
      </c>
      <c r="G440" s="558">
        <f t="shared" si="48"/>
        <v>50671.19771793922</v>
      </c>
      <c r="H440" s="434">
        <f t="shared" si="49"/>
        <v>5.0671197717939223E-2</v>
      </c>
    </row>
    <row r="441" spans="1:8">
      <c r="A441" s="151" t="s">
        <v>274</v>
      </c>
      <c r="B441" s="541">
        <f t="shared" si="52"/>
        <v>3325.7179242857146</v>
      </c>
      <c r="C441" s="235">
        <f t="shared" si="44"/>
        <v>9625.4307781486204</v>
      </c>
      <c r="D441" s="546">
        <f t="shared" si="45"/>
        <v>48701.073300504497</v>
      </c>
      <c r="E441" s="558">
        <f t="shared" si="46"/>
        <v>345513.67112167744</v>
      </c>
      <c r="F441" s="555">
        <f t="shared" si="47"/>
        <v>0.34551367112167747</v>
      </c>
      <c r="G441" s="558">
        <f t="shared" si="48"/>
        <v>68288.390766354292</v>
      </c>
      <c r="H441" s="434">
        <f t="shared" si="49"/>
        <v>6.828839076635429E-2</v>
      </c>
    </row>
    <row r="442" spans="1:8">
      <c r="A442" s="151" t="s">
        <v>84</v>
      </c>
      <c r="B442" s="541">
        <f t="shared" si="52"/>
        <v>0.12327524492934416</v>
      </c>
      <c r="C442" s="235">
        <f t="shared" si="44"/>
        <v>9625.4307781486204</v>
      </c>
      <c r="D442" s="546">
        <f t="shared" si="45"/>
        <v>48701.073300504497</v>
      </c>
      <c r="E442" s="558">
        <f t="shared" si="46"/>
        <v>12.807244451770421</v>
      </c>
      <c r="F442" s="555">
        <f t="shared" si="47"/>
        <v>1.2807244451770422E-5</v>
      </c>
      <c r="G442" s="558">
        <f t="shared" si="48"/>
        <v>2.5312634111508823</v>
      </c>
      <c r="H442" s="434">
        <f t="shared" si="49"/>
        <v>2.5312634111508821E-6</v>
      </c>
    </row>
    <row r="443" spans="1:8">
      <c r="A443" s="151" t="s">
        <v>248</v>
      </c>
      <c r="B443" s="541">
        <f t="shared" si="52"/>
        <v>0</v>
      </c>
      <c r="C443" s="235">
        <f t="shared" si="44"/>
        <v>9625.4307781486204</v>
      </c>
      <c r="D443" s="546">
        <f t="shared" si="45"/>
        <v>48701.073300504497</v>
      </c>
      <c r="E443" s="558">
        <f t="shared" si="46"/>
        <v>0</v>
      </c>
      <c r="F443" s="555">
        <f t="shared" si="47"/>
        <v>0</v>
      </c>
      <c r="G443" s="558">
        <f t="shared" si="48"/>
        <v>0</v>
      </c>
      <c r="H443" s="434">
        <f t="shared" si="49"/>
        <v>0</v>
      </c>
    </row>
    <row r="444" spans="1:8" ht="14.65" thickBot="1">
      <c r="A444" s="152" t="s">
        <v>86</v>
      </c>
      <c r="B444" s="542">
        <f t="shared" si="52"/>
        <v>0.63271890615340887</v>
      </c>
      <c r="C444" s="236">
        <f t="shared" si="44"/>
        <v>9625.4307781486204</v>
      </c>
      <c r="D444" s="547">
        <f t="shared" si="45"/>
        <v>48701.073300504497</v>
      </c>
      <c r="E444" s="559">
        <f t="shared" si="46"/>
        <v>65.734087204677564</v>
      </c>
      <c r="F444" s="556">
        <f t="shared" si="47"/>
        <v>6.5734087204677566E-5</v>
      </c>
      <c r="G444" s="559">
        <f t="shared" si="48"/>
        <v>12.991888335792684</v>
      </c>
      <c r="H444" s="439">
        <f t="shared" si="49"/>
        <v>1.2991888335792684E-5</v>
      </c>
    </row>
    <row r="445" spans="1:8">
      <c r="A445" s="145"/>
      <c r="B445" s="234"/>
      <c r="C445" s="96"/>
      <c r="D445" s="96"/>
      <c r="E445" s="95"/>
      <c r="F445" s="95"/>
    </row>
    <row r="446" spans="1:8" ht="14.65" thickBot="1">
      <c r="A446" s="79" t="s">
        <v>215</v>
      </c>
    </row>
    <row r="447" spans="1:8" ht="14.65" thickBot="1">
      <c r="A447" s="419"/>
      <c r="B447" s="1028" t="s">
        <v>262</v>
      </c>
      <c r="C447" s="1029"/>
      <c r="D447" s="1031"/>
      <c r="E447" s="1065" t="s">
        <v>263</v>
      </c>
      <c r="F447" s="1061"/>
      <c r="G447" s="1061"/>
      <c r="H447" s="1009"/>
    </row>
    <row r="448" spans="1:8">
      <c r="A448" s="92" t="s">
        <v>93</v>
      </c>
      <c r="B448" s="377" t="s">
        <v>256</v>
      </c>
      <c r="C448" s="491" t="s">
        <v>431</v>
      </c>
      <c r="D448" s="492" t="s">
        <v>295</v>
      </c>
      <c r="E448" s="1039" t="s">
        <v>269</v>
      </c>
      <c r="F448" s="1040"/>
      <c r="G448" s="1022" t="s">
        <v>296</v>
      </c>
      <c r="H448" s="1023"/>
    </row>
    <row r="449" spans="1:8" ht="14.65" thickBot="1">
      <c r="A449" s="93" t="s">
        <v>18</v>
      </c>
      <c r="B449" s="403" t="s">
        <v>35</v>
      </c>
      <c r="C449" s="154" t="s">
        <v>35</v>
      </c>
      <c r="D449" s="155" t="s">
        <v>35</v>
      </c>
      <c r="E449" s="153" t="s">
        <v>257</v>
      </c>
      <c r="F449" s="423" t="s">
        <v>237</v>
      </c>
      <c r="G449" s="403" t="s">
        <v>71</v>
      </c>
      <c r="H449" s="155" t="s">
        <v>237</v>
      </c>
    </row>
    <row r="450" spans="1:8">
      <c r="A450" s="150" t="s">
        <v>72</v>
      </c>
      <c r="B450" s="156">
        <f>D355</f>
        <v>10.470012287244344</v>
      </c>
      <c r="C450" s="428">
        <f>$C$407</f>
        <v>207.44879093521186</v>
      </c>
      <c r="D450" s="545">
        <f>$C$405</f>
        <v>691.49596978403952</v>
      </c>
      <c r="E450" s="557">
        <f>B450/C450*1000000</f>
        <v>50470.346151664118</v>
      </c>
      <c r="F450" s="554">
        <f>E450/1000000</f>
        <v>5.0470346151664118E-2</v>
      </c>
      <c r="G450" s="557">
        <f>B450/D450*1000000</f>
        <v>15141.103845499236</v>
      </c>
      <c r="H450" s="433">
        <f>G450/1000000</f>
        <v>1.5141103845499236E-2</v>
      </c>
    </row>
    <row r="451" spans="1:8">
      <c r="A451" s="149" t="s">
        <v>73</v>
      </c>
      <c r="B451" s="157">
        <f>D356</f>
        <v>0.18760956167778464</v>
      </c>
      <c r="C451" s="235">
        <f t="shared" ref="C451:C466" si="53">$C$407</f>
        <v>207.44879093521186</v>
      </c>
      <c r="D451" s="546">
        <f t="shared" ref="D451:D466" si="54">$C$405</f>
        <v>691.49596978403952</v>
      </c>
      <c r="E451" s="558">
        <f t="shared" ref="E451:E466" si="55">B451/C451*1000000</f>
        <v>904.36565492626482</v>
      </c>
      <c r="F451" s="555">
        <f t="shared" ref="F451:F466" si="56">E451/1000000</f>
        <v>9.0436565492626488E-4</v>
      </c>
      <c r="G451" s="558">
        <f t="shared" ref="G451:G466" si="57">B451/D451*1000000</f>
        <v>271.30969647787941</v>
      </c>
      <c r="H451" s="434">
        <f t="shared" ref="H451:H466" si="58">G451/1000000</f>
        <v>2.713096964778794E-4</v>
      </c>
    </row>
    <row r="452" spans="1:8">
      <c r="A452" s="149" t="s">
        <v>74</v>
      </c>
      <c r="B452" s="157">
        <f t="shared" ref="B452:B465" si="59">D357</f>
        <v>0</v>
      </c>
      <c r="C452" s="235">
        <f t="shared" si="53"/>
        <v>207.44879093521186</v>
      </c>
      <c r="D452" s="546">
        <f t="shared" si="54"/>
        <v>691.49596978403952</v>
      </c>
      <c r="E452" s="558">
        <f t="shared" si="55"/>
        <v>0</v>
      </c>
      <c r="F452" s="555">
        <f t="shared" si="56"/>
        <v>0</v>
      </c>
      <c r="G452" s="558">
        <f t="shared" si="57"/>
        <v>0</v>
      </c>
      <c r="H452" s="434">
        <f t="shared" si="58"/>
        <v>0</v>
      </c>
    </row>
    <row r="453" spans="1:8">
      <c r="A453" s="149" t="s">
        <v>75</v>
      </c>
      <c r="B453" s="157">
        <f t="shared" si="59"/>
        <v>7.8400000000000019E-4</v>
      </c>
      <c r="C453" s="235">
        <f t="shared" si="53"/>
        <v>207.44879093521186</v>
      </c>
      <c r="D453" s="546">
        <f t="shared" si="54"/>
        <v>691.49596978403952</v>
      </c>
      <c r="E453" s="558">
        <f t="shared" si="55"/>
        <v>3.7792459356625052</v>
      </c>
      <c r="F453" s="555">
        <f t="shared" si="56"/>
        <v>3.7792459356625052E-6</v>
      </c>
      <c r="G453" s="558">
        <f t="shared" si="57"/>
        <v>1.1337737806987516</v>
      </c>
      <c r="H453" s="434">
        <f t="shared" si="58"/>
        <v>1.1337737806987516E-6</v>
      </c>
    </row>
    <row r="454" spans="1:8">
      <c r="A454" s="149" t="s">
        <v>76</v>
      </c>
      <c r="B454" s="157">
        <f t="shared" si="59"/>
        <v>0</v>
      </c>
      <c r="C454" s="235">
        <f t="shared" si="53"/>
        <v>207.44879093521186</v>
      </c>
      <c r="D454" s="546">
        <f t="shared" si="54"/>
        <v>691.49596978403952</v>
      </c>
      <c r="E454" s="558">
        <f t="shared" si="55"/>
        <v>0</v>
      </c>
      <c r="F454" s="555">
        <f t="shared" si="56"/>
        <v>0</v>
      </c>
      <c r="G454" s="558">
        <f t="shared" si="57"/>
        <v>0</v>
      </c>
      <c r="H454" s="434">
        <f t="shared" si="58"/>
        <v>0</v>
      </c>
    </row>
    <row r="455" spans="1:8">
      <c r="A455" s="150" t="s">
        <v>77</v>
      </c>
      <c r="B455" s="157">
        <f t="shared" si="59"/>
        <v>4.3312483996668769</v>
      </c>
      <c r="C455" s="235">
        <f t="shared" si="53"/>
        <v>207.44879093521186</v>
      </c>
      <c r="D455" s="546">
        <f t="shared" si="54"/>
        <v>691.49596978403952</v>
      </c>
      <c r="E455" s="558">
        <f t="shared" si="55"/>
        <v>20878.638916818585</v>
      </c>
      <c r="F455" s="555">
        <f t="shared" si="56"/>
        <v>2.0878638916818584E-2</v>
      </c>
      <c r="G455" s="558">
        <f t="shared" si="57"/>
        <v>6263.5916750455754</v>
      </c>
      <c r="H455" s="434">
        <f t="shared" si="58"/>
        <v>6.2635916750455756E-3</v>
      </c>
    </row>
    <row r="456" spans="1:8">
      <c r="A456" s="150" t="s">
        <v>78</v>
      </c>
      <c r="B456" s="157">
        <f t="shared" si="59"/>
        <v>6.3825895349610784</v>
      </c>
      <c r="C456" s="235">
        <f t="shared" si="53"/>
        <v>207.44879093521186</v>
      </c>
      <c r="D456" s="546">
        <f t="shared" si="54"/>
        <v>691.49596978403952</v>
      </c>
      <c r="E456" s="558">
        <f t="shared" si="55"/>
        <v>30767.060661994503</v>
      </c>
      <c r="F456" s="555">
        <f t="shared" si="56"/>
        <v>3.0767060661994503E-2</v>
      </c>
      <c r="G456" s="558">
        <f t="shared" si="57"/>
        <v>9230.1181985983494</v>
      </c>
      <c r="H456" s="434">
        <f t="shared" si="58"/>
        <v>9.2301181985983503E-3</v>
      </c>
    </row>
    <row r="457" spans="1:8">
      <c r="A457" s="150" t="s">
        <v>79</v>
      </c>
      <c r="B457" s="157">
        <f t="shared" si="59"/>
        <v>1.5224511679381536</v>
      </c>
      <c r="C457" s="235">
        <f t="shared" si="53"/>
        <v>207.44879093521186</v>
      </c>
      <c r="D457" s="546">
        <f t="shared" si="54"/>
        <v>691.49596978403952</v>
      </c>
      <c r="E457" s="558">
        <f t="shared" si="55"/>
        <v>7338.9252406567593</v>
      </c>
      <c r="F457" s="555">
        <f t="shared" si="56"/>
        <v>7.3389252406567598E-3</v>
      </c>
      <c r="G457" s="558">
        <f t="shared" si="57"/>
        <v>2201.677572197028</v>
      </c>
      <c r="H457" s="434">
        <f t="shared" si="58"/>
        <v>2.201677572197028E-3</v>
      </c>
    </row>
    <row r="458" spans="1:8">
      <c r="A458" s="150" t="s">
        <v>80</v>
      </c>
      <c r="B458" s="157">
        <f t="shared" si="59"/>
        <v>2.626948184112547</v>
      </c>
      <c r="C458" s="235">
        <f t="shared" si="53"/>
        <v>207.44879093521186</v>
      </c>
      <c r="D458" s="546">
        <f t="shared" si="54"/>
        <v>691.49596978403952</v>
      </c>
      <c r="E458" s="558">
        <f t="shared" si="55"/>
        <v>12663.116387759361</v>
      </c>
      <c r="F458" s="555">
        <f t="shared" si="56"/>
        <v>1.2663116387759361E-2</v>
      </c>
      <c r="G458" s="558">
        <f t="shared" si="57"/>
        <v>3798.9349163278089</v>
      </c>
      <c r="H458" s="434">
        <f t="shared" si="58"/>
        <v>3.7989349163278087E-3</v>
      </c>
    </row>
    <row r="459" spans="1:8">
      <c r="A459" s="150" t="s">
        <v>81</v>
      </c>
      <c r="B459" s="157">
        <f t="shared" si="59"/>
        <v>0</v>
      </c>
      <c r="C459" s="235">
        <f t="shared" si="53"/>
        <v>207.44879093521186</v>
      </c>
      <c r="D459" s="546">
        <f t="shared" si="54"/>
        <v>691.49596978403952</v>
      </c>
      <c r="E459" s="558">
        <f t="shared" si="55"/>
        <v>0</v>
      </c>
      <c r="F459" s="555">
        <f t="shared" si="56"/>
        <v>0</v>
      </c>
      <c r="G459" s="558">
        <f t="shared" si="57"/>
        <v>0</v>
      </c>
      <c r="H459" s="434">
        <f t="shared" si="58"/>
        <v>0</v>
      </c>
    </row>
    <row r="460" spans="1:8">
      <c r="A460" s="150" t="s">
        <v>82</v>
      </c>
      <c r="B460" s="157">
        <f t="shared" si="59"/>
        <v>1.408134479342011E-2</v>
      </c>
      <c r="C460" s="235">
        <f t="shared" si="53"/>
        <v>207.44879093521186</v>
      </c>
      <c r="D460" s="546">
        <f t="shared" si="54"/>
        <v>691.49596978403952</v>
      </c>
      <c r="E460" s="558">
        <f t="shared" si="55"/>
        <v>67.87865443774912</v>
      </c>
      <c r="F460" s="555">
        <f t="shared" si="56"/>
        <v>6.7878654437749126E-5</v>
      </c>
      <c r="G460" s="558">
        <f t="shared" si="57"/>
        <v>20.363596331324739</v>
      </c>
      <c r="H460" s="434">
        <f t="shared" si="58"/>
        <v>2.0363596331324739E-5</v>
      </c>
    </row>
    <row r="461" spans="1:8">
      <c r="A461" s="150" t="s">
        <v>213</v>
      </c>
      <c r="B461" s="157">
        <f t="shared" si="59"/>
        <v>21.999390000000005</v>
      </c>
      <c r="C461" s="235">
        <f t="shared" si="53"/>
        <v>207.44879093521186</v>
      </c>
      <c r="D461" s="546">
        <f t="shared" si="54"/>
        <v>691.49596978403952</v>
      </c>
      <c r="E461" s="558">
        <f t="shared" si="55"/>
        <v>106047.32811805404</v>
      </c>
      <c r="F461" s="555">
        <f t="shared" si="56"/>
        <v>0.10604732811805404</v>
      </c>
      <c r="G461" s="558">
        <f t="shared" si="57"/>
        <v>31814.198435416212</v>
      </c>
      <c r="H461" s="434">
        <f t="shared" si="58"/>
        <v>3.1814198435416212E-2</v>
      </c>
    </row>
    <row r="462" spans="1:8">
      <c r="A462" s="150" t="s">
        <v>96</v>
      </c>
      <c r="B462" s="157">
        <f t="shared" si="59"/>
        <v>63.275428571428577</v>
      </c>
      <c r="C462" s="235">
        <f t="shared" si="53"/>
        <v>207.44879093521186</v>
      </c>
      <c r="D462" s="546">
        <f t="shared" si="54"/>
        <v>691.49596978403952</v>
      </c>
      <c r="E462" s="558">
        <f t="shared" si="55"/>
        <v>305017.09981616656</v>
      </c>
      <c r="F462" s="555">
        <f t="shared" si="56"/>
        <v>0.30501709981616654</v>
      </c>
      <c r="G462" s="558">
        <f t="shared" si="57"/>
        <v>91505.129944849949</v>
      </c>
      <c r="H462" s="434">
        <f t="shared" si="58"/>
        <v>9.1505129944849953E-2</v>
      </c>
    </row>
    <row r="463" spans="1:8">
      <c r="A463" s="151" t="s">
        <v>274</v>
      </c>
      <c r="B463" s="157">
        <f t="shared" si="59"/>
        <v>85.274818571428582</v>
      </c>
      <c r="C463" s="235">
        <f t="shared" si="53"/>
        <v>207.44879093521186</v>
      </c>
      <c r="D463" s="546">
        <f t="shared" si="54"/>
        <v>691.49596978403952</v>
      </c>
      <c r="E463" s="558">
        <f t="shared" si="55"/>
        <v>411064.42793422053</v>
      </c>
      <c r="F463" s="555">
        <f t="shared" si="56"/>
        <v>0.41106442793422054</v>
      </c>
      <c r="G463" s="558">
        <f t="shared" si="57"/>
        <v>123319.32838026618</v>
      </c>
      <c r="H463" s="434">
        <f t="shared" si="58"/>
        <v>0.12331932838026617</v>
      </c>
    </row>
    <row r="464" spans="1:8">
      <c r="A464" s="151" t="s">
        <v>84</v>
      </c>
      <c r="B464" s="157">
        <f t="shared" si="59"/>
        <v>3.1609037161370299E-3</v>
      </c>
      <c r="C464" s="235">
        <f t="shared" si="53"/>
        <v>207.44879093521186</v>
      </c>
      <c r="D464" s="546">
        <f t="shared" si="54"/>
        <v>691.49596978403952</v>
      </c>
      <c r="E464" s="558">
        <f t="shared" si="55"/>
        <v>15.237031278356348</v>
      </c>
      <c r="F464" s="555">
        <f t="shared" si="56"/>
        <v>1.5237031278356348E-5</v>
      </c>
      <c r="G464" s="558">
        <f t="shared" si="57"/>
        <v>4.5711093835069043</v>
      </c>
      <c r="H464" s="434">
        <f t="shared" si="58"/>
        <v>4.5711093835069043E-6</v>
      </c>
    </row>
    <row r="465" spans="1:8">
      <c r="A465" s="151" t="s">
        <v>248</v>
      </c>
      <c r="B465" s="157">
        <f t="shared" si="59"/>
        <v>15.66376080579907</v>
      </c>
      <c r="C465" s="235">
        <f t="shared" si="53"/>
        <v>207.44879093521186</v>
      </c>
      <c r="D465" s="546">
        <f t="shared" si="54"/>
        <v>691.49596978403952</v>
      </c>
      <c r="E465" s="558">
        <f t="shared" si="55"/>
        <v>75506.638217481857</v>
      </c>
      <c r="F465" s="555">
        <f t="shared" si="56"/>
        <v>7.5506638217481853E-2</v>
      </c>
      <c r="G465" s="558">
        <f t="shared" si="57"/>
        <v>22651.991465244555</v>
      </c>
      <c r="H465" s="434">
        <f t="shared" si="58"/>
        <v>2.2651991465244554E-2</v>
      </c>
    </row>
    <row r="466" spans="1:8" ht="14.65" thickBot="1">
      <c r="A466" s="152" t="s">
        <v>86</v>
      </c>
      <c r="B466" s="158">
        <f>D371</f>
        <v>12.021659216914772</v>
      </c>
      <c r="C466" s="236">
        <f t="shared" si="53"/>
        <v>207.44879093521186</v>
      </c>
      <c r="D466" s="547">
        <f t="shared" si="54"/>
        <v>691.49596978403952</v>
      </c>
      <c r="E466" s="559">
        <f t="shared" si="55"/>
        <v>57950.008591128615</v>
      </c>
      <c r="F466" s="556">
        <f t="shared" si="56"/>
        <v>5.7950008591128616E-2</v>
      </c>
      <c r="G466" s="559">
        <f t="shared" si="57"/>
        <v>17385.002577338586</v>
      </c>
      <c r="H466" s="439">
        <f t="shared" si="58"/>
        <v>1.7385002577338587E-2</v>
      </c>
    </row>
    <row r="467" spans="1:8">
      <c r="A467" s="145"/>
      <c r="B467" s="234"/>
      <c r="C467" s="96"/>
      <c r="D467" s="96"/>
      <c r="E467" s="95"/>
      <c r="F467" s="95"/>
    </row>
    <row r="468" spans="1:8">
      <c r="A468" s="1" t="s">
        <v>209</v>
      </c>
      <c r="B468" s="1"/>
    </row>
    <row r="469" spans="1:8" ht="14.65" thickBot="1">
      <c r="A469" s="79" t="s">
        <v>42</v>
      </c>
      <c r="B469" s="79"/>
    </row>
    <row r="470" spans="1:8">
      <c r="A470" s="2"/>
      <c r="B470" s="369" t="s">
        <v>43</v>
      </c>
    </row>
    <row r="471" spans="1:8" ht="14.65" thickBot="1">
      <c r="A471" s="5"/>
      <c r="B471" s="319" t="s">
        <v>35</v>
      </c>
    </row>
    <row r="472" spans="1:8" ht="14.65" thickBot="1">
      <c r="A472" s="9" t="s">
        <v>347</v>
      </c>
      <c r="B472" s="627">
        <f>B9</f>
        <v>17500</v>
      </c>
    </row>
    <row r="474" spans="1:8" ht="14.65" thickBot="1">
      <c r="A474" s="120" t="s">
        <v>304</v>
      </c>
      <c r="B474" s="79"/>
      <c r="C474" s="79"/>
    </row>
    <row r="475" spans="1:8" ht="14.65" thickBot="1">
      <c r="A475" s="519"/>
      <c r="B475" s="103" t="s">
        <v>263</v>
      </c>
      <c r="C475" s="514" t="s">
        <v>262</v>
      </c>
    </row>
    <row r="476" spans="1:8">
      <c r="A476" s="115"/>
      <c r="B476" s="179" t="s">
        <v>43</v>
      </c>
      <c r="C476" s="628" t="s">
        <v>302</v>
      </c>
    </row>
    <row r="477" spans="1:8" ht="14.65" thickBot="1">
      <c r="A477" s="133" t="s">
        <v>18</v>
      </c>
      <c r="B477" s="73" t="s">
        <v>70</v>
      </c>
      <c r="C477" s="645" t="s">
        <v>35</v>
      </c>
    </row>
    <row r="478" spans="1:8">
      <c r="A478" s="231" t="s">
        <v>72</v>
      </c>
      <c r="B478" s="642">
        <v>47700</v>
      </c>
      <c r="C478" s="646">
        <f t="shared" ref="C478:C492" si="60">$B$9*B478/1000000</f>
        <v>834.75</v>
      </c>
    </row>
    <row r="479" spans="1:8">
      <c r="A479" s="232" t="s">
        <v>73</v>
      </c>
      <c r="B479" s="643">
        <v>31</v>
      </c>
      <c r="C479" s="647">
        <f t="shared" si="60"/>
        <v>0.54249999999999998</v>
      </c>
    </row>
    <row r="480" spans="1:8">
      <c r="A480" s="232" t="s">
        <v>74</v>
      </c>
      <c r="B480" s="643">
        <v>85425</v>
      </c>
      <c r="C480" s="647">
        <f t="shared" si="60"/>
        <v>1494.9375</v>
      </c>
    </row>
    <row r="481" spans="1:8">
      <c r="A481" s="232" t="s">
        <v>75</v>
      </c>
      <c r="B481" s="643">
        <v>2.2000000000000002</v>
      </c>
      <c r="C481" s="647">
        <f t="shared" si="60"/>
        <v>3.85E-2</v>
      </c>
    </row>
    <row r="482" spans="1:8">
      <c r="A482" s="232" t="s">
        <v>76</v>
      </c>
      <c r="B482" s="643">
        <v>91</v>
      </c>
      <c r="C482" s="647">
        <f t="shared" si="60"/>
        <v>1.5925</v>
      </c>
    </row>
    <row r="483" spans="1:8">
      <c r="A483" s="232" t="s">
        <v>77</v>
      </c>
      <c r="B483" s="643">
        <v>663</v>
      </c>
      <c r="C483" s="647">
        <f t="shared" si="60"/>
        <v>11.602499999999999</v>
      </c>
    </row>
    <row r="484" spans="1:8">
      <c r="A484" s="232" t="s">
        <v>78</v>
      </c>
      <c r="B484" s="643">
        <v>109000</v>
      </c>
      <c r="C484" s="647">
        <f t="shared" si="60"/>
        <v>1907.5</v>
      </c>
    </row>
    <row r="485" spans="1:8">
      <c r="A485" s="232" t="s">
        <v>79</v>
      </c>
      <c r="B485" s="643">
        <v>9375</v>
      </c>
      <c r="C485" s="647">
        <f t="shared" si="60"/>
        <v>164.0625</v>
      </c>
    </row>
    <row r="486" spans="1:8">
      <c r="A486" s="232" t="s">
        <v>80</v>
      </c>
      <c r="B486" s="643">
        <v>12191.833333333334</v>
      </c>
      <c r="C486" s="647">
        <f t="shared" si="60"/>
        <v>213.35708333333335</v>
      </c>
    </row>
    <row r="487" spans="1:8">
      <c r="A487" s="232" t="s">
        <v>81</v>
      </c>
      <c r="B487" s="643">
        <v>2530</v>
      </c>
      <c r="C487" s="647">
        <f t="shared" si="60"/>
        <v>44.274999999999999</v>
      </c>
    </row>
    <row r="488" spans="1:8">
      <c r="A488" s="232" t="s">
        <v>82</v>
      </c>
      <c r="B488" s="643">
        <v>64.5</v>
      </c>
      <c r="C488" s="647">
        <f t="shared" si="60"/>
        <v>1.1287499999999999</v>
      </c>
    </row>
    <row r="489" spans="1:8">
      <c r="A489" s="232" t="s">
        <v>83</v>
      </c>
      <c r="B489" s="643">
        <v>70700</v>
      </c>
      <c r="C489" s="647">
        <f t="shared" si="60"/>
        <v>1237.25</v>
      </c>
    </row>
    <row r="490" spans="1:8">
      <c r="A490" s="232" t="s">
        <v>84</v>
      </c>
      <c r="B490" s="643">
        <v>117</v>
      </c>
      <c r="C490" s="647">
        <f t="shared" si="60"/>
        <v>2.0474999999999999</v>
      </c>
    </row>
    <row r="491" spans="1:8">
      <c r="A491" s="232" t="s">
        <v>85</v>
      </c>
      <c r="B491" s="643">
        <v>5857.8888888888887</v>
      </c>
      <c r="C491" s="647">
        <f t="shared" si="60"/>
        <v>102.51305555555555</v>
      </c>
    </row>
    <row r="492" spans="1:8" ht="14.65" thickBot="1">
      <c r="A492" s="233" t="s">
        <v>86</v>
      </c>
      <c r="B492" s="644">
        <v>2260</v>
      </c>
      <c r="C492" s="648">
        <f t="shared" si="60"/>
        <v>39.549999999999997</v>
      </c>
    </row>
    <row r="494" spans="1:8" ht="14.65" thickBot="1">
      <c r="A494" s="79" t="s">
        <v>393</v>
      </c>
    </row>
    <row r="495" spans="1:8" ht="14.65" thickBot="1">
      <c r="A495" s="419"/>
      <c r="B495" s="1019" t="s">
        <v>262</v>
      </c>
      <c r="C495" s="1021"/>
      <c r="D495" s="1021"/>
      <c r="E495" s="1021"/>
      <c r="F495" s="1021"/>
      <c r="G495" s="1013" t="s">
        <v>263</v>
      </c>
      <c r="H495" s="1015"/>
    </row>
    <row r="496" spans="1:8">
      <c r="A496" s="315" t="s">
        <v>93</v>
      </c>
      <c r="B496" s="323" t="s">
        <v>208</v>
      </c>
      <c r="C496" s="274" t="s">
        <v>198</v>
      </c>
      <c r="D496" s="274" t="s">
        <v>141</v>
      </c>
      <c r="E496" s="274" t="s">
        <v>142</v>
      </c>
      <c r="F496" s="324" t="s">
        <v>210</v>
      </c>
      <c r="G496" s="1022" t="s">
        <v>95</v>
      </c>
      <c r="H496" s="1023"/>
    </row>
    <row r="497" spans="1:8" ht="14.65" thickBot="1">
      <c r="A497" s="345" t="s">
        <v>297</v>
      </c>
      <c r="B497" s="586" t="s">
        <v>35</v>
      </c>
      <c r="C497" s="349" t="s">
        <v>35</v>
      </c>
      <c r="D497" s="349" t="s">
        <v>35</v>
      </c>
      <c r="E497" s="349" t="s">
        <v>35</v>
      </c>
      <c r="F497" s="522" t="s">
        <v>35</v>
      </c>
      <c r="G497" s="6" t="s">
        <v>70</v>
      </c>
      <c r="H497" s="24" t="s">
        <v>237</v>
      </c>
    </row>
    <row r="498" spans="1:8">
      <c r="A498" s="373" t="s">
        <v>72</v>
      </c>
      <c r="B498" s="590">
        <f>B428</f>
        <v>408.33047920252943</v>
      </c>
      <c r="C498" s="591">
        <f>B237</f>
        <v>762.04750851022629</v>
      </c>
      <c r="D498" s="591">
        <f>C478</f>
        <v>834.75</v>
      </c>
      <c r="E498" s="591">
        <f>B498+C498+D498</f>
        <v>2005.1279877127558</v>
      </c>
      <c r="F498" s="294">
        <f>$C$415+$C$188+$B$472</f>
        <v>53354.731626028923</v>
      </c>
      <c r="G498" s="649">
        <f>E498/F498*1000000</f>
        <v>37581.07156769131</v>
      </c>
      <c r="H498" s="635">
        <f>G498/1000000</f>
        <v>3.7581071567691311E-2</v>
      </c>
    </row>
    <row r="499" spans="1:8">
      <c r="A499" s="374" t="s">
        <v>73</v>
      </c>
      <c r="B499" s="592">
        <f>B429</f>
        <v>2.084550685308717E-2</v>
      </c>
      <c r="C499" s="364">
        <f>B238</f>
        <v>0.2047449314691282</v>
      </c>
      <c r="D499" s="364">
        <f>C479</f>
        <v>0.54249999999999998</v>
      </c>
      <c r="E499" s="364">
        <f t="shared" ref="E499:E514" si="61">B499+C499+D499</f>
        <v>0.76809043832221535</v>
      </c>
      <c r="F499" s="295">
        <f>$C$415+$C$188+$B$472</f>
        <v>53354.731626028923</v>
      </c>
      <c r="G499" s="552">
        <f t="shared" ref="G499:G514" si="62">E499/F499*1000000</f>
        <v>14.395919816556722</v>
      </c>
      <c r="H499" s="434">
        <f t="shared" ref="H499:H514" si="63">G499/1000000</f>
        <v>1.4395919816556721E-5</v>
      </c>
    </row>
    <row r="500" spans="1:8">
      <c r="A500" s="374" t="s">
        <v>74</v>
      </c>
      <c r="B500" s="592">
        <f t="shared" ref="B500:B508" si="64">B430</f>
        <v>634.39650513641982</v>
      </c>
      <c r="C500" s="364">
        <f t="shared" ref="C500:C508" si="65">B239</f>
        <v>2053.7758948635801</v>
      </c>
      <c r="D500" s="364">
        <f t="shared" ref="D500:D508" si="66">C480</f>
        <v>1494.9375</v>
      </c>
      <c r="E500" s="364">
        <f t="shared" si="61"/>
        <v>4183.1098999999995</v>
      </c>
      <c r="F500" s="295">
        <f t="shared" ref="F500:F513" si="67">$C$415+$C$188+$B$472</f>
        <v>53354.731626028923</v>
      </c>
      <c r="G500" s="552">
        <f t="shared" si="62"/>
        <v>78401.854390722554</v>
      </c>
      <c r="H500" s="434">
        <f t="shared" si="63"/>
        <v>7.8401854390722558E-2</v>
      </c>
    </row>
    <row r="501" spans="1:8">
      <c r="A501" s="374" t="s">
        <v>75</v>
      </c>
      <c r="B501" s="592">
        <f t="shared" si="64"/>
        <v>3.0576000000000006E-2</v>
      </c>
      <c r="C501" s="364">
        <f t="shared" si="65"/>
        <v>2.4640000000000002E-2</v>
      </c>
      <c r="D501" s="364">
        <f t="shared" si="66"/>
        <v>3.85E-2</v>
      </c>
      <c r="E501" s="364">
        <f t="shared" si="61"/>
        <v>9.3716000000000008E-2</v>
      </c>
      <c r="F501" s="295">
        <f t="shared" si="67"/>
        <v>53354.731626028923</v>
      </c>
      <c r="G501" s="552">
        <f t="shared" si="62"/>
        <v>1.7564702725311991</v>
      </c>
      <c r="H501" s="434">
        <f t="shared" si="63"/>
        <v>1.7564702725311991E-6</v>
      </c>
    </row>
    <row r="502" spans="1:8">
      <c r="A502" s="374" t="s">
        <v>76</v>
      </c>
      <c r="B502" s="592">
        <f t="shared" si="64"/>
        <v>0.325825052455463</v>
      </c>
      <c r="C502" s="364">
        <f t="shared" si="65"/>
        <v>1.6834749475445372</v>
      </c>
      <c r="D502" s="364">
        <f t="shared" si="66"/>
        <v>1.5925</v>
      </c>
      <c r="E502" s="364">
        <f t="shared" si="61"/>
        <v>3.6017999999999999</v>
      </c>
      <c r="F502" s="295">
        <f t="shared" si="67"/>
        <v>53354.731626028923</v>
      </c>
      <c r="G502" s="552">
        <f t="shared" si="62"/>
        <v>67.506665111644452</v>
      </c>
      <c r="H502" s="434">
        <f t="shared" si="63"/>
        <v>6.7506665111644458E-5</v>
      </c>
    </row>
    <row r="503" spans="1:8">
      <c r="A503" s="375" t="s">
        <v>77</v>
      </c>
      <c r="B503" s="592">
        <f t="shared" si="64"/>
        <v>4.3749983835018824E-2</v>
      </c>
      <c r="C503" s="364">
        <f t="shared" si="65"/>
        <v>13.297001616498104</v>
      </c>
      <c r="D503" s="364">
        <f t="shared" si="66"/>
        <v>11.602499999999999</v>
      </c>
      <c r="E503" s="364">
        <f t="shared" si="61"/>
        <v>24.94325160033312</v>
      </c>
      <c r="F503" s="295">
        <f t="shared" si="67"/>
        <v>53354.731626028923</v>
      </c>
      <c r="G503" s="552">
        <f t="shared" si="62"/>
        <v>467.49839873929085</v>
      </c>
      <c r="H503" s="434">
        <f t="shared" si="63"/>
        <v>4.6749839873929083E-4</v>
      </c>
    </row>
    <row r="504" spans="1:8">
      <c r="A504" s="375" t="s">
        <v>78</v>
      </c>
      <c r="B504" s="592">
        <f t="shared" si="64"/>
        <v>248.92099186348204</v>
      </c>
      <c r="C504" s="364">
        <f t="shared" si="65"/>
        <v>965.82541860155675</v>
      </c>
      <c r="D504" s="364">
        <f t="shared" si="66"/>
        <v>1907.5</v>
      </c>
      <c r="E504" s="364">
        <f t="shared" si="61"/>
        <v>3122.2464104650389</v>
      </c>
      <c r="F504" s="295">
        <f t="shared" si="67"/>
        <v>53354.731626028923</v>
      </c>
      <c r="G504" s="552">
        <f t="shared" si="62"/>
        <v>58518.641464628075</v>
      </c>
      <c r="H504" s="434">
        <f t="shared" si="63"/>
        <v>5.8518641464628075E-2</v>
      </c>
    </row>
    <row r="505" spans="1:8">
      <c r="A505" s="375" t="s">
        <v>79</v>
      </c>
      <c r="B505" s="592">
        <f t="shared" si="64"/>
        <v>59.375595549587992</v>
      </c>
      <c r="C505" s="364">
        <f t="shared" si="65"/>
        <v>106.79865328247388</v>
      </c>
      <c r="D505" s="364">
        <f t="shared" si="66"/>
        <v>164.0625</v>
      </c>
      <c r="E505" s="364">
        <f t="shared" si="61"/>
        <v>330.23674883206183</v>
      </c>
      <c r="F505" s="295">
        <f t="shared" si="67"/>
        <v>53354.731626028923</v>
      </c>
      <c r="G505" s="552">
        <f t="shared" si="62"/>
        <v>6189.4557196302521</v>
      </c>
      <c r="H505" s="434">
        <f t="shared" si="63"/>
        <v>6.189455719630252E-3</v>
      </c>
    </row>
    <row r="506" spans="1:8">
      <c r="A506" s="375" t="s">
        <v>80</v>
      </c>
      <c r="B506" s="592">
        <f t="shared" si="64"/>
        <v>102.45097918038933</v>
      </c>
      <c r="C506" s="364">
        <f t="shared" si="65"/>
        <v>138.66477263549814</v>
      </c>
      <c r="D506" s="364">
        <f t="shared" si="66"/>
        <v>213.35708333333335</v>
      </c>
      <c r="E506" s="364">
        <f t="shared" si="61"/>
        <v>454.47283514922083</v>
      </c>
      <c r="F506" s="295">
        <f t="shared" si="67"/>
        <v>53354.731626028923</v>
      </c>
      <c r="G506" s="552">
        <f t="shared" si="62"/>
        <v>8517.9481050469349</v>
      </c>
      <c r="H506" s="434">
        <f t="shared" si="63"/>
        <v>8.5179481050469356E-3</v>
      </c>
    </row>
    <row r="507" spans="1:8">
      <c r="A507" s="375" t="s">
        <v>81</v>
      </c>
      <c r="B507" s="592">
        <f t="shared" si="64"/>
        <v>46.219291455894236</v>
      </c>
      <c r="C507" s="364">
        <f t="shared" si="65"/>
        <v>74.403408544105773</v>
      </c>
      <c r="D507" s="364">
        <f t="shared" si="66"/>
        <v>44.274999999999999</v>
      </c>
      <c r="E507" s="364">
        <f t="shared" si="61"/>
        <v>164.89770000000001</v>
      </c>
      <c r="F507" s="295">
        <f t="shared" si="67"/>
        <v>53354.731626028923</v>
      </c>
      <c r="G507" s="552">
        <f t="shared" si="62"/>
        <v>3090.5918739464755</v>
      </c>
      <c r="H507" s="434">
        <f t="shared" si="63"/>
        <v>3.0905918739464757E-3</v>
      </c>
    </row>
    <row r="508" spans="1:8">
      <c r="A508" s="375" t="s">
        <v>82</v>
      </c>
      <c r="B508" s="592">
        <f t="shared" si="64"/>
        <v>0.54917244694338418</v>
      </c>
      <c r="C508" s="364">
        <f t="shared" si="65"/>
        <v>1.2699462082631956</v>
      </c>
      <c r="D508" s="364">
        <f t="shared" si="66"/>
        <v>1.1287499999999999</v>
      </c>
      <c r="E508" s="364">
        <f t="shared" si="61"/>
        <v>2.9478686552065794</v>
      </c>
      <c r="F508" s="295">
        <f t="shared" si="67"/>
        <v>53354.731626028923</v>
      </c>
      <c r="G508" s="552">
        <f t="shared" si="62"/>
        <v>55.250369842896404</v>
      </c>
      <c r="H508" s="434">
        <f t="shared" si="63"/>
        <v>5.5250369842896402E-5</v>
      </c>
    </row>
    <row r="509" spans="1:8">
      <c r="A509" s="372" t="s">
        <v>213</v>
      </c>
      <c r="B509" s="592">
        <f>B439</f>
        <v>857.97621000000026</v>
      </c>
      <c r="C509" s="364">
        <f>B248</f>
        <v>691.40940000000012</v>
      </c>
      <c r="D509" s="364">
        <f>C489</f>
        <v>1237.25</v>
      </c>
      <c r="E509" s="364">
        <f t="shared" si="61"/>
        <v>2786.6356100000003</v>
      </c>
      <c r="F509" s="295">
        <f t="shared" si="67"/>
        <v>53354.731626028923</v>
      </c>
      <c r="G509" s="552">
        <f t="shared" si="62"/>
        <v>52228.462688781474</v>
      </c>
      <c r="H509" s="434">
        <f t="shared" si="63"/>
        <v>5.2228462688781473E-2</v>
      </c>
    </row>
    <row r="510" spans="1:8">
      <c r="A510" s="375" t="s">
        <v>96</v>
      </c>
      <c r="B510" s="592">
        <f>B440</f>
        <v>2467.7417142857144</v>
      </c>
      <c r="C510" s="364">
        <f>B249</f>
        <v>1988.6563265306122</v>
      </c>
      <c r="D510" s="364">
        <v>0</v>
      </c>
      <c r="E510" s="364">
        <f t="shared" si="61"/>
        <v>4456.3980408163261</v>
      </c>
      <c r="F510" s="295">
        <f t="shared" si="67"/>
        <v>53354.731626028923</v>
      </c>
      <c r="G510" s="552">
        <f t="shared" si="62"/>
        <v>83523.951953350057</v>
      </c>
      <c r="H510" s="434">
        <f t="shared" si="63"/>
        <v>8.3523951953350051E-2</v>
      </c>
    </row>
    <row r="511" spans="1:8">
      <c r="A511" s="350" t="s">
        <v>97</v>
      </c>
      <c r="B511" s="592">
        <f>B509+B510</f>
        <v>3325.7179242857146</v>
      </c>
      <c r="C511" s="364">
        <f>C509+C510</f>
        <v>2680.0657265306122</v>
      </c>
      <c r="D511" s="364">
        <f>D509+D510</f>
        <v>1237.25</v>
      </c>
      <c r="E511" s="364">
        <f t="shared" si="61"/>
        <v>7243.0336508163273</v>
      </c>
      <c r="F511" s="295">
        <f t="shared" si="67"/>
        <v>53354.731626028923</v>
      </c>
      <c r="G511" s="594">
        <f t="shared" si="62"/>
        <v>135752.41464213154</v>
      </c>
      <c r="H511" s="585">
        <f t="shared" si="63"/>
        <v>0.13575241464213153</v>
      </c>
    </row>
    <row r="512" spans="1:8">
      <c r="A512" s="398" t="s">
        <v>84</v>
      </c>
      <c r="B512" s="593">
        <f>B442</f>
        <v>0.12327524492934416</v>
      </c>
      <c r="C512" s="364">
        <f>B251</f>
        <v>1.9229638513545189</v>
      </c>
      <c r="D512" s="364">
        <f>C490</f>
        <v>2.0474999999999999</v>
      </c>
      <c r="E512" s="364">
        <f t="shared" si="61"/>
        <v>4.0937390962838629</v>
      </c>
      <c r="F512" s="295">
        <f t="shared" si="67"/>
        <v>53354.731626028923</v>
      </c>
      <c r="G512" s="552">
        <f t="shared" si="62"/>
        <v>76.72682387341905</v>
      </c>
      <c r="H512" s="434">
        <f t="shared" si="63"/>
        <v>7.6726823873419055E-5</v>
      </c>
    </row>
    <row r="513" spans="1:8">
      <c r="A513" s="398" t="s">
        <v>85</v>
      </c>
      <c r="B513" s="593">
        <f>B443</f>
        <v>0</v>
      </c>
      <c r="C513" s="44">
        <f>B254</f>
        <v>1120.1877551020409</v>
      </c>
      <c r="D513" s="364">
        <f>C491</f>
        <v>102.51305555555555</v>
      </c>
      <c r="E513" s="364">
        <f t="shared" si="61"/>
        <v>1222.7008106575965</v>
      </c>
      <c r="F513" s="295">
        <f t="shared" si="67"/>
        <v>53354.731626028923</v>
      </c>
      <c r="G513" s="552">
        <f t="shared" si="62"/>
        <v>22916.445709589254</v>
      </c>
      <c r="H513" s="434">
        <f t="shared" si="63"/>
        <v>2.2916445709589253E-2</v>
      </c>
    </row>
    <row r="514" spans="1:8" ht="14.65" thickBot="1">
      <c r="A514" s="376" t="s">
        <v>86</v>
      </c>
      <c r="B514" s="595">
        <f>B444</f>
        <v>0.63271890615340887</v>
      </c>
      <c r="C514" s="49">
        <f>B257</f>
        <v>36.581621876931827</v>
      </c>
      <c r="D514" s="379">
        <f>C492</f>
        <v>39.549999999999997</v>
      </c>
      <c r="E514" s="379">
        <f t="shared" si="61"/>
        <v>76.764340783085231</v>
      </c>
      <c r="F514" s="380">
        <f>$C$415+$C$188+$B$472</f>
        <v>53354.731626028923</v>
      </c>
      <c r="G514" s="553">
        <f t="shared" si="62"/>
        <v>1438.7541356432578</v>
      </c>
      <c r="H514" s="439">
        <f t="shared" si="63"/>
        <v>1.4387541356432577E-3</v>
      </c>
    </row>
    <row r="516" spans="1:8">
      <c r="A516" s="329" t="s">
        <v>144</v>
      </c>
      <c r="B516" s="329"/>
      <c r="C516" s="329"/>
      <c r="D516" s="329"/>
      <c r="E516" s="329"/>
      <c r="F516" s="329"/>
    </row>
    <row r="517" spans="1:8">
      <c r="A517" s="329" t="s">
        <v>315</v>
      </c>
      <c r="B517" s="329"/>
      <c r="C517" s="329"/>
      <c r="D517" s="329"/>
      <c r="E517" s="329"/>
      <c r="F517" s="329"/>
    </row>
    <row r="518" spans="1:8">
      <c r="D518" s="121"/>
    </row>
    <row r="519" spans="1:8" ht="14.65" thickBot="1">
      <c r="A519" s="79" t="s">
        <v>432</v>
      </c>
      <c r="D519" s="121"/>
    </row>
    <row r="520" spans="1:8">
      <c r="A520" s="388" t="s">
        <v>93</v>
      </c>
      <c r="B520" s="323" t="s">
        <v>146</v>
      </c>
      <c r="C520" s="324" t="s">
        <v>147</v>
      </c>
      <c r="D520" s="1024" t="s">
        <v>95</v>
      </c>
      <c r="E520" s="1025"/>
    </row>
    <row r="521" spans="1:8" ht="14.65" thickBot="1">
      <c r="A521" s="220"/>
      <c r="B521" s="6" t="s">
        <v>35</v>
      </c>
      <c r="C521" s="422" t="s">
        <v>35</v>
      </c>
      <c r="D521" s="403" t="s">
        <v>257</v>
      </c>
      <c r="E521" s="155" t="s">
        <v>237</v>
      </c>
    </row>
    <row r="522" spans="1:8">
      <c r="A522" s="137" t="s">
        <v>211</v>
      </c>
      <c r="B522" s="159">
        <f>B511+C511</f>
        <v>6005.7836508163273</v>
      </c>
      <c r="C522" s="501">
        <f>$C$415+$C$188</f>
        <v>35854.731626028923</v>
      </c>
      <c r="D522" s="227">
        <f>B522/C522*1000000</f>
        <v>167503.23816275335</v>
      </c>
      <c r="E522" s="433">
        <f>D522/1000000</f>
        <v>0.16750323816275334</v>
      </c>
    </row>
    <row r="523" spans="1:8">
      <c r="A523" s="113" t="s">
        <v>149</v>
      </c>
      <c r="B523" s="161">
        <f>$D$509</f>
        <v>1237.25</v>
      </c>
      <c r="C523" s="502">
        <f>$B$472</f>
        <v>17500</v>
      </c>
      <c r="D523" s="229">
        <f>B523/C523*1000000</f>
        <v>70700</v>
      </c>
      <c r="E523" s="434">
        <f t="shared" ref="E523:E525" si="68">D523/1000000</f>
        <v>7.0699999999999999E-2</v>
      </c>
    </row>
    <row r="524" spans="1:8">
      <c r="A524" s="138" t="s">
        <v>96</v>
      </c>
      <c r="B524" s="444">
        <f>C524*31/98</f>
        <v>3395.9683526902891</v>
      </c>
      <c r="C524" s="587">
        <v>10735.641889149947</v>
      </c>
      <c r="D524" s="229">
        <f>B524/C524*1000000</f>
        <v>316326.53061224485</v>
      </c>
      <c r="E524" s="434">
        <f t="shared" si="68"/>
        <v>0.31632653061224486</v>
      </c>
    </row>
    <row r="525" spans="1:8" ht="14.65" thickBot="1">
      <c r="A525" s="330" t="s">
        <v>306</v>
      </c>
      <c r="B525" s="162">
        <f>SUM($B$522:$B$524)</f>
        <v>10639.002003506615</v>
      </c>
      <c r="C525" s="503">
        <f>SUM($C$522:$C$524)</f>
        <v>64090.373515178871</v>
      </c>
      <c r="D525" s="588">
        <f>B525/C525*1000000</f>
        <v>165999.99999979595</v>
      </c>
      <c r="E525" s="589">
        <f t="shared" si="68"/>
        <v>0.16599999999979595</v>
      </c>
    </row>
    <row r="527" spans="1:8" ht="14.65" thickBot="1">
      <c r="A527" s="79" t="s">
        <v>434</v>
      </c>
    </row>
    <row r="528" spans="1:8" ht="14.65" thickBot="1">
      <c r="A528" s="691"/>
      <c r="B528" s="192" t="s">
        <v>18</v>
      </c>
      <c r="C528" s="744" t="s">
        <v>106</v>
      </c>
    </row>
    <row r="529" spans="1:3">
      <c r="A529" s="203" t="s">
        <v>435</v>
      </c>
      <c r="B529" s="692" t="s">
        <v>35</v>
      </c>
      <c r="C529" s="730">
        <f>$C$524</f>
        <v>10735.641889149947</v>
      </c>
    </row>
    <row r="530" spans="1:3">
      <c r="A530" s="186" t="s">
        <v>436</v>
      </c>
      <c r="B530" s="178" t="s">
        <v>35</v>
      </c>
      <c r="C530" s="84">
        <f>C529/75%*25%</f>
        <v>3578.5472963833158</v>
      </c>
    </row>
    <row r="531" spans="1:3" ht="14.65" thickBot="1">
      <c r="A531" s="693" t="s">
        <v>437</v>
      </c>
      <c r="B531" s="694" t="s">
        <v>35</v>
      </c>
      <c r="C531" s="335">
        <f>C529+C530</f>
        <v>14314.189185533263</v>
      </c>
    </row>
    <row r="533" spans="1:3">
      <c r="A533" s="329" t="s">
        <v>316</v>
      </c>
    </row>
    <row r="534" spans="1:3">
      <c r="A534" s="329" t="s">
        <v>317</v>
      </c>
    </row>
    <row r="535" spans="1:3">
      <c r="A535" s="329"/>
    </row>
    <row r="536" spans="1:3" ht="14.65" thickBot="1">
      <c r="A536" s="329" t="s">
        <v>307</v>
      </c>
    </row>
    <row r="537" spans="1:3">
      <c r="A537" s="664" t="s">
        <v>64</v>
      </c>
      <c r="B537" s="665" t="s">
        <v>24</v>
      </c>
      <c r="C537" s="666">
        <v>0.45</v>
      </c>
    </row>
    <row r="538" spans="1:3" ht="14.65" thickBot="1">
      <c r="A538" s="667" t="s">
        <v>66</v>
      </c>
      <c r="B538" s="284" t="s">
        <v>24</v>
      </c>
      <c r="C538" s="663">
        <v>0.55000000000000004</v>
      </c>
    </row>
    <row r="539" spans="1:3">
      <c r="A539" s="329"/>
    </row>
    <row r="540" spans="1:3" ht="14.65" thickBot="1">
      <c r="A540" s="329" t="s">
        <v>363</v>
      </c>
    </row>
    <row r="541" spans="1:3" ht="14.65" thickBot="1">
      <c r="A541" s="191"/>
      <c r="B541" s="192" t="s">
        <v>18</v>
      </c>
      <c r="C541" s="193" t="s">
        <v>106</v>
      </c>
    </row>
    <row r="542" spans="1:3">
      <c r="A542" s="678" t="s">
        <v>374</v>
      </c>
      <c r="B542" s="293" t="s">
        <v>35</v>
      </c>
      <c r="C542" s="294">
        <f>$C$415</f>
        <v>9625.4307781486204</v>
      </c>
    </row>
    <row r="543" spans="1:3">
      <c r="A543" s="679" t="s">
        <v>375</v>
      </c>
      <c r="B543" s="287" t="s">
        <v>35</v>
      </c>
      <c r="C543" s="295">
        <f>$C$188</f>
        <v>26229.300847880302</v>
      </c>
    </row>
    <row r="544" spans="1:3">
      <c r="A544" s="679" t="s">
        <v>343</v>
      </c>
      <c r="B544" s="282" t="s">
        <v>35</v>
      </c>
      <c r="C544" s="370">
        <f>$B$472</f>
        <v>17500</v>
      </c>
    </row>
    <row r="545" spans="1:3">
      <c r="A545" s="375" t="s">
        <v>435</v>
      </c>
      <c r="B545" s="287" t="s">
        <v>35</v>
      </c>
      <c r="C545" s="279">
        <f>$C$529</f>
        <v>10735.641889149947</v>
      </c>
    </row>
    <row r="546" spans="1:3" ht="14.65" thickBot="1">
      <c r="A546" s="683" t="s">
        <v>309</v>
      </c>
      <c r="B546" s="215" t="s">
        <v>35</v>
      </c>
      <c r="C546" s="344">
        <f>C542+C543+C544+C545</f>
        <v>64090.373515178871</v>
      </c>
    </row>
    <row r="547" spans="1:3">
      <c r="A547" s="675" t="s">
        <v>345</v>
      </c>
      <c r="B547" s="676" t="s">
        <v>35</v>
      </c>
      <c r="C547" s="342">
        <f>C546/C537*C538</f>
        <v>78332.678740774179</v>
      </c>
    </row>
    <row r="548" spans="1:3">
      <c r="A548" s="679" t="s">
        <v>376</v>
      </c>
      <c r="B548" s="287" t="s">
        <v>35</v>
      </c>
      <c r="C548" s="279">
        <f>$C$420</f>
        <v>39075.642522355854</v>
      </c>
    </row>
    <row r="549" spans="1:3">
      <c r="A549" s="679" t="s">
        <v>370</v>
      </c>
      <c r="B549" s="287" t="s">
        <v>35</v>
      </c>
      <c r="C549" s="279">
        <f>$C$190</f>
        <v>15011.738221113883</v>
      </c>
    </row>
    <row r="550" spans="1:3">
      <c r="A550" s="679" t="s">
        <v>436</v>
      </c>
      <c r="B550" s="287" t="s">
        <v>35</v>
      </c>
      <c r="C550" s="279">
        <f>$C$530</f>
        <v>3578.5472963833158</v>
      </c>
    </row>
    <row r="551" spans="1:3" ht="14.65" thickBot="1">
      <c r="A551" s="680" t="s">
        <v>363</v>
      </c>
      <c r="B551" s="698" t="s">
        <v>35</v>
      </c>
      <c r="C551" s="671">
        <f>C547-C548-C549-C550</f>
        <v>20666.750700921126</v>
      </c>
    </row>
    <row r="553" spans="1:3" ht="14.65" thickBot="1">
      <c r="A553" s="79" t="s">
        <v>289</v>
      </c>
    </row>
    <row r="554" spans="1:3" ht="14.65" thickBot="1">
      <c r="A554" s="103" t="s">
        <v>53</v>
      </c>
      <c r="B554" s="102" t="s">
        <v>18</v>
      </c>
      <c r="C554" s="17" t="s">
        <v>106</v>
      </c>
    </row>
    <row r="555" spans="1:3">
      <c r="A555" s="369" t="s">
        <v>396</v>
      </c>
      <c r="B555" s="269" t="s">
        <v>35</v>
      </c>
      <c r="C555" s="328">
        <f>$C$403</f>
        <v>48701.073300504497</v>
      </c>
    </row>
    <row r="556" spans="1:3">
      <c r="A556" s="315" t="s">
        <v>286</v>
      </c>
      <c r="B556" s="270" t="s">
        <v>35</v>
      </c>
      <c r="C556" s="316">
        <f>$C$186</f>
        <v>41241.039068994185</v>
      </c>
    </row>
    <row r="557" spans="1:3">
      <c r="A557" s="315" t="s">
        <v>343</v>
      </c>
      <c r="B557" s="270" t="s">
        <v>35</v>
      </c>
      <c r="C557" s="316">
        <f>B472</f>
        <v>17500</v>
      </c>
    </row>
    <row r="558" spans="1:3">
      <c r="A558" s="315" t="s">
        <v>437</v>
      </c>
      <c r="B558" s="270" t="s">
        <v>35</v>
      </c>
      <c r="C558" s="316">
        <f>$C$531</f>
        <v>14314.189185533263</v>
      </c>
    </row>
    <row r="559" spans="1:3" ht="14.65" thickBot="1">
      <c r="A559" s="345" t="s">
        <v>363</v>
      </c>
      <c r="B559" s="271" t="s">
        <v>35</v>
      </c>
      <c r="C559" s="340">
        <f>C551</f>
        <v>20666.750700921126</v>
      </c>
    </row>
    <row r="561" spans="1:3" ht="14.65" thickBot="1">
      <c r="A561" s="79" t="s">
        <v>290</v>
      </c>
    </row>
    <row r="562" spans="1:3" ht="14.65" thickBot="1">
      <c r="A562" s="191" t="s">
        <v>90</v>
      </c>
      <c r="B562" s="192" t="s">
        <v>18</v>
      </c>
      <c r="C562" s="193" t="s">
        <v>91</v>
      </c>
    </row>
    <row r="563" spans="1:3">
      <c r="A563" s="272" t="s">
        <v>191</v>
      </c>
      <c r="B563" s="615" t="s">
        <v>35</v>
      </c>
      <c r="C563" s="614">
        <f>$C$403</f>
        <v>48701.073300504497</v>
      </c>
    </row>
    <row r="564" spans="1:3">
      <c r="A564" s="257" t="s">
        <v>190</v>
      </c>
      <c r="B564" s="346" t="s">
        <v>35</v>
      </c>
      <c r="C564" s="370">
        <f>$C$186</f>
        <v>41241.039068994185</v>
      </c>
    </row>
    <row r="565" spans="1:3">
      <c r="A565" s="257" t="s">
        <v>343</v>
      </c>
      <c r="B565" s="346" t="s">
        <v>35</v>
      </c>
      <c r="C565" s="370">
        <f>B472</f>
        <v>17500</v>
      </c>
    </row>
    <row r="566" spans="1:3">
      <c r="A566" s="348" t="s">
        <v>437</v>
      </c>
      <c r="B566" s="346" t="s">
        <v>35</v>
      </c>
      <c r="C566" s="370">
        <f>$C$531</f>
        <v>14314.189185533263</v>
      </c>
    </row>
    <row r="567" spans="1:3">
      <c r="A567" s="348" t="s">
        <v>363</v>
      </c>
      <c r="B567" s="346" t="s">
        <v>35</v>
      </c>
      <c r="C567" s="370">
        <f>C559</f>
        <v>20666.750700921126</v>
      </c>
    </row>
    <row r="568" spans="1:3" ht="14.65" thickBot="1">
      <c r="A568" s="255" t="s">
        <v>305</v>
      </c>
      <c r="B568" s="271" t="s">
        <v>35</v>
      </c>
      <c r="C568" s="256">
        <f>SUM(C563:C567)</f>
        <v>142423.05225595308</v>
      </c>
    </row>
    <row r="570" spans="1:3" ht="14.65" thickBot="1">
      <c r="A570" s="79" t="s">
        <v>307</v>
      </c>
      <c r="B570" s="79"/>
      <c r="C570" s="79"/>
    </row>
    <row r="571" spans="1:3" ht="14.65" thickBot="1">
      <c r="A571" s="103" t="s">
        <v>90</v>
      </c>
      <c r="B571" s="102" t="s">
        <v>18</v>
      </c>
      <c r="C571" s="17" t="s">
        <v>106</v>
      </c>
    </row>
    <row r="572" spans="1:3">
      <c r="A572" s="276" t="s">
        <v>374</v>
      </c>
      <c r="B572" s="296" t="s">
        <v>35</v>
      </c>
      <c r="C572" s="297">
        <f>$C$415</f>
        <v>9625.4307781486204</v>
      </c>
    </row>
    <row r="573" spans="1:3">
      <c r="A573" s="257" t="s">
        <v>375</v>
      </c>
      <c r="B573" s="278" t="s">
        <v>35</v>
      </c>
      <c r="C573" s="295">
        <f>$C$188</f>
        <v>26229.300847880302</v>
      </c>
    </row>
    <row r="574" spans="1:3">
      <c r="A574" s="257" t="s">
        <v>343</v>
      </c>
      <c r="B574" s="346" t="s">
        <v>35</v>
      </c>
      <c r="C574" s="370">
        <f>B472</f>
        <v>17500</v>
      </c>
    </row>
    <row r="575" spans="1:3">
      <c r="A575" s="348" t="s">
        <v>435</v>
      </c>
      <c r="B575" s="278" t="s">
        <v>35</v>
      </c>
      <c r="C575" s="279">
        <f>$C$529</f>
        <v>10735.641889149947</v>
      </c>
    </row>
    <row r="576" spans="1:3">
      <c r="A576" s="257" t="s">
        <v>309</v>
      </c>
      <c r="B576" s="278" t="s">
        <v>35</v>
      </c>
      <c r="C576" s="279">
        <f>C572+C573+C574+C575</f>
        <v>64090.373515178871</v>
      </c>
    </row>
    <row r="577" spans="1:9">
      <c r="A577" s="257" t="s">
        <v>305</v>
      </c>
      <c r="B577" s="278" t="s">
        <v>35</v>
      </c>
      <c r="C577" s="279">
        <f>$C$568</f>
        <v>142423.05225595308</v>
      </c>
    </row>
    <row r="578" spans="1:9">
      <c r="A578" s="299" t="s">
        <v>389</v>
      </c>
      <c r="B578" s="260" t="s">
        <v>24</v>
      </c>
      <c r="C578" s="371">
        <f>C576/C577</f>
        <v>0.4499999999999999</v>
      </c>
    </row>
    <row r="579" spans="1:9">
      <c r="A579" s="348" t="s">
        <v>437</v>
      </c>
      <c r="B579" s="346" t="s">
        <v>35</v>
      </c>
      <c r="C579" s="370">
        <f>C530</f>
        <v>3578.5472963833158</v>
      </c>
    </row>
    <row r="580" spans="1:9">
      <c r="A580" s="257" t="s">
        <v>376</v>
      </c>
      <c r="B580" s="278" t="s">
        <v>35</v>
      </c>
      <c r="C580" s="279">
        <f>$C$420</f>
        <v>39075.642522355854</v>
      </c>
    </row>
    <row r="581" spans="1:9">
      <c r="A581" s="257" t="s">
        <v>370</v>
      </c>
      <c r="B581" s="278" t="s">
        <v>35</v>
      </c>
      <c r="C581" s="279">
        <f>$C$190</f>
        <v>15011.738221113883</v>
      </c>
    </row>
    <row r="582" spans="1:9">
      <c r="A582" s="257" t="s">
        <v>363</v>
      </c>
      <c r="B582" s="278" t="s">
        <v>35</v>
      </c>
      <c r="C582" s="279">
        <f>C551</f>
        <v>20666.750700921126</v>
      </c>
    </row>
    <row r="583" spans="1:9">
      <c r="A583" s="257" t="s">
        <v>345</v>
      </c>
      <c r="B583" s="278" t="s">
        <v>35</v>
      </c>
      <c r="C583" s="279">
        <f>C579+C580+C581+C582</f>
        <v>78332.678740774179</v>
      </c>
    </row>
    <row r="584" spans="1:9">
      <c r="A584" s="257" t="s">
        <v>305</v>
      </c>
      <c r="B584" s="278" t="s">
        <v>35</v>
      </c>
      <c r="C584" s="279">
        <f>$C$568</f>
        <v>142423.05225595308</v>
      </c>
    </row>
    <row r="585" spans="1:9" ht="14.65" thickBot="1">
      <c r="A585" s="301" t="s">
        <v>321</v>
      </c>
      <c r="B585" s="277" t="s">
        <v>24</v>
      </c>
      <c r="C585" s="303">
        <f>C583/C584</f>
        <v>0.54999999999999993</v>
      </c>
    </row>
    <row r="587" spans="1:9" ht="14.65" thickBot="1">
      <c r="A587" s="79" t="s">
        <v>308</v>
      </c>
    </row>
    <row r="588" spans="1:9" ht="14.65" thickBot="1">
      <c r="A588" s="419"/>
      <c r="B588" s="1019" t="s">
        <v>262</v>
      </c>
      <c r="C588" s="1021"/>
      <c r="D588" s="1021"/>
      <c r="E588" s="1021"/>
      <c r="F588" s="1021"/>
      <c r="G588" s="1021"/>
      <c r="H588" s="1019" t="s">
        <v>263</v>
      </c>
      <c r="I588" s="1020"/>
    </row>
    <row r="589" spans="1:9">
      <c r="A589" s="92" t="s">
        <v>93</v>
      </c>
      <c r="B589" s="323" t="s">
        <v>208</v>
      </c>
      <c r="C589" s="274" t="s">
        <v>198</v>
      </c>
      <c r="D589" s="274" t="s">
        <v>141</v>
      </c>
      <c r="E589" s="274" t="s">
        <v>153</v>
      </c>
      <c r="F589" s="274" t="s">
        <v>142</v>
      </c>
      <c r="G589" s="324" t="s">
        <v>309</v>
      </c>
      <c r="H589" s="1094" t="s">
        <v>95</v>
      </c>
      <c r="I589" s="1095"/>
    </row>
    <row r="590" spans="1:9" ht="14.65" thickBot="1">
      <c r="A590" s="93" t="s">
        <v>297</v>
      </c>
      <c r="B590" s="6" t="s">
        <v>35</v>
      </c>
      <c r="C590" s="7" t="s">
        <v>35</v>
      </c>
      <c r="D590" s="7" t="s">
        <v>35</v>
      </c>
      <c r="E590" s="7" t="s">
        <v>35</v>
      </c>
      <c r="F590" s="7" t="s">
        <v>35</v>
      </c>
      <c r="G590" s="422" t="s">
        <v>35</v>
      </c>
      <c r="H590" s="530" t="s">
        <v>70</v>
      </c>
      <c r="I590" s="155" t="s">
        <v>237</v>
      </c>
    </row>
    <row r="591" spans="1:9">
      <c r="A591" s="111" t="s">
        <v>72</v>
      </c>
      <c r="B591" s="540">
        <f t="shared" ref="B591:D592" si="69">B498</f>
        <v>408.33047920252943</v>
      </c>
      <c r="C591" s="567">
        <f t="shared" si="69"/>
        <v>762.04750851022629</v>
      </c>
      <c r="D591" s="567">
        <f t="shared" si="69"/>
        <v>834.75</v>
      </c>
      <c r="E591" s="428">
        <v>0</v>
      </c>
      <c r="F591" s="428">
        <f>B591+C591+D591+E591</f>
        <v>2005.1279877127558</v>
      </c>
      <c r="G591" s="545">
        <f t="shared" ref="G591:G605" si="70">$C$576</f>
        <v>64090.373515178871</v>
      </c>
      <c r="H591" s="557">
        <f>F591/G591*1000000</f>
        <v>31285.946355701464</v>
      </c>
      <c r="I591" s="433">
        <f>H591/1000000</f>
        <v>3.1285946355701463E-2</v>
      </c>
    </row>
    <row r="592" spans="1:9">
      <c r="A592" s="112" t="s">
        <v>73</v>
      </c>
      <c r="B592" s="543">
        <f t="shared" si="69"/>
        <v>2.084550685308717E-2</v>
      </c>
      <c r="C592" s="484">
        <f t="shared" si="69"/>
        <v>0.2047449314691282</v>
      </c>
      <c r="D592" s="484">
        <f t="shared" si="69"/>
        <v>0.54249999999999998</v>
      </c>
      <c r="E592" s="235">
        <v>0</v>
      </c>
      <c r="F592" s="238">
        <f t="shared" ref="F592:F605" si="71">B592+C592+D592+E592</f>
        <v>0.76809043832221535</v>
      </c>
      <c r="G592" s="596">
        <f t="shared" si="70"/>
        <v>64090.373515178871</v>
      </c>
      <c r="H592" s="558">
        <f t="shared" ref="H592:H605" si="72">F592/G592*1000000</f>
        <v>11.984489966192884</v>
      </c>
      <c r="I592" s="434">
        <f t="shared" ref="I592:I605" si="73">H592/1000000</f>
        <v>1.1984489966192883E-5</v>
      </c>
    </row>
    <row r="593" spans="1:9">
      <c r="A593" s="112" t="s">
        <v>74</v>
      </c>
      <c r="B593" s="543">
        <f t="shared" ref="B593:D601" si="74">B500</f>
        <v>634.39650513641982</v>
      </c>
      <c r="C593" s="484">
        <f t="shared" si="74"/>
        <v>2053.7758948635801</v>
      </c>
      <c r="D593" s="484">
        <f t="shared" si="74"/>
        <v>1494.9375</v>
      </c>
      <c r="E593" s="235">
        <v>0</v>
      </c>
      <c r="F593" s="238">
        <f t="shared" si="71"/>
        <v>4183.1098999999995</v>
      </c>
      <c r="G593" s="596">
        <f t="shared" si="70"/>
        <v>64090.373515178871</v>
      </c>
      <c r="H593" s="558">
        <f t="shared" si="72"/>
        <v>65268.926838276122</v>
      </c>
      <c r="I593" s="434">
        <f t="shared" si="73"/>
        <v>6.526892683827612E-2</v>
      </c>
    </row>
    <row r="594" spans="1:9">
      <c r="A594" s="112" t="s">
        <v>75</v>
      </c>
      <c r="B594" s="543">
        <f t="shared" si="74"/>
        <v>3.0576000000000006E-2</v>
      </c>
      <c r="C594" s="484">
        <f t="shared" si="74"/>
        <v>2.4640000000000002E-2</v>
      </c>
      <c r="D594" s="484">
        <f t="shared" si="74"/>
        <v>3.85E-2</v>
      </c>
      <c r="E594" s="235">
        <v>0</v>
      </c>
      <c r="F594" s="238">
        <f t="shared" si="71"/>
        <v>9.3716000000000008E-2</v>
      </c>
      <c r="G594" s="596">
        <f t="shared" si="70"/>
        <v>64090.373515178871</v>
      </c>
      <c r="H594" s="558">
        <f t="shared" si="72"/>
        <v>1.4622476802667523</v>
      </c>
      <c r="I594" s="434">
        <f t="shared" si="73"/>
        <v>1.4622476802667524E-6</v>
      </c>
    </row>
    <row r="595" spans="1:9">
      <c r="A595" s="112" t="s">
        <v>76</v>
      </c>
      <c r="B595" s="543">
        <f t="shared" si="74"/>
        <v>0.325825052455463</v>
      </c>
      <c r="C595" s="484">
        <f t="shared" si="74"/>
        <v>1.6834749475445372</v>
      </c>
      <c r="D595" s="484">
        <f t="shared" si="74"/>
        <v>1.5925</v>
      </c>
      <c r="E595" s="235">
        <v>0</v>
      </c>
      <c r="F595" s="238">
        <f t="shared" si="71"/>
        <v>3.6017999999999999</v>
      </c>
      <c r="G595" s="596">
        <f t="shared" si="70"/>
        <v>64090.373515178871</v>
      </c>
      <c r="H595" s="558">
        <f t="shared" si="72"/>
        <v>56.198767497383457</v>
      </c>
      <c r="I595" s="434">
        <f t="shared" si="73"/>
        <v>5.6198767497383457E-5</v>
      </c>
    </row>
    <row r="596" spans="1:9">
      <c r="A596" s="113" t="s">
        <v>77</v>
      </c>
      <c r="B596" s="543">
        <f t="shared" si="74"/>
        <v>4.3749983835018824E-2</v>
      </c>
      <c r="C596" s="484">
        <f t="shared" si="74"/>
        <v>13.297001616498104</v>
      </c>
      <c r="D596" s="484">
        <f t="shared" si="74"/>
        <v>11.602499999999999</v>
      </c>
      <c r="E596" s="235">
        <v>0</v>
      </c>
      <c r="F596" s="238">
        <f t="shared" si="71"/>
        <v>24.94325160033312</v>
      </c>
      <c r="G596" s="596">
        <f t="shared" si="70"/>
        <v>64090.373515178871</v>
      </c>
      <c r="H596" s="558">
        <f t="shared" si="72"/>
        <v>389.18873821862923</v>
      </c>
      <c r="I596" s="434">
        <f t="shared" si="73"/>
        <v>3.8918873821862924E-4</v>
      </c>
    </row>
    <row r="597" spans="1:9">
      <c r="A597" s="113" t="s">
        <v>78</v>
      </c>
      <c r="B597" s="543">
        <f t="shared" si="74"/>
        <v>248.92099186348204</v>
      </c>
      <c r="C597" s="484">
        <f t="shared" si="74"/>
        <v>965.82541860155675</v>
      </c>
      <c r="D597" s="484">
        <f t="shared" si="74"/>
        <v>1907.5</v>
      </c>
      <c r="E597" s="235">
        <v>0</v>
      </c>
      <c r="F597" s="238">
        <f t="shared" si="71"/>
        <v>3122.2464104650389</v>
      </c>
      <c r="G597" s="596">
        <f t="shared" si="70"/>
        <v>64090.373515178871</v>
      </c>
      <c r="H597" s="558">
        <f t="shared" si="72"/>
        <v>48716.308537749122</v>
      </c>
      <c r="I597" s="434">
        <f t="shared" si="73"/>
        <v>4.8716308537749123E-2</v>
      </c>
    </row>
    <row r="598" spans="1:9">
      <c r="A598" s="113" t="s">
        <v>79</v>
      </c>
      <c r="B598" s="543">
        <f t="shared" si="74"/>
        <v>59.375595549587992</v>
      </c>
      <c r="C598" s="484">
        <f t="shared" si="74"/>
        <v>106.79865328247388</v>
      </c>
      <c r="D598" s="484">
        <f t="shared" si="74"/>
        <v>164.0625</v>
      </c>
      <c r="E598" s="235">
        <v>0</v>
      </c>
      <c r="F598" s="238">
        <f t="shared" si="71"/>
        <v>330.23674883206183</v>
      </c>
      <c r="G598" s="596">
        <f t="shared" si="70"/>
        <v>64090.373515178871</v>
      </c>
      <c r="H598" s="558">
        <f t="shared" si="72"/>
        <v>5152.6731819381594</v>
      </c>
      <c r="I598" s="434">
        <f t="shared" si="73"/>
        <v>5.152673181938159E-3</v>
      </c>
    </row>
    <row r="599" spans="1:9">
      <c r="A599" s="113" t="s">
        <v>80</v>
      </c>
      <c r="B599" s="543">
        <f t="shared" si="74"/>
        <v>102.45097918038933</v>
      </c>
      <c r="C599" s="484">
        <f t="shared" si="74"/>
        <v>138.66477263549814</v>
      </c>
      <c r="D599" s="484">
        <f t="shared" si="74"/>
        <v>213.35708333333335</v>
      </c>
      <c r="E599" s="235">
        <v>0</v>
      </c>
      <c r="F599" s="238">
        <f t="shared" si="71"/>
        <v>454.47283514922083</v>
      </c>
      <c r="G599" s="596">
        <f t="shared" si="70"/>
        <v>64090.373515178871</v>
      </c>
      <c r="H599" s="558">
        <f t="shared" si="72"/>
        <v>7091.1247699560618</v>
      </c>
      <c r="I599" s="434">
        <f t="shared" si="73"/>
        <v>7.0911247699560614E-3</v>
      </c>
    </row>
    <row r="600" spans="1:9">
      <c r="A600" s="113" t="s">
        <v>81</v>
      </c>
      <c r="B600" s="543">
        <f t="shared" si="74"/>
        <v>46.219291455894236</v>
      </c>
      <c r="C600" s="484">
        <f t="shared" si="74"/>
        <v>74.403408544105773</v>
      </c>
      <c r="D600" s="484">
        <f t="shared" si="74"/>
        <v>44.274999999999999</v>
      </c>
      <c r="E600" s="235">
        <v>0</v>
      </c>
      <c r="F600" s="238">
        <f t="shared" si="71"/>
        <v>164.89770000000001</v>
      </c>
      <c r="G600" s="596">
        <f t="shared" si="70"/>
        <v>64090.373515178871</v>
      </c>
      <c r="H600" s="558">
        <f t="shared" si="72"/>
        <v>2572.8934152793854</v>
      </c>
      <c r="I600" s="434">
        <f t="shared" si="73"/>
        <v>2.5728934152793852E-3</v>
      </c>
    </row>
    <row r="601" spans="1:9">
      <c r="A601" s="113" t="s">
        <v>82</v>
      </c>
      <c r="B601" s="543">
        <f t="shared" si="74"/>
        <v>0.54917244694338418</v>
      </c>
      <c r="C601" s="484">
        <f t="shared" si="74"/>
        <v>1.2699462082631956</v>
      </c>
      <c r="D601" s="484">
        <f t="shared" si="74"/>
        <v>1.1287499999999999</v>
      </c>
      <c r="E601" s="235">
        <v>0</v>
      </c>
      <c r="F601" s="238">
        <f t="shared" si="71"/>
        <v>2.9478686552065794</v>
      </c>
      <c r="G601" s="596">
        <f t="shared" si="70"/>
        <v>64090.373515178871</v>
      </c>
      <c r="H601" s="558">
        <f t="shared" si="72"/>
        <v>45.995498130595536</v>
      </c>
      <c r="I601" s="434">
        <f t="shared" si="73"/>
        <v>4.5995498130595538E-5</v>
      </c>
    </row>
    <row r="602" spans="1:9">
      <c r="A602" s="327" t="s">
        <v>154</v>
      </c>
      <c r="B602" s="543">
        <f>B511</f>
        <v>3325.7179242857146</v>
      </c>
      <c r="C602" s="484">
        <f>C511</f>
        <v>2680.0657265306122</v>
      </c>
      <c r="D602" s="484">
        <f>D511</f>
        <v>1237.25</v>
      </c>
      <c r="E602" s="364">
        <f>$B$524</f>
        <v>3395.9683526902891</v>
      </c>
      <c r="F602" s="238">
        <f t="shared" si="71"/>
        <v>10639.002003506615</v>
      </c>
      <c r="G602" s="596">
        <f t="shared" si="70"/>
        <v>64090.373515178871</v>
      </c>
      <c r="H602" s="597">
        <f t="shared" si="72"/>
        <v>165999.99999979595</v>
      </c>
      <c r="I602" s="585">
        <f t="shared" si="73"/>
        <v>0.16599999999979595</v>
      </c>
    </row>
    <row r="603" spans="1:9">
      <c r="A603" s="401" t="s">
        <v>84</v>
      </c>
      <c r="B603" s="543">
        <f t="shared" ref="B603:D605" si="75">B512</f>
        <v>0.12327524492934416</v>
      </c>
      <c r="C603" s="484">
        <f t="shared" si="75"/>
        <v>1.9229638513545189</v>
      </c>
      <c r="D603" s="484">
        <f t="shared" si="75"/>
        <v>2.0474999999999999</v>
      </c>
      <c r="E603" s="577">
        <v>0</v>
      </c>
      <c r="F603" s="238">
        <f t="shared" si="71"/>
        <v>4.0937390962838629</v>
      </c>
      <c r="G603" s="596">
        <f t="shared" si="70"/>
        <v>64090.373515178871</v>
      </c>
      <c r="H603" s="558">
        <f t="shared" si="72"/>
        <v>63.874477113389275</v>
      </c>
      <c r="I603" s="434">
        <f t="shared" si="73"/>
        <v>6.3874477113389275E-5</v>
      </c>
    </row>
    <row r="604" spans="1:9">
      <c r="A604" s="401" t="s">
        <v>85</v>
      </c>
      <c r="B604" s="543">
        <f t="shared" si="75"/>
        <v>0</v>
      </c>
      <c r="C604" s="484">
        <f t="shared" si="75"/>
        <v>1120.1877551020409</v>
      </c>
      <c r="D604" s="484">
        <f t="shared" si="75"/>
        <v>102.51305555555555</v>
      </c>
      <c r="E604" s="577">
        <v>0</v>
      </c>
      <c r="F604" s="238">
        <f t="shared" si="71"/>
        <v>1222.7008106575965</v>
      </c>
      <c r="G604" s="596">
        <f t="shared" si="70"/>
        <v>64090.373515178871</v>
      </c>
      <c r="H604" s="558">
        <f t="shared" si="72"/>
        <v>19077.760724362412</v>
      </c>
      <c r="I604" s="434">
        <f t="shared" si="73"/>
        <v>1.9077760724362413E-2</v>
      </c>
    </row>
    <row r="605" spans="1:9" ht="14.65" thickBot="1">
      <c r="A605" s="343" t="s">
        <v>86</v>
      </c>
      <c r="B605" s="598">
        <f t="shared" si="75"/>
        <v>0.63271890615340887</v>
      </c>
      <c r="C605" s="599">
        <f t="shared" si="75"/>
        <v>36.581621876931827</v>
      </c>
      <c r="D605" s="599">
        <f t="shared" si="75"/>
        <v>39.549999999999997</v>
      </c>
      <c r="E605" s="379">
        <v>0</v>
      </c>
      <c r="F605" s="600">
        <f t="shared" si="71"/>
        <v>76.764340783085231</v>
      </c>
      <c r="G605" s="601">
        <f t="shared" si="70"/>
        <v>64090.373515178871</v>
      </c>
      <c r="H605" s="559">
        <f t="shared" si="72"/>
        <v>1197.7514964069405</v>
      </c>
      <c r="I605" s="439">
        <f t="shared" si="73"/>
        <v>1.1977514964069404E-3</v>
      </c>
    </row>
    <row r="606" spans="1:9">
      <c r="E606" s="146"/>
      <c r="F606" s="96"/>
      <c r="G606" s="95"/>
      <c r="H606" s="95"/>
    </row>
    <row r="607" spans="1:9">
      <c r="A607" s="1" t="s">
        <v>155</v>
      </c>
      <c r="B607" s="1"/>
      <c r="C607" s="1"/>
      <c r="E607" s="146"/>
      <c r="F607" s="96"/>
      <c r="G607" s="95"/>
      <c r="H607" s="95"/>
    </row>
    <row r="608" spans="1:9" ht="14.65" thickBot="1">
      <c r="A608" s="79" t="s">
        <v>156</v>
      </c>
    </row>
    <row r="609" spans="1:5" ht="14.65" thickBot="1">
      <c r="A609" s="103" t="s">
        <v>53</v>
      </c>
      <c r="B609" s="102" t="s">
        <v>18</v>
      </c>
      <c r="C609" s="17" t="s">
        <v>106</v>
      </c>
    </row>
    <row r="610" spans="1:5" ht="14.65" thickBot="1">
      <c r="A610" s="163" t="s">
        <v>305</v>
      </c>
      <c r="B610" s="290" t="s">
        <v>35</v>
      </c>
      <c r="C610" s="384">
        <f>$C$568</f>
        <v>142423.05225595308</v>
      </c>
    </row>
    <row r="611" spans="1:5">
      <c r="A611" s="78"/>
      <c r="B611" s="685"/>
      <c r="C611" s="686"/>
    </row>
    <row r="612" spans="1:5">
      <c r="A612" s="329" t="s">
        <v>319</v>
      </c>
      <c r="B612" s="685"/>
      <c r="C612" s="686"/>
    </row>
    <row r="614" spans="1:5" ht="14.65" thickBot="1">
      <c r="A614" s="79" t="s">
        <v>292</v>
      </c>
    </row>
    <row r="615" spans="1:5" ht="14.65" thickBot="1">
      <c r="A615" s="191" t="s">
        <v>90</v>
      </c>
      <c r="B615" s="192" t="s">
        <v>18</v>
      </c>
      <c r="C615" s="193" t="s">
        <v>91</v>
      </c>
    </row>
    <row r="616" spans="1:5">
      <c r="A616" s="703" t="s">
        <v>314</v>
      </c>
      <c r="B616" s="692" t="s">
        <v>35</v>
      </c>
      <c r="C616" s="730">
        <f>$C$576</f>
        <v>64090.373515178871</v>
      </c>
    </row>
    <row r="617" spans="1:5">
      <c r="A617" s="232" t="s">
        <v>320</v>
      </c>
      <c r="B617" s="178" t="s">
        <v>237</v>
      </c>
      <c r="C617" s="722">
        <v>0.95</v>
      </c>
    </row>
    <row r="618" spans="1:5">
      <c r="A618" s="720" t="s">
        <v>17</v>
      </c>
      <c r="B618" s="724" t="s">
        <v>35</v>
      </c>
      <c r="C618" s="718">
        <f>C616/C617</f>
        <v>67463.551068609348</v>
      </c>
    </row>
    <row r="619" spans="1:5">
      <c r="A619" s="232" t="s">
        <v>321</v>
      </c>
      <c r="B619" s="178" t="s">
        <v>237</v>
      </c>
      <c r="C619" s="722">
        <f>100%-C617</f>
        <v>5.0000000000000044E-2</v>
      </c>
    </row>
    <row r="620" spans="1:5">
      <c r="A620" s="232" t="s">
        <v>318</v>
      </c>
      <c r="B620" s="178" t="s">
        <v>35</v>
      </c>
      <c r="C620" s="84">
        <f>C618*C619</f>
        <v>3373.1775534304702</v>
      </c>
    </row>
    <row r="621" spans="1:5" ht="14.65" thickBot="1">
      <c r="A621" s="680" t="s">
        <v>16</v>
      </c>
      <c r="B621" s="694" t="s">
        <v>35</v>
      </c>
      <c r="C621" s="671">
        <f>$C$583-C620</f>
        <v>74959.501187343703</v>
      </c>
    </row>
    <row r="623" spans="1:5" ht="14.65" thickBot="1">
      <c r="A623" s="1" t="s">
        <v>235</v>
      </c>
      <c r="B623" s="1"/>
      <c r="C623" s="1"/>
      <c r="D623" s="79"/>
      <c r="E623" s="79"/>
    </row>
    <row r="624" spans="1:5" ht="14.65" hidden="1" thickBot="1">
      <c r="A624" s="212"/>
      <c r="B624" s="1008" t="s">
        <v>140</v>
      </c>
      <c r="C624" s="1061"/>
      <c r="D624" s="1061"/>
      <c r="E624" s="1009"/>
    </row>
    <row r="625" spans="1:5" ht="14.65" hidden="1" thickBot="1">
      <c r="A625" s="487" t="s">
        <v>67</v>
      </c>
      <c r="B625" s="385" t="s">
        <v>228</v>
      </c>
      <c r="C625" s="19" t="s">
        <v>229</v>
      </c>
      <c r="D625" s="19" t="s">
        <v>230</v>
      </c>
      <c r="E625" s="20" t="s">
        <v>298</v>
      </c>
    </row>
    <row r="626" spans="1:5" ht="14.65" hidden="1" thickBot="1">
      <c r="A626" s="133" t="s">
        <v>18</v>
      </c>
      <c r="B626" s="23" t="s">
        <v>35</v>
      </c>
      <c r="C626" s="7" t="s">
        <v>35</v>
      </c>
      <c r="D626" s="7" t="s">
        <v>35</v>
      </c>
      <c r="E626" s="24" t="s">
        <v>35</v>
      </c>
    </row>
    <row r="627" spans="1:5" ht="14.65" hidden="1" thickBot="1">
      <c r="A627" s="134" t="s">
        <v>223</v>
      </c>
      <c r="B627" s="241">
        <f>C481</f>
        <v>3.85E-2</v>
      </c>
      <c r="C627" s="241">
        <f>F66</f>
        <v>1.4E-2</v>
      </c>
      <c r="D627" s="241">
        <f>E66</f>
        <v>4.2000000000000003E-2</v>
      </c>
      <c r="E627" s="242">
        <f>SUM(B627:D627)</f>
        <v>9.4500000000000001E-2</v>
      </c>
    </row>
    <row r="628" spans="1:5" ht="14.65" hidden="1" thickBot="1">
      <c r="A628" s="73" t="s">
        <v>226</v>
      </c>
      <c r="B628" s="240">
        <f>C490</f>
        <v>2.0474999999999999</v>
      </c>
      <c r="C628" s="240">
        <f>F75</f>
        <v>0.56140000000000001</v>
      </c>
      <c r="D628" s="240">
        <f>E75</f>
        <v>1.488</v>
      </c>
      <c r="E628" s="239">
        <f>SUM(B628:D628)</f>
        <v>4.0968999999999998</v>
      </c>
    </row>
    <row r="629" spans="1:5" ht="14.65" hidden="1" thickBot="1"/>
    <row r="630" spans="1:5" ht="14.65" thickBot="1">
      <c r="A630" s="512"/>
      <c r="B630" s="249" t="s">
        <v>18</v>
      </c>
      <c r="C630" s="249" t="s">
        <v>234</v>
      </c>
    </row>
    <row r="631" spans="1:5">
      <c r="A631" s="134" t="s">
        <v>392</v>
      </c>
      <c r="B631" s="509" t="s">
        <v>24</v>
      </c>
      <c r="C631" s="248">
        <v>0.38</v>
      </c>
    </row>
    <row r="632" spans="1:5">
      <c r="A632" s="68" t="s">
        <v>314</v>
      </c>
      <c r="B632" s="510" t="s">
        <v>35</v>
      </c>
      <c r="C632" s="244">
        <f>C616</f>
        <v>64090.373515178871</v>
      </c>
    </row>
    <row r="633" spans="1:5">
      <c r="A633" s="68" t="s">
        <v>349</v>
      </c>
      <c r="B633" s="510" t="s">
        <v>35</v>
      </c>
      <c r="C633" s="245">
        <f>C632*C631</f>
        <v>24354.34193576797</v>
      </c>
    </row>
    <row r="634" spans="1:5">
      <c r="A634" s="68" t="s">
        <v>350</v>
      </c>
      <c r="B634" s="510" t="s">
        <v>35</v>
      </c>
      <c r="C634" s="246">
        <f>E627</f>
        <v>9.4500000000000001E-2</v>
      </c>
    </row>
    <row r="635" spans="1:5" ht="14.65" thickBot="1">
      <c r="A635" s="73" t="s">
        <v>351</v>
      </c>
      <c r="B635" s="511" t="s">
        <v>240</v>
      </c>
      <c r="C635" s="387">
        <f>C634/C633*1000000</f>
        <v>3.8802115963237225</v>
      </c>
    </row>
    <row r="636" spans="1:5" ht="14.65" thickBot="1"/>
    <row r="637" spans="1:5" ht="14.65" thickBot="1">
      <c r="A637" s="212"/>
      <c r="B637" s="1087" t="s">
        <v>216</v>
      </c>
      <c r="C637" s="1091" t="s">
        <v>165</v>
      </c>
      <c r="D637" s="1012"/>
    </row>
    <row r="638" spans="1:5">
      <c r="A638" s="487" t="s">
        <v>67</v>
      </c>
      <c r="B638" s="1088"/>
      <c r="C638" s="104" t="s">
        <v>166</v>
      </c>
      <c r="D638" s="15" t="s">
        <v>167</v>
      </c>
    </row>
    <row r="639" spans="1:5" ht="14.65" thickBot="1">
      <c r="A639" s="133" t="s">
        <v>18</v>
      </c>
      <c r="B639" s="609" t="s">
        <v>241</v>
      </c>
      <c r="C639" s="23" t="s">
        <v>70</v>
      </c>
      <c r="D639" s="24" t="s">
        <v>70</v>
      </c>
    </row>
    <row r="640" spans="1:5">
      <c r="A640" s="134" t="s">
        <v>222</v>
      </c>
      <c r="B640" s="681">
        <f>H592</f>
        <v>11.984489966192884</v>
      </c>
      <c r="C640" s="484">
        <f>Rohdaten!$F$12</f>
        <v>40</v>
      </c>
      <c r="D640" s="110">
        <f>Rohdaten!$H$12</f>
        <v>40</v>
      </c>
    </row>
    <row r="641" spans="1:4">
      <c r="A641" s="68" t="s">
        <v>223</v>
      </c>
      <c r="B641" s="682">
        <f>C635</f>
        <v>3.8802115963237225</v>
      </c>
      <c r="C641" s="105" t="str">
        <f>Rohdaten!$F$14</f>
        <v>50mg/kgP2O5</v>
      </c>
      <c r="D641" s="80" t="str">
        <f>Rohdaten!$H$14</f>
        <v>60mg/kgP2O5</v>
      </c>
    </row>
    <row r="642" spans="1:4">
      <c r="A642" s="68" t="s">
        <v>224</v>
      </c>
      <c r="B642" s="606">
        <f>H596</f>
        <v>389.18873821862923</v>
      </c>
      <c r="C642" s="485">
        <f>Rohdaten!$F$16</f>
        <v>900</v>
      </c>
      <c r="D642" s="82">
        <f>Rohdaten!$H$16</f>
        <v>600</v>
      </c>
    </row>
    <row r="643" spans="1:4">
      <c r="A643" s="68" t="s">
        <v>225</v>
      </c>
      <c r="B643" s="606">
        <f>H601</f>
        <v>45.995498130595536</v>
      </c>
      <c r="C643" s="485">
        <f>Rohdaten!$F$21</f>
        <v>80</v>
      </c>
      <c r="D643" s="82">
        <f>Rohdaten!$H$21</f>
        <v>100</v>
      </c>
    </row>
    <row r="644" spans="1:4">
      <c r="A644" s="68" t="s">
        <v>226</v>
      </c>
      <c r="B644" s="607">
        <f>H603</f>
        <v>63.874477113389275</v>
      </c>
      <c r="C644" s="485">
        <f>Rohdaten!$F$23</f>
        <v>150</v>
      </c>
      <c r="D644" s="82">
        <f>Rohdaten!$H$23</f>
        <v>120</v>
      </c>
    </row>
    <row r="645" spans="1:4" ht="14.65" thickBot="1">
      <c r="A645" s="73" t="s">
        <v>227</v>
      </c>
      <c r="B645" s="608">
        <f>H605</f>
        <v>1197.7514964069405</v>
      </c>
      <c r="C645" s="486">
        <f>Rohdaten!$F$25</f>
        <v>5000</v>
      </c>
      <c r="D645" s="237">
        <f>Rohdaten!$H$25</f>
        <v>1500</v>
      </c>
    </row>
  </sheetData>
  <mergeCells count="52">
    <mergeCell ref="B588:G588"/>
    <mergeCell ref="H588:I588"/>
    <mergeCell ref="H589:I589"/>
    <mergeCell ref="B624:E624"/>
    <mergeCell ref="B637:B638"/>
    <mergeCell ref="C637:D637"/>
    <mergeCell ref="D520:E520"/>
    <mergeCell ref="K353:L353"/>
    <mergeCell ref="B425:D425"/>
    <mergeCell ref="E425:H425"/>
    <mergeCell ref="E426:F426"/>
    <mergeCell ref="G426:H426"/>
    <mergeCell ref="B447:D447"/>
    <mergeCell ref="E447:H447"/>
    <mergeCell ref="E448:F448"/>
    <mergeCell ref="G448:H448"/>
    <mergeCell ref="B495:F495"/>
    <mergeCell ref="G495:H495"/>
    <mergeCell ref="G496:H496"/>
    <mergeCell ref="B351:F351"/>
    <mergeCell ref="G351:L351"/>
    <mergeCell ref="B352:B353"/>
    <mergeCell ref="C352:C353"/>
    <mergeCell ref="D352:D353"/>
    <mergeCell ref="E352:E353"/>
    <mergeCell ref="F352:F353"/>
    <mergeCell ref="G352:H353"/>
    <mergeCell ref="I352:L352"/>
    <mergeCell ref="I353:J353"/>
    <mergeCell ref="B296:C296"/>
    <mergeCell ref="I118:L118"/>
    <mergeCell ref="I119:J119"/>
    <mergeCell ref="K119:L119"/>
    <mergeCell ref="B208:D208"/>
    <mergeCell ref="E208:H208"/>
    <mergeCell ref="E209:F209"/>
    <mergeCell ref="G209:H209"/>
    <mergeCell ref="B234:D234"/>
    <mergeCell ref="E234:H234"/>
    <mergeCell ref="E235:F235"/>
    <mergeCell ref="G235:H235"/>
    <mergeCell ref="B295:C295"/>
    <mergeCell ref="C60:D60"/>
    <mergeCell ref="E60:I60"/>
    <mergeCell ref="B117:F117"/>
    <mergeCell ref="G117:L117"/>
    <mergeCell ref="B118:B119"/>
    <mergeCell ref="C118:C119"/>
    <mergeCell ref="D118:D119"/>
    <mergeCell ref="E118:E119"/>
    <mergeCell ref="F118:F119"/>
    <mergeCell ref="G118:H119"/>
  </mergeCell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AD486E-2B8B-4ADC-B0EB-F408F37E35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943</vt:i4>
      </vt:variant>
    </vt:vector>
  </HeadingPairs>
  <TitlesOfParts>
    <vt:vector size="969" baseType="lpstr">
      <vt:lpstr>Rohdaten</vt:lpstr>
      <vt:lpstr>Modell PHOS4green-Verfahren</vt:lpstr>
      <vt:lpstr>P-Ex(Szenario 1 EB.1)</vt:lpstr>
      <vt:lpstr>P-Ex(Szenario 2 EB.2 mit F)</vt:lpstr>
      <vt:lpstr>P-Ex(Szenario 13 EB.2 Cd10%)</vt:lpstr>
      <vt:lpstr>P-Ex(Szenario 14 EB.2 Cd85%)</vt:lpstr>
      <vt:lpstr>P-Ex(Szenario 3 EB.2 ohne F)</vt:lpstr>
      <vt:lpstr>Modell Phosphorextraktion</vt:lpstr>
      <vt:lpstr>P-Ex(Sze.1 SEFoV mit F)</vt:lpstr>
      <vt:lpstr>P-Ex(Sze.1 SEFoV mit F HS)</vt:lpstr>
      <vt:lpstr>P-Ex(Sze.2 SEFoV ohne F)</vt:lpstr>
      <vt:lpstr>P-Ex(Sze.2 SEFoV ohne F HS)</vt:lpstr>
      <vt:lpstr>P-Ex(Sze.3 SEFmV mit F)</vt:lpstr>
      <vt:lpstr>P-Ex(Szenario 6 EB.3 k CuZn)</vt:lpstr>
      <vt:lpstr>P-Ex(Szenario 7 EB.3 nk CuZn)</vt:lpstr>
      <vt:lpstr>P-Ex(Sze.3 SEFmV mit F HS)</vt:lpstr>
      <vt:lpstr>SM-Ex(Szenario 8 EB.4)</vt:lpstr>
      <vt:lpstr>Modell Schwermetallextraktion</vt:lpstr>
      <vt:lpstr>SM-Ex(Sze.4 SEFoV)</vt:lpstr>
      <vt:lpstr>SM-Ex(Sze.4 SEFoV HS)</vt:lpstr>
      <vt:lpstr>SM-Ex(Sze.5 SEFmV)</vt:lpstr>
      <vt:lpstr>SM-Ex(Sze.5 SEFmV HS)</vt:lpstr>
      <vt:lpstr>Sensitivitätsanalyse Solbo</vt:lpstr>
      <vt:lpstr>Sensitivität Analyse OAT</vt:lpstr>
      <vt:lpstr>SM-Ex(Szenario 11 EB.5 k CuZn)</vt:lpstr>
      <vt:lpstr>SM-Ex(Szenario12 EB.5 nk CuZn)</vt:lpstr>
      <vt:lpstr>'P-Ex(Sze.1 SEFoV mit F HS)'!FeP</vt:lpstr>
      <vt:lpstr>'P-Ex(Sze.1 SEFoV mit F)'!FeP</vt:lpstr>
      <vt:lpstr>'P-Ex(Sze.2 SEFoV ohne F HS)'!FeP</vt:lpstr>
      <vt:lpstr>'P-Ex(Sze.2 SEFoV ohne F)'!FeP</vt:lpstr>
      <vt:lpstr>'P-Ex(Sze.3 SEFmV mit F HS)'!FeP</vt:lpstr>
      <vt:lpstr>'P-Ex(Sze.3 SEFmV mit F)'!FeP</vt:lpstr>
      <vt:lpstr>'P-Ex(Szenario 1 EB.1)'!FeP</vt:lpstr>
      <vt:lpstr>'P-Ex(Szenario 13 EB.2 Cd10%)'!FeP</vt:lpstr>
      <vt:lpstr>'P-Ex(Szenario 14 EB.2 Cd85%)'!FeP</vt:lpstr>
      <vt:lpstr>'P-Ex(Szenario 2 EB.2 mit F)'!FeP</vt:lpstr>
      <vt:lpstr>'P-Ex(Szenario 3 EB.2 ohne F)'!FeP</vt:lpstr>
      <vt:lpstr>'P-Ex(Szenario 6 EB.3 k CuZn)'!FeP</vt:lpstr>
      <vt:lpstr>'P-Ex(Szenario 7 EB.3 nk CuZn)'!FeP</vt:lpstr>
      <vt:lpstr>'SM-Ex(Sze.4 SEFoV HS)'!FeP</vt:lpstr>
      <vt:lpstr>'SM-Ex(Sze.4 SEFoV)'!FeP</vt:lpstr>
      <vt:lpstr>'SM-Ex(Sze.5 SEFmV HS)'!FeP</vt:lpstr>
      <vt:lpstr>'SM-Ex(Sze.5 SEFmV)'!FeP</vt:lpstr>
      <vt:lpstr>'SM-Ex(Szenario 11 EB.5 k CuZn)'!FeP</vt:lpstr>
      <vt:lpstr>'SM-Ex(Szenario 8 EB.4)'!FeP</vt:lpstr>
      <vt:lpstr>'SM-Ex(Szenario12 EB.5 nk CuZn)'!FeP</vt:lpstr>
      <vt:lpstr>'SM-Ex(Sze.4 SEFoV HS)'!FePh</vt:lpstr>
      <vt:lpstr>'SM-Ex(Sze.4 SEFoV)'!FePh</vt:lpstr>
      <vt:lpstr>'SM-Ex(Sze.5 SEFmV HS)'!FePh</vt:lpstr>
      <vt:lpstr>'SM-Ex(Sze.5 SEFmV)'!FePh</vt:lpstr>
      <vt:lpstr>'SM-Ex(Szenario 11 EB.5 k CuZn)'!FePh</vt:lpstr>
      <vt:lpstr>'SM-Ex(Szenario 8 EB.4)'!FePh</vt:lpstr>
      <vt:lpstr>'SM-Ex(Szenario12 EB.5 nk CuZn)'!FePh</vt:lpstr>
      <vt:lpstr>'P-Ex(Sze.1 SEFoV mit F HS)'!FK</vt:lpstr>
      <vt:lpstr>'P-Ex(Sze.1 SEFoV mit F)'!FK</vt:lpstr>
      <vt:lpstr>'P-Ex(Sze.2 SEFoV ohne F HS)'!FK</vt:lpstr>
      <vt:lpstr>'P-Ex(Sze.2 SEFoV ohne F)'!FK</vt:lpstr>
      <vt:lpstr>'P-Ex(Sze.3 SEFmV mit F HS)'!FK</vt:lpstr>
      <vt:lpstr>'P-Ex(Sze.3 SEFmV mit F)'!FK</vt:lpstr>
      <vt:lpstr>'P-Ex(Szenario 13 EB.2 Cd10%)'!FK</vt:lpstr>
      <vt:lpstr>'P-Ex(Szenario 14 EB.2 Cd85%)'!FK</vt:lpstr>
      <vt:lpstr>'P-Ex(Szenario 2 EB.2 mit F)'!FK</vt:lpstr>
      <vt:lpstr>'P-Ex(Szenario 3 EB.2 ohne F)'!FK</vt:lpstr>
      <vt:lpstr>'P-Ex(Szenario 6 EB.3 k CuZn)'!FK</vt:lpstr>
      <vt:lpstr>'P-Ex(Szenario 7 EB.3 nk CuZn)'!FK</vt:lpstr>
      <vt:lpstr>'SM-Ex(Sze.4 SEFoV HS)'!FK</vt:lpstr>
      <vt:lpstr>'SM-Ex(Sze.4 SEFoV)'!FK</vt:lpstr>
      <vt:lpstr>'SM-Ex(Sze.5 SEFmV HS)'!FK</vt:lpstr>
      <vt:lpstr>'SM-Ex(Sze.5 SEFmV)'!FK</vt:lpstr>
      <vt:lpstr>'SM-Ex(Szenario 11 EB.5 k CuZn)'!FK</vt:lpstr>
      <vt:lpstr>'SM-Ex(Szenario 8 EB.4)'!FK</vt:lpstr>
      <vt:lpstr>'SM-Ex(Szenario12 EB.5 nk CuZn)'!FK</vt:lpstr>
      <vt:lpstr>FK</vt:lpstr>
      <vt:lpstr>'P-Ex(Sze.1 SEFoV mit F HS)'!FlP</vt:lpstr>
      <vt:lpstr>'P-Ex(Sze.1 SEFoV mit F)'!FlP</vt:lpstr>
      <vt:lpstr>'P-Ex(Sze.2 SEFoV ohne F HS)'!FlP</vt:lpstr>
      <vt:lpstr>'P-Ex(Sze.2 SEFoV ohne F)'!FlP</vt:lpstr>
      <vt:lpstr>'P-Ex(Sze.3 SEFmV mit F HS)'!FlP</vt:lpstr>
      <vt:lpstr>'P-Ex(Sze.3 SEFmV mit F)'!FlP</vt:lpstr>
      <vt:lpstr>'P-Ex(Szenario 1 EB.1)'!FlP</vt:lpstr>
      <vt:lpstr>'P-Ex(Szenario 13 EB.2 Cd10%)'!FlP</vt:lpstr>
      <vt:lpstr>'P-Ex(Szenario 14 EB.2 Cd85%)'!FlP</vt:lpstr>
      <vt:lpstr>'P-Ex(Szenario 2 EB.2 mit F)'!FlP</vt:lpstr>
      <vt:lpstr>'P-Ex(Szenario 3 EB.2 ohne F)'!FlP</vt:lpstr>
      <vt:lpstr>'P-Ex(Szenario 6 EB.3 k CuZn)'!FlP</vt:lpstr>
      <vt:lpstr>'P-Ex(Szenario 7 EB.3 nk CuZn)'!FlP</vt:lpstr>
      <vt:lpstr>'SM-Ex(Sze.4 SEFoV HS)'!FlP</vt:lpstr>
      <vt:lpstr>'SM-Ex(Sze.4 SEFoV)'!FlP</vt:lpstr>
      <vt:lpstr>'SM-Ex(Sze.5 SEFmV HS)'!FlP</vt:lpstr>
      <vt:lpstr>'SM-Ex(Sze.5 SEFmV)'!FlP</vt:lpstr>
      <vt:lpstr>'SM-Ex(Szenario 11 EB.5 k CuZn)'!FlP</vt:lpstr>
      <vt:lpstr>'SM-Ex(Szenario 8 EB.4)'!FlP</vt:lpstr>
      <vt:lpstr>'SM-Ex(Szenario12 EB.5 nk CuZn)'!FlP</vt:lpstr>
      <vt:lpstr>'SM-Ex(Sze.4 SEFoV HS)'!FlPh</vt:lpstr>
      <vt:lpstr>'SM-Ex(Sze.4 SEFoV)'!FlPh</vt:lpstr>
      <vt:lpstr>'SM-Ex(Sze.5 SEFmV HS)'!FlPh</vt:lpstr>
      <vt:lpstr>'SM-Ex(Sze.5 SEFmV)'!FlPh</vt:lpstr>
      <vt:lpstr>'SM-Ex(Szenario 11 EB.5 k CuZn)'!FlPh</vt:lpstr>
      <vt:lpstr>'SM-Ex(Szenario 8 EB.4)'!FlPh</vt:lpstr>
      <vt:lpstr>'SM-Ex(Szenario12 EB.5 nk CuZn)'!FlPh</vt:lpstr>
      <vt:lpstr>'P-Ex(Sze.1 SEFoV mit F HS)'!FrAl</vt:lpstr>
      <vt:lpstr>'P-Ex(Sze.1 SEFoV mit F)'!FrAl</vt:lpstr>
      <vt:lpstr>'P-Ex(Sze.2 SEFoV ohne F HS)'!FrAl</vt:lpstr>
      <vt:lpstr>'P-Ex(Sze.2 SEFoV ohne F)'!FrAl</vt:lpstr>
      <vt:lpstr>'P-Ex(Sze.3 SEFmV mit F HS)'!FrAl</vt:lpstr>
      <vt:lpstr>'P-Ex(Sze.3 SEFmV mit F)'!FrAl</vt:lpstr>
      <vt:lpstr>'P-Ex(Szenario 1 EB.1)'!FrAl</vt:lpstr>
      <vt:lpstr>'P-Ex(Szenario 13 EB.2 Cd10%)'!FrAl</vt:lpstr>
      <vt:lpstr>'P-Ex(Szenario 14 EB.2 Cd85%)'!FrAl</vt:lpstr>
      <vt:lpstr>'P-Ex(Szenario 2 EB.2 mit F)'!FrAl</vt:lpstr>
      <vt:lpstr>'P-Ex(Szenario 3 EB.2 ohne F)'!FrAl</vt:lpstr>
      <vt:lpstr>'P-Ex(Szenario 6 EB.3 k CuZn)'!FrAl</vt:lpstr>
      <vt:lpstr>'P-Ex(Szenario 7 EB.3 nk CuZn)'!FrAl</vt:lpstr>
      <vt:lpstr>'SM-Ex(Sze.4 SEFoV HS)'!FrAl</vt:lpstr>
      <vt:lpstr>'SM-Ex(Sze.4 SEFoV)'!FrAl</vt:lpstr>
      <vt:lpstr>'SM-Ex(Sze.5 SEFmV HS)'!FrAl</vt:lpstr>
      <vt:lpstr>'SM-Ex(Sze.5 SEFmV)'!FrAl</vt:lpstr>
      <vt:lpstr>'SM-Ex(Szenario 11 EB.5 k CuZn)'!FrAl</vt:lpstr>
      <vt:lpstr>'SM-Ex(Szenario 8 EB.4)'!FrAl</vt:lpstr>
      <vt:lpstr>'SM-Ex(Szenario12 EB.5 nk CuZn)'!FrAl</vt:lpstr>
      <vt:lpstr>'P-Ex(Sze.1 SEFoV mit F HS)'!FrAs</vt:lpstr>
      <vt:lpstr>'P-Ex(Sze.1 SEFoV mit F)'!FrAs</vt:lpstr>
      <vt:lpstr>'P-Ex(Sze.2 SEFoV ohne F HS)'!FrAs</vt:lpstr>
      <vt:lpstr>'P-Ex(Sze.2 SEFoV ohne F)'!FrAs</vt:lpstr>
      <vt:lpstr>'P-Ex(Sze.3 SEFmV mit F HS)'!FrAs</vt:lpstr>
      <vt:lpstr>'P-Ex(Sze.3 SEFmV mit F)'!FrAs</vt:lpstr>
      <vt:lpstr>'P-Ex(Szenario 1 EB.1)'!FrAs</vt:lpstr>
      <vt:lpstr>'P-Ex(Szenario 13 EB.2 Cd10%)'!FrAs</vt:lpstr>
      <vt:lpstr>'P-Ex(Szenario 14 EB.2 Cd85%)'!FrAs</vt:lpstr>
      <vt:lpstr>'P-Ex(Szenario 2 EB.2 mit F)'!FrAs</vt:lpstr>
      <vt:lpstr>'P-Ex(Szenario 3 EB.2 ohne F)'!FrAs</vt:lpstr>
      <vt:lpstr>'P-Ex(Szenario 6 EB.3 k CuZn)'!FrAs</vt:lpstr>
      <vt:lpstr>'P-Ex(Szenario 7 EB.3 nk CuZn)'!FrAs</vt:lpstr>
      <vt:lpstr>'SM-Ex(Sze.4 SEFoV HS)'!FrAs</vt:lpstr>
      <vt:lpstr>'SM-Ex(Sze.4 SEFoV)'!FrAs</vt:lpstr>
      <vt:lpstr>'SM-Ex(Sze.5 SEFmV HS)'!FrAs</vt:lpstr>
      <vt:lpstr>'SM-Ex(Sze.5 SEFmV)'!FrAs</vt:lpstr>
      <vt:lpstr>'SM-Ex(Szenario 11 EB.5 k CuZn)'!FrAs</vt:lpstr>
      <vt:lpstr>'SM-Ex(Szenario 8 EB.4)'!FrAs</vt:lpstr>
      <vt:lpstr>'SM-Ex(Szenario12 EB.5 nk CuZn)'!FrAs</vt:lpstr>
      <vt:lpstr>'P-Ex(Sze.1 SEFoV mit F HS)'!FrCu</vt:lpstr>
      <vt:lpstr>'P-Ex(Sze.1 SEFoV mit F)'!FrCu</vt:lpstr>
      <vt:lpstr>'P-Ex(Sze.2 SEFoV ohne F HS)'!FrCu</vt:lpstr>
      <vt:lpstr>'P-Ex(Sze.2 SEFoV ohne F)'!FrCu</vt:lpstr>
      <vt:lpstr>'P-Ex(Sze.3 SEFmV mit F HS)'!FrCu</vt:lpstr>
      <vt:lpstr>'P-Ex(Sze.3 SEFmV mit F)'!FrCu</vt:lpstr>
      <vt:lpstr>'P-Ex(Szenario 1 EB.1)'!FrCu</vt:lpstr>
      <vt:lpstr>'P-Ex(Szenario 13 EB.2 Cd10%)'!FrCu</vt:lpstr>
      <vt:lpstr>'P-Ex(Szenario 14 EB.2 Cd85%)'!FrCu</vt:lpstr>
      <vt:lpstr>'P-Ex(Szenario 2 EB.2 mit F)'!FrCu</vt:lpstr>
      <vt:lpstr>'P-Ex(Szenario 3 EB.2 ohne F)'!FrCu</vt:lpstr>
      <vt:lpstr>'P-Ex(Szenario 6 EB.3 k CuZn)'!FrCu</vt:lpstr>
      <vt:lpstr>'P-Ex(Szenario 7 EB.3 nk CuZn)'!FrCu</vt:lpstr>
      <vt:lpstr>'SM-Ex(Sze.4 SEFoV HS)'!FrCu</vt:lpstr>
      <vt:lpstr>'SM-Ex(Sze.4 SEFoV)'!FrCu</vt:lpstr>
      <vt:lpstr>'SM-Ex(Sze.5 SEFmV HS)'!FrCu</vt:lpstr>
      <vt:lpstr>'SM-Ex(Sze.5 SEFmV)'!FrCu</vt:lpstr>
      <vt:lpstr>'SM-Ex(Szenario 11 EB.5 k CuZn)'!FrCu</vt:lpstr>
      <vt:lpstr>'SM-Ex(Szenario 8 EB.4)'!FrCu</vt:lpstr>
      <vt:lpstr>'SM-Ex(Szenario12 EB.5 nk CuZn)'!FrCu</vt:lpstr>
      <vt:lpstr>'P-Ex(Sze.1 SEFoV mit F HS)'!FrFe</vt:lpstr>
      <vt:lpstr>'P-Ex(Sze.1 SEFoV mit F)'!FrFe</vt:lpstr>
      <vt:lpstr>'P-Ex(Sze.2 SEFoV ohne F HS)'!FrFe</vt:lpstr>
      <vt:lpstr>'P-Ex(Sze.2 SEFoV ohne F)'!FrFe</vt:lpstr>
      <vt:lpstr>'P-Ex(Sze.3 SEFmV mit F HS)'!FrFe</vt:lpstr>
      <vt:lpstr>'P-Ex(Sze.3 SEFmV mit F)'!FrFe</vt:lpstr>
      <vt:lpstr>'P-Ex(Szenario 1 EB.1)'!FrFe</vt:lpstr>
      <vt:lpstr>'P-Ex(Szenario 13 EB.2 Cd10%)'!FrFe</vt:lpstr>
      <vt:lpstr>'P-Ex(Szenario 14 EB.2 Cd85%)'!FrFe</vt:lpstr>
      <vt:lpstr>'P-Ex(Szenario 2 EB.2 mit F)'!FrFe</vt:lpstr>
      <vt:lpstr>'P-Ex(Szenario 3 EB.2 ohne F)'!FrFe</vt:lpstr>
      <vt:lpstr>'P-Ex(Szenario 6 EB.3 k CuZn)'!FrFe</vt:lpstr>
      <vt:lpstr>'P-Ex(Szenario 7 EB.3 nk CuZn)'!FrFe</vt:lpstr>
      <vt:lpstr>'SM-Ex(Sze.4 SEFoV HS)'!FrFe</vt:lpstr>
      <vt:lpstr>'SM-Ex(Sze.4 SEFoV)'!FrFe</vt:lpstr>
      <vt:lpstr>'SM-Ex(Sze.5 SEFmV HS)'!FrFe</vt:lpstr>
      <vt:lpstr>'SM-Ex(Sze.5 SEFmV)'!FrFe</vt:lpstr>
      <vt:lpstr>'SM-Ex(Szenario 11 EB.5 k CuZn)'!FrFe</vt:lpstr>
      <vt:lpstr>'SM-Ex(Szenario 8 EB.4)'!FrFe</vt:lpstr>
      <vt:lpstr>'SM-Ex(Szenario12 EB.5 nk CuZn)'!FrFe</vt:lpstr>
      <vt:lpstr>'P-Ex(Sze.1 SEFoV mit F HS)'!FrK</vt:lpstr>
      <vt:lpstr>'P-Ex(Sze.1 SEFoV mit F)'!FrK</vt:lpstr>
      <vt:lpstr>'P-Ex(Sze.2 SEFoV ohne F HS)'!FrK</vt:lpstr>
      <vt:lpstr>'P-Ex(Sze.2 SEFoV ohne F)'!FrK</vt:lpstr>
      <vt:lpstr>'P-Ex(Sze.3 SEFmV mit F HS)'!FrK</vt:lpstr>
      <vt:lpstr>'P-Ex(Sze.3 SEFmV mit F)'!FrK</vt:lpstr>
      <vt:lpstr>'P-Ex(Szenario 1 EB.1)'!FrK</vt:lpstr>
      <vt:lpstr>'P-Ex(Szenario 13 EB.2 Cd10%)'!FrK</vt:lpstr>
      <vt:lpstr>'P-Ex(Szenario 14 EB.2 Cd85%)'!FrK</vt:lpstr>
      <vt:lpstr>'P-Ex(Szenario 2 EB.2 mit F)'!FrK</vt:lpstr>
      <vt:lpstr>'P-Ex(Szenario 3 EB.2 ohne F)'!FrK</vt:lpstr>
      <vt:lpstr>'P-Ex(Szenario 6 EB.3 k CuZn)'!FrK</vt:lpstr>
      <vt:lpstr>'P-Ex(Szenario 7 EB.3 nk CuZn)'!FrK</vt:lpstr>
      <vt:lpstr>'SM-Ex(Sze.4 SEFoV HS)'!FrK</vt:lpstr>
      <vt:lpstr>'SM-Ex(Sze.4 SEFoV)'!FrK</vt:lpstr>
      <vt:lpstr>'SM-Ex(Sze.5 SEFmV HS)'!FrK</vt:lpstr>
      <vt:lpstr>'SM-Ex(Sze.5 SEFmV)'!FrK</vt:lpstr>
      <vt:lpstr>'SM-Ex(Szenario 11 EB.5 k CuZn)'!FrK</vt:lpstr>
      <vt:lpstr>'SM-Ex(Szenario 8 EB.4)'!FrK</vt:lpstr>
      <vt:lpstr>'SM-Ex(Szenario12 EB.5 nk CuZn)'!FrK</vt:lpstr>
      <vt:lpstr>'P-Ex(Sze.1 SEFoV mit F HS)'!FrMg</vt:lpstr>
      <vt:lpstr>'P-Ex(Sze.1 SEFoV mit F)'!FrMg</vt:lpstr>
      <vt:lpstr>'P-Ex(Sze.2 SEFoV ohne F HS)'!FrMg</vt:lpstr>
      <vt:lpstr>'P-Ex(Sze.2 SEFoV ohne F)'!FrMg</vt:lpstr>
      <vt:lpstr>'P-Ex(Sze.3 SEFmV mit F HS)'!FrMg</vt:lpstr>
      <vt:lpstr>'P-Ex(Sze.3 SEFmV mit F)'!FrMg</vt:lpstr>
      <vt:lpstr>'P-Ex(Szenario 1 EB.1)'!FrMg</vt:lpstr>
      <vt:lpstr>'P-Ex(Szenario 13 EB.2 Cd10%)'!FrMg</vt:lpstr>
      <vt:lpstr>'P-Ex(Szenario 14 EB.2 Cd85%)'!FrMg</vt:lpstr>
      <vt:lpstr>'P-Ex(Szenario 2 EB.2 mit F)'!FrMg</vt:lpstr>
      <vt:lpstr>'P-Ex(Szenario 3 EB.2 ohne F)'!FrMg</vt:lpstr>
      <vt:lpstr>'P-Ex(Szenario 6 EB.3 k CuZn)'!FrMg</vt:lpstr>
      <vt:lpstr>'P-Ex(Szenario 7 EB.3 nk CuZn)'!FrMg</vt:lpstr>
      <vt:lpstr>'SM-Ex(Sze.4 SEFoV HS)'!FrMg</vt:lpstr>
      <vt:lpstr>'SM-Ex(Sze.4 SEFoV)'!FrMg</vt:lpstr>
      <vt:lpstr>'SM-Ex(Sze.5 SEFmV HS)'!FrMg</vt:lpstr>
      <vt:lpstr>'SM-Ex(Sze.5 SEFmV)'!FrMg</vt:lpstr>
      <vt:lpstr>'SM-Ex(Szenario 11 EB.5 k CuZn)'!FrMg</vt:lpstr>
      <vt:lpstr>'SM-Ex(Szenario 8 EB.4)'!FrMg</vt:lpstr>
      <vt:lpstr>'SM-Ex(Szenario12 EB.5 nk CuZn)'!FrMg</vt:lpstr>
      <vt:lpstr>'P-Ex(Sze.1 SEFoV mit F HS)'!FrNi</vt:lpstr>
      <vt:lpstr>'P-Ex(Sze.1 SEFoV mit F)'!FrNi</vt:lpstr>
      <vt:lpstr>'P-Ex(Sze.2 SEFoV ohne F HS)'!FrNi</vt:lpstr>
      <vt:lpstr>'P-Ex(Sze.2 SEFoV ohne F)'!FrNi</vt:lpstr>
      <vt:lpstr>'P-Ex(Sze.3 SEFmV mit F HS)'!FrNi</vt:lpstr>
      <vt:lpstr>'P-Ex(Sze.3 SEFmV mit F)'!FrNi</vt:lpstr>
      <vt:lpstr>'P-Ex(Szenario 1 EB.1)'!FrNi</vt:lpstr>
      <vt:lpstr>'P-Ex(Szenario 13 EB.2 Cd10%)'!FrNi</vt:lpstr>
      <vt:lpstr>'P-Ex(Szenario 14 EB.2 Cd85%)'!FrNi</vt:lpstr>
      <vt:lpstr>'P-Ex(Szenario 2 EB.2 mit F)'!FrNi</vt:lpstr>
      <vt:lpstr>'P-Ex(Szenario 3 EB.2 ohne F)'!FrNi</vt:lpstr>
      <vt:lpstr>'P-Ex(Szenario 6 EB.3 k CuZn)'!FrNi</vt:lpstr>
      <vt:lpstr>'P-Ex(Szenario 7 EB.3 nk CuZn)'!FrNi</vt:lpstr>
      <vt:lpstr>'SM-Ex(Sze.4 SEFoV HS)'!FrNi</vt:lpstr>
      <vt:lpstr>'SM-Ex(Sze.4 SEFoV)'!FrNi</vt:lpstr>
      <vt:lpstr>'SM-Ex(Sze.5 SEFmV HS)'!FrNi</vt:lpstr>
      <vt:lpstr>'SM-Ex(Sze.5 SEFmV)'!FrNi</vt:lpstr>
      <vt:lpstr>'SM-Ex(Szenario 11 EB.5 k CuZn)'!FrNi</vt:lpstr>
      <vt:lpstr>'SM-Ex(Szenario 8 EB.4)'!FrNi</vt:lpstr>
      <vt:lpstr>'SM-Ex(Szenario12 EB.5 nk CuZn)'!FrNi</vt:lpstr>
      <vt:lpstr>'P-Ex(Sze.1 SEFoV mit F HS)'!FrPG</vt:lpstr>
      <vt:lpstr>'P-Ex(Sze.1 SEFoV mit F)'!FrPG</vt:lpstr>
      <vt:lpstr>'P-Ex(Sze.2 SEFoV ohne F HS)'!FrPG</vt:lpstr>
      <vt:lpstr>'P-Ex(Sze.2 SEFoV ohne F)'!FrPG</vt:lpstr>
      <vt:lpstr>'P-Ex(Sze.3 SEFmV mit F HS)'!FrPG</vt:lpstr>
      <vt:lpstr>'P-Ex(Sze.3 SEFmV mit F)'!FrPG</vt:lpstr>
      <vt:lpstr>'P-Ex(Szenario 13 EB.2 Cd10%)'!FrPG</vt:lpstr>
      <vt:lpstr>'P-Ex(Szenario 14 EB.2 Cd85%)'!FrPG</vt:lpstr>
      <vt:lpstr>'P-Ex(Szenario 2 EB.2 mit F)'!FrPG</vt:lpstr>
      <vt:lpstr>'P-Ex(Szenario 3 EB.2 ohne F)'!FrPG</vt:lpstr>
      <vt:lpstr>'P-Ex(Szenario 6 EB.3 k CuZn)'!FrPG</vt:lpstr>
      <vt:lpstr>'P-Ex(Szenario 7 EB.3 nk CuZn)'!FrPG</vt:lpstr>
      <vt:lpstr>'SM-Ex(Sze.4 SEFoV HS)'!FrPG</vt:lpstr>
      <vt:lpstr>'SM-Ex(Sze.4 SEFoV)'!FrPG</vt:lpstr>
      <vt:lpstr>'SM-Ex(Sze.5 SEFmV HS)'!FrPG</vt:lpstr>
      <vt:lpstr>'SM-Ex(Sze.5 SEFmV)'!FrPG</vt:lpstr>
      <vt:lpstr>'SM-Ex(Szenario 11 EB.5 k CuZn)'!FrPG</vt:lpstr>
      <vt:lpstr>'SM-Ex(Szenario12 EB.5 nk CuZn)'!FrPG</vt:lpstr>
      <vt:lpstr>FrPG</vt:lpstr>
      <vt:lpstr>'P-Ex(Sze.1 SEFoV mit F HS)'!FrPKSA</vt:lpstr>
      <vt:lpstr>'P-Ex(Sze.1 SEFoV mit F)'!FrPKSA</vt:lpstr>
      <vt:lpstr>'P-Ex(Sze.2 SEFoV ohne F HS)'!FrPKSA</vt:lpstr>
      <vt:lpstr>'P-Ex(Sze.2 SEFoV ohne F)'!FrPKSA</vt:lpstr>
      <vt:lpstr>'P-Ex(Sze.3 SEFmV mit F HS)'!FrPKSA</vt:lpstr>
      <vt:lpstr>'P-Ex(Sze.3 SEFmV mit F)'!FrPKSA</vt:lpstr>
      <vt:lpstr>'P-Ex(Szenario 1 EB.1)'!FrPKSA</vt:lpstr>
      <vt:lpstr>'P-Ex(Szenario 13 EB.2 Cd10%)'!FrPKSA</vt:lpstr>
      <vt:lpstr>'P-Ex(Szenario 14 EB.2 Cd85%)'!FrPKSA</vt:lpstr>
      <vt:lpstr>'P-Ex(Szenario 2 EB.2 mit F)'!FrPKSA</vt:lpstr>
      <vt:lpstr>'P-Ex(Szenario 3 EB.2 ohne F)'!FrPKSA</vt:lpstr>
      <vt:lpstr>'P-Ex(Szenario 6 EB.3 k CuZn)'!FrPKSA</vt:lpstr>
      <vt:lpstr>'P-Ex(Szenario 7 EB.3 nk CuZn)'!FrPKSA</vt:lpstr>
      <vt:lpstr>'SM-Ex(Sze.4 SEFoV HS)'!FrPKSA</vt:lpstr>
      <vt:lpstr>'SM-Ex(Sze.4 SEFoV)'!FrPKSA</vt:lpstr>
      <vt:lpstr>'SM-Ex(Sze.5 SEFmV HS)'!FrPKSA</vt:lpstr>
      <vt:lpstr>'SM-Ex(Sze.5 SEFmV)'!FrPKSA</vt:lpstr>
      <vt:lpstr>'SM-Ex(Szenario 11 EB.5 k CuZn)'!FrPKSA</vt:lpstr>
      <vt:lpstr>'SM-Ex(Szenario 8 EB.4)'!FrPKSA</vt:lpstr>
      <vt:lpstr>'SM-Ex(Szenario12 EB.5 nk CuZn)'!FrPKSA</vt:lpstr>
      <vt:lpstr>'P-Ex(Sze.1 SEFoV mit F HS)'!FrPP</vt:lpstr>
      <vt:lpstr>'P-Ex(Sze.1 SEFoV mit F)'!FrPP</vt:lpstr>
      <vt:lpstr>'P-Ex(Sze.2 SEFoV ohne F HS)'!FrPP</vt:lpstr>
      <vt:lpstr>'P-Ex(Sze.2 SEFoV ohne F)'!FrPP</vt:lpstr>
      <vt:lpstr>'P-Ex(Sze.3 SEFmV mit F HS)'!FrPP</vt:lpstr>
      <vt:lpstr>'P-Ex(Sze.3 SEFmV mit F)'!FrPP</vt:lpstr>
      <vt:lpstr>'P-Ex(Szenario 1 EB.1)'!FrPP</vt:lpstr>
      <vt:lpstr>'P-Ex(Szenario 13 EB.2 Cd10%)'!FrPP</vt:lpstr>
      <vt:lpstr>'P-Ex(Szenario 14 EB.2 Cd85%)'!FrPP</vt:lpstr>
      <vt:lpstr>'P-Ex(Szenario 2 EB.2 mit F)'!FrPP</vt:lpstr>
      <vt:lpstr>'P-Ex(Szenario 3 EB.2 ohne F)'!FrPP</vt:lpstr>
      <vt:lpstr>'P-Ex(Szenario 6 EB.3 k CuZn)'!FrPP</vt:lpstr>
      <vt:lpstr>'P-Ex(Szenario 7 EB.3 nk CuZn)'!FrPP</vt:lpstr>
      <vt:lpstr>'SM-Ex(Sze.4 SEFoV HS)'!FrPP</vt:lpstr>
      <vt:lpstr>'SM-Ex(Sze.4 SEFoV)'!FrPP</vt:lpstr>
      <vt:lpstr>'SM-Ex(Sze.5 SEFmV HS)'!FrPP</vt:lpstr>
      <vt:lpstr>'SM-Ex(Sze.5 SEFmV)'!FrPP</vt:lpstr>
      <vt:lpstr>'SM-Ex(Szenario 11 EB.5 k CuZn)'!FrPP</vt:lpstr>
      <vt:lpstr>'SM-Ex(Szenario 8 EB.4)'!FrPP</vt:lpstr>
      <vt:lpstr>'SM-Ex(Szenario12 EB.5 nk CuZn)'!FrPP</vt:lpstr>
      <vt:lpstr>'P-Ex(Sze.1 SEFoV mit F HS)'!FrZn</vt:lpstr>
      <vt:lpstr>'P-Ex(Sze.1 SEFoV mit F)'!FrZn</vt:lpstr>
      <vt:lpstr>'P-Ex(Sze.2 SEFoV ohne F HS)'!FrZn</vt:lpstr>
      <vt:lpstr>'P-Ex(Sze.2 SEFoV ohne F)'!FrZn</vt:lpstr>
      <vt:lpstr>'P-Ex(Sze.3 SEFmV mit F HS)'!FrZn</vt:lpstr>
      <vt:lpstr>'P-Ex(Sze.3 SEFmV mit F)'!FrZn</vt:lpstr>
      <vt:lpstr>'P-Ex(Szenario 1 EB.1)'!FrZn</vt:lpstr>
      <vt:lpstr>'P-Ex(Szenario 13 EB.2 Cd10%)'!FrZn</vt:lpstr>
      <vt:lpstr>'P-Ex(Szenario 14 EB.2 Cd85%)'!FrZn</vt:lpstr>
      <vt:lpstr>'P-Ex(Szenario 2 EB.2 mit F)'!FrZn</vt:lpstr>
      <vt:lpstr>'P-Ex(Szenario 3 EB.2 ohne F)'!FrZn</vt:lpstr>
      <vt:lpstr>'P-Ex(Szenario 6 EB.3 k CuZn)'!FrZn</vt:lpstr>
      <vt:lpstr>'P-Ex(Szenario 7 EB.3 nk CuZn)'!FrZn</vt:lpstr>
      <vt:lpstr>'SM-Ex(Sze.4 SEFoV HS)'!FrZn</vt:lpstr>
      <vt:lpstr>'SM-Ex(Sze.4 SEFoV)'!FrZn</vt:lpstr>
      <vt:lpstr>'SM-Ex(Sze.5 SEFmV HS)'!FrZn</vt:lpstr>
      <vt:lpstr>'SM-Ex(Sze.5 SEFmV)'!FrZn</vt:lpstr>
      <vt:lpstr>'SM-Ex(Szenario 11 EB.5 k CuZn)'!FrZn</vt:lpstr>
      <vt:lpstr>'SM-Ex(Szenario 8 EB.4)'!FrZn</vt:lpstr>
      <vt:lpstr>'SM-Ex(Szenario12 EB.5 nk CuZn)'!FrZn</vt:lpstr>
      <vt:lpstr>'Modell PHOS4green-Verfahren'!ISH</vt:lpstr>
      <vt:lpstr>'P-Ex(Sze.1 SEFoV mit F HS)'!ISH</vt:lpstr>
      <vt:lpstr>'P-Ex(Sze.1 SEFoV mit F)'!ISH</vt:lpstr>
      <vt:lpstr>'P-Ex(Sze.2 SEFoV ohne F HS)'!ISH</vt:lpstr>
      <vt:lpstr>'P-Ex(Sze.2 SEFoV ohne F)'!ISH</vt:lpstr>
      <vt:lpstr>'P-Ex(Sze.3 SEFmV mit F HS)'!ISH</vt:lpstr>
      <vt:lpstr>'P-Ex(Sze.3 SEFmV mit F)'!ISH</vt:lpstr>
      <vt:lpstr>'P-Ex(Szenario 1 EB.1)'!ISH</vt:lpstr>
      <vt:lpstr>'P-Ex(Szenario 13 EB.2 Cd10%)'!ISH</vt:lpstr>
      <vt:lpstr>'P-Ex(Szenario 14 EB.2 Cd85%)'!ISH</vt:lpstr>
      <vt:lpstr>'P-Ex(Szenario 2 EB.2 mit F)'!ISH</vt:lpstr>
      <vt:lpstr>'P-Ex(Szenario 3 EB.2 ohne F)'!ISH</vt:lpstr>
      <vt:lpstr>'P-Ex(Szenario 6 EB.3 k CuZn)'!ISH</vt:lpstr>
      <vt:lpstr>'P-Ex(Szenario 7 EB.3 nk CuZn)'!ISH</vt:lpstr>
      <vt:lpstr>'SM-Ex(Sze.4 SEFoV HS)'!ISH</vt:lpstr>
      <vt:lpstr>'SM-Ex(Sze.4 SEFoV)'!ISH</vt:lpstr>
      <vt:lpstr>'SM-Ex(Sze.5 SEFmV HS)'!ISH</vt:lpstr>
      <vt:lpstr>'SM-Ex(Sze.5 SEFmV)'!ISH</vt:lpstr>
      <vt:lpstr>'SM-Ex(Szenario 11 EB.5 k CuZn)'!ISH</vt:lpstr>
      <vt:lpstr>'SM-Ex(Szenario 8 EB.4)'!ISH</vt:lpstr>
      <vt:lpstr>'SM-Ex(Szenario12 EB.5 nk CuZn)'!ISH</vt:lpstr>
      <vt:lpstr>'Modell PHOS4green-Verfahren'!KSAk</vt:lpstr>
      <vt:lpstr>'P-Ex(Sze.1 SEFoV mit F HS)'!KSAnk</vt:lpstr>
      <vt:lpstr>'P-Ex(Sze.1 SEFoV mit F)'!KSAnk</vt:lpstr>
      <vt:lpstr>'P-Ex(Sze.2 SEFoV ohne F HS)'!KSAnk</vt:lpstr>
      <vt:lpstr>'P-Ex(Sze.2 SEFoV ohne F)'!KSAnk</vt:lpstr>
      <vt:lpstr>'P-Ex(Sze.3 SEFmV mit F HS)'!KSAnk</vt:lpstr>
      <vt:lpstr>'P-Ex(Sze.3 SEFmV mit F)'!KSAnk</vt:lpstr>
      <vt:lpstr>'P-Ex(Szenario 13 EB.2 Cd10%)'!KSAnk</vt:lpstr>
      <vt:lpstr>'P-Ex(Szenario 14 EB.2 Cd85%)'!KSAnk</vt:lpstr>
      <vt:lpstr>'P-Ex(Szenario 2 EB.2 mit F)'!KSAnk</vt:lpstr>
      <vt:lpstr>'P-Ex(Szenario 3 EB.2 ohne F)'!KSAnk</vt:lpstr>
      <vt:lpstr>'P-Ex(Szenario 6 EB.3 k CuZn)'!KSAnk</vt:lpstr>
      <vt:lpstr>'P-Ex(Szenario 7 EB.3 nk CuZn)'!KSAnk</vt:lpstr>
      <vt:lpstr>KSAnk</vt:lpstr>
      <vt:lpstr>KSAnkISH</vt:lpstr>
      <vt:lpstr>'P-Ex(Sze.1 SEFoV mit F HS)'!PE</vt:lpstr>
      <vt:lpstr>'P-Ex(Sze.1 SEFoV mit F)'!PE</vt:lpstr>
      <vt:lpstr>'P-Ex(Sze.2 SEFoV ohne F HS)'!PE</vt:lpstr>
      <vt:lpstr>'P-Ex(Sze.2 SEFoV ohne F)'!PE</vt:lpstr>
      <vt:lpstr>'P-Ex(Sze.3 SEFmV mit F HS)'!PE</vt:lpstr>
      <vt:lpstr>'P-Ex(Sze.3 SEFmV mit F)'!PE</vt:lpstr>
      <vt:lpstr>'P-Ex(Szenario 1 EB.1)'!PE</vt:lpstr>
      <vt:lpstr>'P-Ex(Szenario 13 EB.2 Cd10%)'!PE</vt:lpstr>
      <vt:lpstr>'P-Ex(Szenario 14 EB.2 Cd85%)'!PE</vt:lpstr>
      <vt:lpstr>'P-Ex(Szenario 2 EB.2 mit F)'!PE</vt:lpstr>
      <vt:lpstr>'P-Ex(Szenario 3 EB.2 ohne F)'!PE</vt:lpstr>
      <vt:lpstr>'P-Ex(Szenario 6 EB.3 k CuZn)'!PE</vt:lpstr>
      <vt:lpstr>'P-Ex(Szenario 7 EB.3 nk CuZn)'!PE</vt:lpstr>
      <vt:lpstr>'SM-Ex(Sze.4 SEFoV HS)'!PF</vt:lpstr>
      <vt:lpstr>'SM-Ex(Sze.4 SEFoV)'!PF</vt:lpstr>
      <vt:lpstr>'SM-Ex(Sze.5 SEFmV HS)'!PF</vt:lpstr>
      <vt:lpstr>'SM-Ex(Sze.5 SEFmV)'!PF</vt:lpstr>
      <vt:lpstr>'SM-Ex(Szenario 11 EB.5 k CuZn)'!PF</vt:lpstr>
      <vt:lpstr>'SM-Ex(Szenario 8 EB.4)'!PF</vt:lpstr>
      <vt:lpstr>'SM-Ex(Szenario12 EB.5 nk CuZn)'!PF</vt:lpstr>
      <vt:lpstr>'Modell PHOS4green-Verfahren'!PG</vt:lpstr>
      <vt:lpstr>'P-Ex(Sze.1 SEFoV mit F HS)'!PG</vt:lpstr>
      <vt:lpstr>'P-Ex(Sze.1 SEFoV mit F)'!PG</vt:lpstr>
      <vt:lpstr>'P-Ex(Sze.2 SEFoV ohne F HS)'!PG</vt:lpstr>
      <vt:lpstr>'P-Ex(Sze.2 SEFoV ohne F)'!PG</vt:lpstr>
      <vt:lpstr>'P-Ex(Sze.3 SEFmV mit F HS)'!PG</vt:lpstr>
      <vt:lpstr>'P-Ex(Sze.3 SEFmV mit F)'!PG</vt:lpstr>
      <vt:lpstr>'P-Ex(Szenario 1 EB.1)'!PG</vt:lpstr>
      <vt:lpstr>'P-Ex(Szenario 13 EB.2 Cd10%)'!PG</vt:lpstr>
      <vt:lpstr>'P-Ex(Szenario 14 EB.2 Cd85%)'!PG</vt:lpstr>
      <vt:lpstr>'P-Ex(Szenario 2 EB.2 mit F)'!PG</vt:lpstr>
      <vt:lpstr>'P-Ex(Szenario 3 EB.2 ohne F)'!PG</vt:lpstr>
      <vt:lpstr>'P-Ex(Szenario 6 EB.3 k CuZn)'!PG</vt:lpstr>
      <vt:lpstr>'P-Ex(Szenario 7 EB.3 nk CuZn)'!PG</vt:lpstr>
      <vt:lpstr>'SM-Ex(Sze.4 SEFoV HS)'!PG</vt:lpstr>
      <vt:lpstr>'SM-Ex(Sze.4 SEFoV)'!PG</vt:lpstr>
      <vt:lpstr>'SM-Ex(Sze.5 SEFmV HS)'!PG</vt:lpstr>
      <vt:lpstr>'SM-Ex(Sze.5 SEFmV)'!PG</vt:lpstr>
      <vt:lpstr>'SM-Ex(Szenario 11 EB.5 k CuZn)'!PG</vt:lpstr>
      <vt:lpstr>'SM-Ex(Szenario 8 EB.4)'!PG</vt:lpstr>
      <vt:lpstr>'SM-Ex(Szenario12 EB.5 nk CuZn)'!PG</vt:lpstr>
      <vt:lpstr>'Modell PHOS4green-Verfahren'!PISH</vt:lpstr>
      <vt:lpstr>'P-Ex(Sze.1 SEFoV mit F HS)'!PISH</vt:lpstr>
      <vt:lpstr>'P-Ex(Sze.1 SEFoV mit F)'!PISH</vt:lpstr>
      <vt:lpstr>'P-Ex(Sze.2 SEFoV ohne F HS)'!PISH</vt:lpstr>
      <vt:lpstr>'P-Ex(Sze.2 SEFoV ohne F)'!PISH</vt:lpstr>
      <vt:lpstr>'P-Ex(Sze.3 SEFmV mit F HS)'!PISH</vt:lpstr>
      <vt:lpstr>'SM-Ex(Sze.4 SEFoV HS)'!PISH</vt:lpstr>
      <vt:lpstr>'SM-Ex(Sze.4 SEFoV)'!PISH</vt:lpstr>
      <vt:lpstr>'Modell PHOS4green-Verfahren'!PKSA</vt:lpstr>
      <vt:lpstr>'P-Ex(Sze.1 SEFoV mit F HS)'!PKSA</vt:lpstr>
      <vt:lpstr>'P-Ex(Sze.1 SEFoV mit F)'!PKSA</vt:lpstr>
      <vt:lpstr>'P-Ex(Sze.2 SEFoV ohne F HS)'!PKSA</vt:lpstr>
      <vt:lpstr>'P-Ex(Sze.2 SEFoV ohne F)'!PKSA</vt:lpstr>
      <vt:lpstr>'P-Ex(Sze.3 SEFmV mit F HS)'!PKSA</vt:lpstr>
      <vt:lpstr>'P-Ex(Sze.3 SEFmV mit F)'!PKSA</vt:lpstr>
      <vt:lpstr>'P-Ex(Szenario 1 EB.1)'!PKSA</vt:lpstr>
      <vt:lpstr>'P-Ex(Szenario 13 EB.2 Cd10%)'!PKSA</vt:lpstr>
      <vt:lpstr>'P-Ex(Szenario 14 EB.2 Cd85%)'!PKSA</vt:lpstr>
      <vt:lpstr>'P-Ex(Szenario 2 EB.2 mit F)'!PKSA</vt:lpstr>
      <vt:lpstr>'P-Ex(Szenario 3 EB.2 ohne F)'!PKSA</vt:lpstr>
      <vt:lpstr>'P-Ex(Szenario 6 EB.3 k CuZn)'!PKSA</vt:lpstr>
      <vt:lpstr>'P-Ex(Szenario 7 EB.3 nk CuZn)'!PKSA</vt:lpstr>
      <vt:lpstr>'SM-Ex(Sze.4 SEFoV HS)'!PKSA</vt:lpstr>
      <vt:lpstr>'SM-Ex(Sze.4 SEFoV)'!PKSA</vt:lpstr>
      <vt:lpstr>'SM-Ex(Sze.5 SEFmV HS)'!PKSA</vt:lpstr>
      <vt:lpstr>'SM-Ex(Sze.5 SEFmV)'!PKSA</vt:lpstr>
      <vt:lpstr>'SM-Ex(Szenario 11 EB.5 k CuZn)'!PKSA</vt:lpstr>
      <vt:lpstr>'SM-Ex(Szenario 8 EB.4)'!PKSA</vt:lpstr>
      <vt:lpstr>'SM-Ex(Szenario12 EB.5 nk CuZn)'!PKSA</vt:lpstr>
      <vt:lpstr>'Modell PHOS4green-Verfahren'!PKSAk</vt:lpstr>
      <vt:lpstr>'P-Ex(Szenario 1 EB.1)'!PKSAk</vt:lpstr>
      <vt:lpstr>'P-Ex(Szenario 1 EB.1)'!PKSAnk</vt:lpstr>
      <vt:lpstr>'Modell PHOS4green-Verfahren'!PP</vt:lpstr>
      <vt:lpstr>'P-Ex(Sze.1 SEFoV mit F HS)'!PP</vt:lpstr>
      <vt:lpstr>'P-Ex(Sze.1 SEFoV mit F)'!PP</vt:lpstr>
      <vt:lpstr>'P-Ex(Sze.2 SEFoV ohne F HS)'!PP</vt:lpstr>
      <vt:lpstr>'P-Ex(Sze.2 SEFoV ohne F)'!PP</vt:lpstr>
      <vt:lpstr>'P-Ex(Sze.3 SEFmV mit F HS)'!PP</vt:lpstr>
      <vt:lpstr>'P-Ex(Sze.3 SEFmV mit F)'!PP</vt:lpstr>
      <vt:lpstr>'P-Ex(Szenario 1 EB.1)'!PP</vt:lpstr>
      <vt:lpstr>'P-Ex(Szenario 13 EB.2 Cd10%)'!PP</vt:lpstr>
      <vt:lpstr>'P-Ex(Szenario 14 EB.2 Cd85%)'!PP</vt:lpstr>
      <vt:lpstr>'P-Ex(Szenario 2 EB.2 mit F)'!PP</vt:lpstr>
      <vt:lpstr>'P-Ex(Szenario 3 EB.2 ohne F)'!PP</vt:lpstr>
      <vt:lpstr>'P-Ex(Szenario 6 EB.3 k CuZn)'!PP</vt:lpstr>
      <vt:lpstr>'P-Ex(Szenario 7 EB.3 nk CuZn)'!PP</vt:lpstr>
      <vt:lpstr>'SM-Ex(Sze.4 SEFoV HS)'!PP</vt:lpstr>
      <vt:lpstr>'SM-Ex(Sze.4 SEFoV)'!PP</vt:lpstr>
      <vt:lpstr>'SM-Ex(Sze.5 SEFmV HS)'!PP</vt:lpstr>
      <vt:lpstr>'SM-Ex(Sze.5 SEFmV)'!PP</vt:lpstr>
      <vt:lpstr>'SM-Ex(Szenario 11 EB.5 k CuZn)'!PP</vt:lpstr>
      <vt:lpstr>'SM-Ex(Szenario 8 EB.4)'!PP</vt:lpstr>
      <vt:lpstr>'SM-Ex(Szenario12 EB.5 nk CuZn)'!PP</vt:lpstr>
      <vt:lpstr>'Modell PHOS4green-Verfahren'!PSEF</vt:lpstr>
      <vt:lpstr>'P-Ex(Sze.1 SEFoV mit F HS)'!PSEF</vt:lpstr>
      <vt:lpstr>'P-Ex(Sze.1 SEFoV mit F)'!PSEF</vt:lpstr>
      <vt:lpstr>'P-Ex(Sze.2 SEFoV ohne F HS)'!PSEF</vt:lpstr>
      <vt:lpstr>'P-Ex(Sze.2 SEFoV ohne F)'!PSEF</vt:lpstr>
      <vt:lpstr>'P-Ex(Sze.3 SEFmV mit F HS)'!PSEF</vt:lpstr>
      <vt:lpstr>'SM-Ex(Sze.4 SEFoV HS)'!PSEF</vt:lpstr>
      <vt:lpstr>'SM-Ex(Sze.4 SEFoV)'!PSEF</vt:lpstr>
      <vt:lpstr>'P-Ex(Sze.1 SEFoV mit F HS)'!PSK</vt:lpstr>
      <vt:lpstr>'P-Ex(Sze.1 SEFoV mit F)'!PSK</vt:lpstr>
      <vt:lpstr>'P-Ex(Sze.2 SEFoV ohne F HS)'!PSK</vt:lpstr>
      <vt:lpstr>'P-Ex(Sze.2 SEFoV ohne F)'!PSK</vt:lpstr>
      <vt:lpstr>'P-Ex(Sze.3 SEFmV mit F HS)'!PSK</vt:lpstr>
      <vt:lpstr>'P-Ex(Sze.3 SEFmV mit F)'!PSK</vt:lpstr>
      <vt:lpstr>'P-Ex(Szenario 1 EB.1)'!PSK</vt:lpstr>
      <vt:lpstr>'P-Ex(Szenario 13 EB.2 Cd10%)'!PSK</vt:lpstr>
      <vt:lpstr>'P-Ex(Szenario 14 EB.2 Cd85%)'!PSK</vt:lpstr>
      <vt:lpstr>'P-Ex(Szenario 2 EB.2 mit F)'!PSK</vt:lpstr>
      <vt:lpstr>'P-Ex(Szenario 3 EB.2 ohne F)'!PSK</vt:lpstr>
      <vt:lpstr>'P-Ex(Szenario 6 EB.3 k CuZn)'!PSK</vt:lpstr>
      <vt:lpstr>'P-Ex(Szenario 7 EB.3 nk CuZn)'!PSK</vt:lpstr>
      <vt:lpstr>'SM-Ex(Sze.4 SEFoV HS)'!PSK</vt:lpstr>
      <vt:lpstr>'SM-Ex(Sze.4 SEFoV)'!PSK</vt:lpstr>
      <vt:lpstr>'SM-Ex(Sze.5 SEFmV HS)'!PSK</vt:lpstr>
      <vt:lpstr>'SM-Ex(Sze.5 SEFmV)'!PSK</vt:lpstr>
      <vt:lpstr>'SM-Ex(Szenario 11 EB.5 k CuZn)'!PSK</vt:lpstr>
      <vt:lpstr>'SM-Ex(Szenario 8 EB.4)'!PSK</vt:lpstr>
      <vt:lpstr>'SM-Ex(Szenario12 EB.5 nk CuZn)'!PSK</vt:lpstr>
      <vt:lpstr>'Modell PHOS4green-Verfahren'!PTVM</vt:lpstr>
      <vt:lpstr>'P-Ex(Sze.1 SEFoV mit F HS)'!PTVM</vt:lpstr>
      <vt:lpstr>'P-Ex(Sze.1 SEFoV mit F)'!PTVM</vt:lpstr>
      <vt:lpstr>'P-Ex(Sze.2 SEFoV ohne F HS)'!PTVM</vt:lpstr>
      <vt:lpstr>'P-Ex(Sze.2 SEFoV ohne F)'!PTVM</vt:lpstr>
      <vt:lpstr>'P-Ex(Sze.3 SEFmV mit F HS)'!PTVM</vt:lpstr>
      <vt:lpstr>'SM-Ex(Sze.4 SEFoV HS)'!PTVM</vt:lpstr>
      <vt:lpstr>'SM-Ex(Sze.4 SEFoV)'!PTVM</vt:lpstr>
      <vt:lpstr>'P-Ex(Sze.1 SEFoV mit F HS)'!RlAl</vt:lpstr>
      <vt:lpstr>'P-Ex(Sze.1 SEFoV mit F)'!RlAl</vt:lpstr>
      <vt:lpstr>'P-Ex(Sze.2 SEFoV ohne F HS)'!RlAl</vt:lpstr>
      <vt:lpstr>'P-Ex(Sze.2 SEFoV ohne F)'!RlAl</vt:lpstr>
      <vt:lpstr>'P-Ex(Sze.3 SEFmV mit F HS)'!RlAl</vt:lpstr>
      <vt:lpstr>'P-Ex(Sze.3 SEFmV mit F)'!RlAl</vt:lpstr>
      <vt:lpstr>'P-Ex(Szenario 1 EB.1)'!RlAl</vt:lpstr>
      <vt:lpstr>'P-Ex(Szenario 13 EB.2 Cd10%)'!RlAl</vt:lpstr>
      <vt:lpstr>'P-Ex(Szenario 14 EB.2 Cd85%)'!RlAl</vt:lpstr>
      <vt:lpstr>'P-Ex(Szenario 2 EB.2 mit F)'!RlAl</vt:lpstr>
      <vt:lpstr>'P-Ex(Szenario 3 EB.2 ohne F)'!RlAl</vt:lpstr>
      <vt:lpstr>'P-Ex(Szenario 6 EB.3 k CuZn)'!RlAl</vt:lpstr>
      <vt:lpstr>'P-Ex(Szenario 7 EB.3 nk CuZn)'!RlAl</vt:lpstr>
      <vt:lpstr>'SM-Ex(Sze.4 SEFoV HS)'!RlAl</vt:lpstr>
      <vt:lpstr>'SM-Ex(Sze.4 SEFoV)'!RlAl</vt:lpstr>
      <vt:lpstr>'SM-Ex(Sze.5 SEFmV HS)'!RlAl</vt:lpstr>
      <vt:lpstr>'SM-Ex(Sze.5 SEFmV)'!RlAl</vt:lpstr>
      <vt:lpstr>'SM-Ex(Szenario 11 EB.5 k CuZn)'!RlAl</vt:lpstr>
      <vt:lpstr>'SM-Ex(Szenario 8 EB.4)'!RlAl</vt:lpstr>
      <vt:lpstr>'SM-Ex(Szenario12 EB.5 nk CuZn)'!RlAl</vt:lpstr>
      <vt:lpstr>'P-Ex(Sze.1 SEFoV mit F HS)'!RlAs</vt:lpstr>
      <vt:lpstr>'P-Ex(Sze.1 SEFoV mit F)'!RlAs</vt:lpstr>
      <vt:lpstr>'P-Ex(Sze.2 SEFoV ohne F HS)'!RlAs</vt:lpstr>
      <vt:lpstr>'P-Ex(Sze.2 SEFoV ohne F)'!RlAs</vt:lpstr>
      <vt:lpstr>'P-Ex(Sze.3 SEFmV mit F HS)'!RlAs</vt:lpstr>
      <vt:lpstr>'P-Ex(Sze.3 SEFmV mit F)'!RlAs</vt:lpstr>
      <vt:lpstr>'P-Ex(Szenario 1 EB.1)'!RlAs</vt:lpstr>
      <vt:lpstr>'P-Ex(Szenario 13 EB.2 Cd10%)'!RlAs</vt:lpstr>
      <vt:lpstr>'P-Ex(Szenario 14 EB.2 Cd85%)'!RlAs</vt:lpstr>
      <vt:lpstr>'P-Ex(Szenario 2 EB.2 mit F)'!RlAs</vt:lpstr>
      <vt:lpstr>'P-Ex(Szenario 3 EB.2 ohne F)'!RlAs</vt:lpstr>
      <vt:lpstr>'P-Ex(Szenario 6 EB.3 k CuZn)'!RlAs</vt:lpstr>
      <vt:lpstr>'P-Ex(Szenario 7 EB.3 nk CuZn)'!RlAs</vt:lpstr>
      <vt:lpstr>'SM-Ex(Sze.4 SEFoV HS)'!RlAs</vt:lpstr>
      <vt:lpstr>'SM-Ex(Sze.4 SEFoV)'!RlAs</vt:lpstr>
      <vt:lpstr>'SM-Ex(Sze.5 SEFmV HS)'!RlAs</vt:lpstr>
      <vt:lpstr>'SM-Ex(Sze.5 SEFmV)'!RlAs</vt:lpstr>
      <vt:lpstr>'SM-Ex(Szenario 11 EB.5 k CuZn)'!RlAs</vt:lpstr>
      <vt:lpstr>'SM-Ex(Szenario 8 EB.4)'!RlAs</vt:lpstr>
      <vt:lpstr>'SM-Ex(Szenario12 EB.5 nk CuZn)'!RlAs</vt:lpstr>
      <vt:lpstr>'P-Ex(Sze.1 SEFoV mit F HS)'!RlCa</vt:lpstr>
      <vt:lpstr>'P-Ex(Sze.1 SEFoV mit F)'!RlCa</vt:lpstr>
      <vt:lpstr>'P-Ex(Sze.2 SEFoV ohne F HS)'!RlCa</vt:lpstr>
      <vt:lpstr>'P-Ex(Sze.2 SEFoV ohne F)'!RlCa</vt:lpstr>
      <vt:lpstr>'P-Ex(Sze.3 SEFmV mit F HS)'!RlCa</vt:lpstr>
      <vt:lpstr>'P-Ex(Sze.3 SEFmV mit F)'!RlCa</vt:lpstr>
      <vt:lpstr>'P-Ex(Szenario 1 EB.1)'!RlCa</vt:lpstr>
      <vt:lpstr>'P-Ex(Szenario 13 EB.2 Cd10%)'!RlCa</vt:lpstr>
      <vt:lpstr>'P-Ex(Szenario 14 EB.2 Cd85%)'!RlCa</vt:lpstr>
      <vt:lpstr>'P-Ex(Szenario 2 EB.2 mit F)'!RlCa</vt:lpstr>
      <vt:lpstr>'P-Ex(Szenario 3 EB.2 ohne F)'!RlCa</vt:lpstr>
      <vt:lpstr>'P-Ex(Szenario 6 EB.3 k CuZn)'!RlCa</vt:lpstr>
      <vt:lpstr>'P-Ex(Szenario 7 EB.3 nk CuZn)'!RlCa</vt:lpstr>
      <vt:lpstr>'SM-Ex(Sze.4 SEFoV HS)'!RlCa</vt:lpstr>
      <vt:lpstr>'SM-Ex(Sze.4 SEFoV)'!RlCa</vt:lpstr>
      <vt:lpstr>'SM-Ex(Sze.5 SEFmV HS)'!RlCa</vt:lpstr>
      <vt:lpstr>'SM-Ex(Sze.5 SEFmV)'!RlCa</vt:lpstr>
      <vt:lpstr>'SM-Ex(Szenario 11 EB.5 k CuZn)'!RlCa</vt:lpstr>
      <vt:lpstr>'SM-Ex(Szenario 8 EB.4)'!RlCa</vt:lpstr>
      <vt:lpstr>'SM-Ex(Szenario12 EB.5 nk CuZn)'!RlCa</vt:lpstr>
      <vt:lpstr>'P-Ex(Sze.1 SEFoV mit F HS)'!RlCd</vt:lpstr>
      <vt:lpstr>'P-Ex(Sze.1 SEFoV mit F)'!RlCd</vt:lpstr>
      <vt:lpstr>'P-Ex(Sze.2 SEFoV ohne F HS)'!RlCd</vt:lpstr>
      <vt:lpstr>'P-Ex(Sze.2 SEFoV ohne F)'!RlCd</vt:lpstr>
      <vt:lpstr>'P-Ex(Sze.3 SEFmV mit F HS)'!RlCd</vt:lpstr>
      <vt:lpstr>'P-Ex(Sze.3 SEFmV mit F)'!RlCd</vt:lpstr>
      <vt:lpstr>'P-Ex(Szenario 1 EB.1)'!RlCd</vt:lpstr>
      <vt:lpstr>'P-Ex(Szenario 13 EB.2 Cd10%)'!RlCd</vt:lpstr>
      <vt:lpstr>'P-Ex(Szenario 14 EB.2 Cd85%)'!RlCd</vt:lpstr>
      <vt:lpstr>'P-Ex(Szenario 2 EB.2 mit F)'!RlCd</vt:lpstr>
      <vt:lpstr>'P-Ex(Szenario 3 EB.2 ohne F)'!RlCd</vt:lpstr>
      <vt:lpstr>'P-Ex(Szenario 6 EB.3 k CuZn)'!RlCd</vt:lpstr>
      <vt:lpstr>'P-Ex(Szenario 7 EB.3 nk CuZn)'!RlCd</vt:lpstr>
      <vt:lpstr>'SM-Ex(Sze.4 SEFoV HS)'!RlCd</vt:lpstr>
      <vt:lpstr>'SM-Ex(Sze.4 SEFoV)'!RlCd</vt:lpstr>
      <vt:lpstr>'SM-Ex(Sze.5 SEFmV HS)'!RlCd</vt:lpstr>
      <vt:lpstr>'SM-Ex(Sze.5 SEFmV)'!RlCd</vt:lpstr>
      <vt:lpstr>'SM-Ex(Szenario 11 EB.5 k CuZn)'!RlCd</vt:lpstr>
      <vt:lpstr>'SM-Ex(Szenario 8 EB.4)'!RlCd</vt:lpstr>
      <vt:lpstr>'SM-Ex(Szenario12 EB.5 nk CuZn)'!RlCd</vt:lpstr>
      <vt:lpstr>'P-Ex(Sze.1 SEFoV mit F HS)'!RlCr</vt:lpstr>
      <vt:lpstr>'P-Ex(Sze.1 SEFoV mit F)'!RlCr</vt:lpstr>
      <vt:lpstr>'P-Ex(Sze.2 SEFoV ohne F HS)'!RlCr</vt:lpstr>
      <vt:lpstr>'P-Ex(Sze.2 SEFoV ohne F)'!RlCr</vt:lpstr>
      <vt:lpstr>'P-Ex(Sze.3 SEFmV mit F HS)'!RlCr</vt:lpstr>
      <vt:lpstr>'P-Ex(Sze.3 SEFmV mit F)'!RlCr</vt:lpstr>
      <vt:lpstr>'P-Ex(Szenario 1 EB.1)'!RlCr</vt:lpstr>
      <vt:lpstr>'P-Ex(Szenario 13 EB.2 Cd10%)'!RlCr</vt:lpstr>
      <vt:lpstr>'P-Ex(Szenario 14 EB.2 Cd85%)'!RlCr</vt:lpstr>
      <vt:lpstr>'P-Ex(Szenario 2 EB.2 mit F)'!RlCr</vt:lpstr>
      <vt:lpstr>'P-Ex(Szenario 3 EB.2 ohne F)'!RlCr</vt:lpstr>
      <vt:lpstr>'P-Ex(Szenario 6 EB.3 k CuZn)'!RlCr</vt:lpstr>
      <vt:lpstr>'P-Ex(Szenario 7 EB.3 nk CuZn)'!RlCr</vt:lpstr>
      <vt:lpstr>'SM-Ex(Sze.4 SEFoV HS)'!RlCr</vt:lpstr>
      <vt:lpstr>'SM-Ex(Sze.4 SEFoV)'!RlCr</vt:lpstr>
      <vt:lpstr>'SM-Ex(Sze.5 SEFmV HS)'!RlCr</vt:lpstr>
      <vt:lpstr>'SM-Ex(Sze.5 SEFmV)'!RlCr</vt:lpstr>
      <vt:lpstr>'SM-Ex(Szenario 11 EB.5 k CuZn)'!RlCr</vt:lpstr>
      <vt:lpstr>'SM-Ex(Szenario 8 EB.4)'!RlCr</vt:lpstr>
      <vt:lpstr>'SM-Ex(Szenario12 EB.5 nk CuZn)'!RlCr</vt:lpstr>
      <vt:lpstr>'P-Ex(Sze.1 SEFoV mit F HS)'!RlCu</vt:lpstr>
      <vt:lpstr>'P-Ex(Sze.1 SEFoV mit F)'!RlCu</vt:lpstr>
      <vt:lpstr>'P-Ex(Sze.2 SEFoV ohne F HS)'!RlCu</vt:lpstr>
      <vt:lpstr>'P-Ex(Sze.2 SEFoV ohne F)'!RlCu</vt:lpstr>
      <vt:lpstr>'P-Ex(Sze.3 SEFmV mit F HS)'!RlCu</vt:lpstr>
      <vt:lpstr>'P-Ex(Sze.3 SEFmV mit F)'!RlCu</vt:lpstr>
      <vt:lpstr>'P-Ex(Szenario 1 EB.1)'!RlCu</vt:lpstr>
      <vt:lpstr>'P-Ex(Szenario 13 EB.2 Cd10%)'!RlCu</vt:lpstr>
      <vt:lpstr>'P-Ex(Szenario 14 EB.2 Cd85%)'!RlCu</vt:lpstr>
      <vt:lpstr>'P-Ex(Szenario 2 EB.2 mit F)'!RlCu</vt:lpstr>
      <vt:lpstr>'P-Ex(Szenario 3 EB.2 ohne F)'!RlCu</vt:lpstr>
      <vt:lpstr>'P-Ex(Szenario 6 EB.3 k CuZn)'!RlCu</vt:lpstr>
      <vt:lpstr>'P-Ex(Szenario 7 EB.3 nk CuZn)'!RlCu</vt:lpstr>
      <vt:lpstr>'SM-Ex(Sze.4 SEFoV HS)'!RlCu</vt:lpstr>
      <vt:lpstr>'SM-Ex(Sze.4 SEFoV)'!RlCu</vt:lpstr>
      <vt:lpstr>'SM-Ex(Sze.5 SEFmV HS)'!RlCu</vt:lpstr>
      <vt:lpstr>'SM-Ex(Sze.5 SEFmV)'!RlCu</vt:lpstr>
      <vt:lpstr>'SM-Ex(Szenario 11 EB.5 k CuZn)'!RlCu</vt:lpstr>
      <vt:lpstr>'SM-Ex(Szenario 8 EB.4)'!RlCu</vt:lpstr>
      <vt:lpstr>'SM-Ex(Szenario12 EB.5 nk CuZn)'!RlCu</vt:lpstr>
      <vt:lpstr>'P-Ex(Sze.1 SEFoV mit F HS)'!RlFe</vt:lpstr>
      <vt:lpstr>'P-Ex(Sze.1 SEFoV mit F)'!RlFe</vt:lpstr>
      <vt:lpstr>'P-Ex(Sze.2 SEFoV ohne F HS)'!RlFe</vt:lpstr>
      <vt:lpstr>'P-Ex(Sze.2 SEFoV ohne F)'!RlFe</vt:lpstr>
      <vt:lpstr>'P-Ex(Sze.3 SEFmV mit F HS)'!RlFe</vt:lpstr>
      <vt:lpstr>'P-Ex(Sze.3 SEFmV mit F)'!RlFe</vt:lpstr>
      <vt:lpstr>'P-Ex(Szenario 1 EB.1)'!RlFe</vt:lpstr>
      <vt:lpstr>'P-Ex(Szenario 13 EB.2 Cd10%)'!RlFe</vt:lpstr>
      <vt:lpstr>'P-Ex(Szenario 14 EB.2 Cd85%)'!RlFe</vt:lpstr>
      <vt:lpstr>'P-Ex(Szenario 2 EB.2 mit F)'!RlFe</vt:lpstr>
      <vt:lpstr>'P-Ex(Szenario 3 EB.2 ohne F)'!RlFe</vt:lpstr>
      <vt:lpstr>'P-Ex(Szenario 6 EB.3 k CuZn)'!RlFe</vt:lpstr>
      <vt:lpstr>'P-Ex(Szenario 7 EB.3 nk CuZn)'!RlFe</vt:lpstr>
      <vt:lpstr>'SM-Ex(Sze.4 SEFoV HS)'!RlFe</vt:lpstr>
      <vt:lpstr>'SM-Ex(Sze.4 SEFoV)'!RlFe</vt:lpstr>
      <vt:lpstr>'SM-Ex(Sze.5 SEFmV HS)'!RlFe</vt:lpstr>
      <vt:lpstr>'SM-Ex(Sze.5 SEFmV)'!RlFe</vt:lpstr>
      <vt:lpstr>'SM-Ex(Szenario 11 EB.5 k CuZn)'!RlFe</vt:lpstr>
      <vt:lpstr>'SM-Ex(Szenario 8 EB.4)'!RlFe</vt:lpstr>
      <vt:lpstr>'SM-Ex(Szenario12 EB.5 nk CuZn)'!RlFe</vt:lpstr>
      <vt:lpstr>'P-Ex(Sze.1 SEFoV mit F HS)'!RlK</vt:lpstr>
      <vt:lpstr>'P-Ex(Sze.1 SEFoV mit F)'!RlK</vt:lpstr>
      <vt:lpstr>'P-Ex(Sze.2 SEFoV ohne F HS)'!RlK</vt:lpstr>
      <vt:lpstr>'P-Ex(Sze.2 SEFoV ohne F)'!RlK</vt:lpstr>
      <vt:lpstr>'P-Ex(Sze.3 SEFmV mit F HS)'!RlK</vt:lpstr>
      <vt:lpstr>'P-Ex(Sze.3 SEFmV mit F)'!RlK</vt:lpstr>
      <vt:lpstr>'P-Ex(Szenario 1 EB.1)'!RlK</vt:lpstr>
      <vt:lpstr>'P-Ex(Szenario 13 EB.2 Cd10%)'!RlK</vt:lpstr>
      <vt:lpstr>'P-Ex(Szenario 14 EB.2 Cd85%)'!RlK</vt:lpstr>
      <vt:lpstr>'P-Ex(Szenario 2 EB.2 mit F)'!RlK</vt:lpstr>
      <vt:lpstr>'P-Ex(Szenario 3 EB.2 ohne F)'!RlK</vt:lpstr>
      <vt:lpstr>'P-Ex(Szenario 6 EB.3 k CuZn)'!RlK</vt:lpstr>
      <vt:lpstr>'P-Ex(Szenario 7 EB.3 nk CuZn)'!RlK</vt:lpstr>
      <vt:lpstr>'SM-Ex(Sze.4 SEFoV HS)'!RlK</vt:lpstr>
      <vt:lpstr>'SM-Ex(Sze.4 SEFoV)'!RlK</vt:lpstr>
      <vt:lpstr>'SM-Ex(Sze.5 SEFmV HS)'!RlK</vt:lpstr>
      <vt:lpstr>'SM-Ex(Sze.5 SEFmV)'!RlK</vt:lpstr>
      <vt:lpstr>'SM-Ex(Szenario 11 EB.5 k CuZn)'!RlK</vt:lpstr>
      <vt:lpstr>'SM-Ex(Szenario 8 EB.4)'!RlK</vt:lpstr>
      <vt:lpstr>'SM-Ex(Szenario12 EB.5 nk CuZn)'!RlK</vt:lpstr>
      <vt:lpstr>'P-Ex(Sze.1 SEFoV mit F HS)'!RlMg</vt:lpstr>
      <vt:lpstr>'P-Ex(Sze.1 SEFoV mit F)'!RlMg</vt:lpstr>
      <vt:lpstr>'P-Ex(Sze.2 SEFoV ohne F HS)'!RlMg</vt:lpstr>
      <vt:lpstr>'P-Ex(Sze.2 SEFoV ohne F)'!RlMg</vt:lpstr>
      <vt:lpstr>'P-Ex(Sze.3 SEFmV mit F HS)'!RlMg</vt:lpstr>
      <vt:lpstr>'P-Ex(Sze.3 SEFmV mit F)'!RlMg</vt:lpstr>
      <vt:lpstr>'P-Ex(Szenario 1 EB.1)'!RlMg</vt:lpstr>
      <vt:lpstr>'P-Ex(Szenario 13 EB.2 Cd10%)'!RlMg</vt:lpstr>
      <vt:lpstr>'P-Ex(Szenario 14 EB.2 Cd85%)'!RlMg</vt:lpstr>
      <vt:lpstr>'P-Ex(Szenario 2 EB.2 mit F)'!RlMg</vt:lpstr>
      <vt:lpstr>'P-Ex(Szenario 3 EB.2 ohne F)'!RlMg</vt:lpstr>
      <vt:lpstr>'P-Ex(Szenario 6 EB.3 k CuZn)'!RlMg</vt:lpstr>
      <vt:lpstr>'P-Ex(Szenario 7 EB.3 nk CuZn)'!RlMg</vt:lpstr>
      <vt:lpstr>'SM-Ex(Sze.4 SEFoV HS)'!RlMg</vt:lpstr>
      <vt:lpstr>'SM-Ex(Sze.4 SEFoV)'!RlMg</vt:lpstr>
      <vt:lpstr>'SM-Ex(Sze.5 SEFmV HS)'!RlMg</vt:lpstr>
      <vt:lpstr>'SM-Ex(Sze.5 SEFmV)'!RlMg</vt:lpstr>
      <vt:lpstr>'SM-Ex(Szenario 11 EB.5 k CuZn)'!RlMg</vt:lpstr>
      <vt:lpstr>'SM-Ex(Szenario 8 EB.4)'!RlMg</vt:lpstr>
      <vt:lpstr>'SM-Ex(Szenario12 EB.5 nk CuZn)'!RlMg</vt:lpstr>
      <vt:lpstr>'P-Ex(Sze.1 SEFoV mit F HS)'!RlNa</vt:lpstr>
      <vt:lpstr>'P-Ex(Sze.1 SEFoV mit F)'!RlNa</vt:lpstr>
      <vt:lpstr>'P-Ex(Sze.2 SEFoV ohne F HS)'!RlNa</vt:lpstr>
      <vt:lpstr>'P-Ex(Sze.2 SEFoV ohne F)'!RlNa</vt:lpstr>
      <vt:lpstr>'P-Ex(Sze.3 SEFmV mit F HS)'!RlNa</vt:lpstr>
      <vt:lpstr>'P-Ex(Sze.3 SEFmV mit F)'!RlNa</vt:lpstr>
      <vt:lpstr>'P-Ex(Szenario 1 EB.1)'!RlNa</vt:lpstr>
      <vt:lpstr>'P-Ex(Szenario 13 EB.2 Cd10%)'!RlNa</vt:lpstr>
      <vt:lpstr>'P-Ex(Szenario 14 EB.2 Cd85%)'!RlNa</vt:lpstr>
      <vt:lpstr>'P-Ex(Szenario 2 EB.2 mit F)'!RlNa</vt:lpstr>
      <vt:lpstr>'P-Ex(Szenario 3 EB.2 ohne F)'!RlNa</vt:lpstr>
      <vt:lpstr>'P-Ex(Szenario 6 EB.3 k CuZn)'!RlNa</vt:lpstr>
      <vt:lpstr>'P-Ex(Szenario 7 EB.3 nk CuZn)'!RlNa</vt:lpstr>
      <vt:lpstr>'SM-Ex(Sze.4 SEFoV HS)'!RlNa</vt:lpstr>
      <vt:lpstr>'SM-Ex(Sze.4 SEFoV)'!RlNa</vt:lpstr>
      <vt:lpstr>'SM-Ex(Sze.5 SEFmV HS)'!RlNa</vt:lpstr>
      <vt:lpstr>'SM-Ex(Sze.5 SEFmV)'!RlNa</vt:lpstr>
      <vt:lpstr>'SM-Ex(Szenario 11 EB.5 k CuZn)'!RlNa</vt:lpstr>
      <vt:lpstr>'SM-Ex(Szenario 8 EB.4)'!RlNa</vt:lpstr>
      <vt:lpstr>'SM-Ex(Szenario12 EB.5 nk CuZn)'!RlNa</vt:lpstr>
      <vt:lpstr>'P-Ex(Sze.1 SEFoV mit F HS)'!RlNi</vt:lpstr>
      <vt:lpstr>'P-Ex(Sze.1 SEFoV mit F)'!RlNi</vt:lpstr>
      <vt:lpstr>'P-Ex(Sze.2 SEFoV ohne F HS)'!RlNi</vt:lpstr>
      <vt:lpstr>'P-Ex(Sze.2 SEFoV ohne F)'!RlNi</vt:lpstr>
      <vt:lpstr>'P-Ex(Sze.3 SEFmV mit F HS)'!RlNi</vt:lpstr>
      <vt:lpstr>'P-Ex(Sze.3 SEFmV mit F)'!RlNi</vt:lpstr>
      <vt:lpstr>'P-Ex(Szenario 1 EB.1)'!RlNi</vt:lpstr>
      <vt:lpstr>'P-Ex(Szenario 13 EB.2 Cd10%)'!RlNi</vt:lpstr>
      <vt:lpstr>'P-Ex(Szenario 14 EB.2 Cd85%)'!RlNi</vt:lpstr>
      <vt:lpstr>'P-Ex(Szenario 2 EB.2 mit F)'!RlNi</vt:lpstr>
      <vt:lpstr>'P-Ex(Szenario 3 EB.2 ohne F)'!RlNi</vt:lpstr>
      <vt:lpstr>'P-Ex(Szenario 6 EB.3 k CuZn)'!RlNi</vt:lpstr>
      <vt:lpstr>'P-Ex(Szenario 7 EB.3 nk CuZn)'!RlNi</vt:lpstr>
      <vt:lpstr>'SM-Ex(Sze.4 SEFoV HS)'!RlNi</vt:lpstr>
      <vt:lpstr>'SM-Ex(Sze.4 SEFoV)'!RlNi</vt:lpstr>
      <vt:lpstr>'SM-Ex(Sze.5 SEFmV HS)'!RlNi</vt:lpstr>
      <vt:lpstr>'SM-Ex(Sze.5 SEFmV)'!RlNi</vt:lpstr>
      <vt:lpstr>'SM-Ex(Szenario 11 EB.5 k CuZn)'!RlNi</vt:lpstr>
      <vt:lpstr>'SM-Ex(Szenario 8 EB.4)'!RlNi</vt:lpstr>
      <vt:lpstr>'SM-Ex(Szenario12 EB.5 nk CuZn)'!RlNi</vt:lpstr>
      <vt:lpstr>'P-Ex(Sze.1 SEFoV mit F HS)'!RlP</vt:lpstr>
      <vt:lpstr>'P-Ex(Sze.1 SEFoV mit F)'!RlP</vt:lpstr>
      <vt:lpstr>'P-Ex(Sze.2 SEFoV ohne F HS)'!RlP</vt:lpstr>
      <vt:lpstr>'P-Ex(Sze.2 SEFoV ohne F)'!RlP</vt:lpstr>
      <vt:lpstr>'P-Ex(Sze.3 SEFmV mit F HS)'!RlP</vt:lpstr>
      <vt:lpstr>'P-Ex(Sze.3 SEFmV mit F)'!RlP</vt:lpstr>
      <vt:lpstr>'P-Ex(Szenario 1 EB.1)'!RlP</vt:lpstr>
      <vt:lpstr>'P-Ex(Szenario 13 EB.2 Cd10%)'!RlP</vt:lpstr>
      <vt:lpstr>'P-Ex(Szenario 14 EB.2 Cd85%)'!RlP</vt:lpstr>
      <vt:lpstr>'P-Ex(Szenario 2 EB.2 mit F)'!RlP</vt:lpstr>
      <vt:lpstr>'P-Ex(Szenario 3 EB.2 ohne F)'!RlP</vt:lpstr>
      <vt:lpstr>'P-Ex(Szenario 6 EB.3 k CuZn)'!RlP</vt:lpstr>
      <vt:lpstr>'P-Ex(Szenario 7 EB.3 nk CuZn)'!RlP</vt:lpstr>
      <vt:lpstr>'SM-Ex(Sze.4 SEFoV HS)'!RlP</vt:lpstr>
      <vt:lpstr>'SM-Ex(Sze.4 SEFoV)'!RlP</vt:lpstr>
      <vt:lpstr>'SM-Ex(Sze.5 SEFmV HS)'!RlP</vt:lpstr>
      <vt:lpstr>'SM-Ex(Sze.5 SEFmV)'!RlP</vt:lpstr>
      <vt:lpstr>'SM-Ex(Szenario 11 EB.5 k CuZn)'!RlP</vt:lpstr>
      <vt:lpstr>'SM-Ex(Szenario 8 EB.4)'!RlP</vt:lpstr>
      <vt:lpstr>'SM-Ex(Szenario12 EB.5 nk CuZn)'!RlP</vt:lpstr>
      <vt:lpstr>'P-Ex(Sze.1 SEFoV mit F HS)'!RlPb</vt:lpstr>
      <vt:lpstr>'P-Ex(Sze.1 SEFoV mit F)'!RlPb</vt:lpstr>
      <vt:lpstr>'P-Ex(Sze.2 SEFoV ohne F HS)'!RlPb</vt:lpstr>
      <vt:lpstr>'P-Ex(Sze.2 SEFoV ohne F)'!RlPb</vt:lpstr>
      <vt:lpstr>'P-Ex(Sze.3 SEFmV mit F HS)'!RlPb</vt:lpstr>
      <vt:lpstr>'P-Ex(Sze.3 SEFmV mit F)'!RlPb</vt:lpstr>
      <vt:lpstr>'P-Ex(Szenario 1 EB.1)'!RlPb</vt:lpstr>
      <vt:lpstr>'P-Ex(Szenario 13 EB.2 Cd10%)'!RlPb</vt:lpstr>
      <vt:lpstr>'P-Ex(Szenario 14 EB.2 Cd85%)'!RlPb</vt:lpstr>
      <vt:lpstr>'P-Ex(Szenario 2 EB.2 mit F)'!RlPb</vt:lpstr>
      <vt:lpstr>'P-Ex(Szenario 3 EB.2 ohne F)'!RlPb</vt:lpstr>
      <vt:lpstr>'P-Ex(Szenario 6 EB.3 k CuZn)'!RlPb</vt:lpstr>
      <vt:lpstr>'P-Ex(Szenario 7 EB.3 nk CuZn)'!RlPb</vt:lpstr>
      <vt:lpstr>'SM-Ex(Sze.4 SEFoV HS)'!RlPb</vt:lpstr>
      <vt:lpstr>'SM-Ex(Sze.4 SEFoV)'!RlPb</vt:lpstr>
      <vt:lpstr>'SM-Ex(Sze.5 SEFmV HS)'!RlPb</vt:lpstr>
      <vt:lpstr>'SM-Ex(Sze.5 SEFmV)'!RlPb</vt:lpstr>
      <vt:lpstr>'SM-Ex(Szenario 11 EB.5 k CuZn)'!RlPb</vt:lpstr>
      <vt:lpstr>'SM-Ex(Szenario 8 EB.4)'!RlPb</vt:lpstr>
      <vt:lpstr>'SM-Ex(Szenario12 EB.5 nk CuZn)'!RlPb</vt:lpstr>
      <vt:lpstr>'P-Ex(Sze.1 SEFoV mit F HS)'!RlS</vt:lpstr>
      <vt:lpstr>'P-Ex(Sze.1 SEFoV mit F)'!RlS</vt:lpstr>
      <vt:lpstr>'P-Ex(Sze.2 SEFoV ohne F HS)'!RlS</vt:lpstr>
      <vt:lpstr>'P-Ex(Sze.2 SEFoV ohne F)'!RlS</vt:lpstr>
      <vt:lpstr>'P-Ex(Sze.3 SEFmV mit F HS)'!RlS</vt:lpstr>
      <vt:lpstr>'P-Ex(Sze.3 SEFmV mit F)'!RlS</vt:lpstr>
      <vt:lpstr>'P-Ex(Szenario 1 EB.1)'!RlS</vt:lpstr>
      <vt:lpstr>'P-Ex(Szenario 13 EB.2 Cd10%)'!RlS</vt:lpstr>
      <vt:lpstr>'P-Ex(Szenario 14 EB.2 Cd85%)'!RlS</vt:lpstr>
      <vt:lpstr>'P-Ex(Szenario 2 EB.2 mit F)'!RlS</vt:lpstr>
      <vt:lpstr>'P-Ex(Szenario 3 EB.2 ohne F)'!RlS</vt:lpstr>
      <vt:lpstr>'P-Ex(Szenario 6 EB.3 k CuZn)'!RlS</vt:lpstr>
      <vt:lpstr>'P-Ex(Szenario 7 EB.3 nk CuZn)'!RlS</vt:lpstr>
      <vt:lpstr>'SM-Ex(Sze.4 SEFoV HS)'!RlS</vt:lpstr>
      <vt:lpstr>'SM-Ex(Sze.4 SEFoV)'!RlS</vt:lpstr>
      <vt:lpstr>'SM-Ex(Sze.5 SEFmV HS)'!RlS</vt:lpstr>
      <vt:lpstr>'SM-Ex(Sze.5 SEFmV)'!RlS</vt:lpstr>
      <vt:lpstr>'SM-Ex(Szenario 11 EB.5 k CuZn)'!RlS</vt:lpstr>
      <vt:lpstr>'SM-Ex(Szenario 8 EB.4)'!RlS</vt:lpstr>
      <vt:lpstr>'SM-Ex(Szenario12 EB.5 nk CuZn)'!RlS</vt:lpstr>
      <vt:lpstr>'P-Ex(Sze.1 SEFoV mit F HS)'!RlZn</vt:lpstr>
      <vt:lpstr>'P-Ex(Sze.1 SEFoV mit F)'!RlZn</vt:lpstr>
      <vt:lpstr>'P-Ex(Sze.2 SEFoV ohne F HS)'!RlZn</vt:lpstr>
      <vt:lpstr>'P-Ex(Sze.2 SEFoV ohne F)'!RlZn</vt:lpstr>
      <vt:lpstr>'P-Ex(Sze.3 SEFmV mit F HS)'!RlZn</vt:lpstr>
      <vt:lpstr>'P-Ex(Sze.3 SEFmV mit F)'!RlZn</vt:lpstr>
      <vt:lpstr>'P-Ex(Szenario 1 EB.1)'!RlZn</vt:lpstr>
      <vt:lpstr>'P-Ex(Szenario 13 EB.2 Cd10%)'!RlZn</vt:lpstr>
      <vt:lpstr>'P-Ex(Szenario 14 EB.2 Cd85%)'!RlZn</vt:lpstr>
      <vt:lpstr>'P-Ex(Szenario 2 EB.2 mit F)'!RlZn</vt:lpstr>
      <vt:lpstr>'P-Ex(Szenario 3 EB.2 ohne F)'!RlZn</vt:lpstr>
      <vt:lpstr>'P-Ex(Szenario 6 EB.3 k CuZn)'!RlZn</vt:lpstr>
      <vt:lpstr>'P-Ex(Szenario 7 EB.3 nk CuZn)'!RlZn</vt:lpstr>
      <vt:lpstr>'SM-Ex(Sze.4 SEFoV HS)'!RlZn</vt:lpstr>
      <vt:lpstr>'SM-Ex(Sze.4 SEFoV)'!RlZn</vt:lpstr>
      <vt:lpstr>'SM-Ex(Sze.5 SEFmV HS)'!RlZn</vt:lpstr>
      <vt:lpstr>'SM-Ex(Sze.5 SEFmV)'!RlZn</vt:lpstr>
      <vt:lpstr>'SM-Ex(Szenario 11 EB.5 k CuZn)'!RlZn</vt:lpstr>
      <vt:lpstr>'SM-Ex(Szenario 8 EB.4)'!RlZn</vt:lpstr>
      <vt:lpstr>'SM-Ex(Szenario12 EB.5 nk CuZn)'!RlZn</vt:lpstr>
      <vt:lpstr>'Modell PHOS4green-Verfahren'!SEF</vt:lpstr>
      <vt:lpstr>'P-Ex(Sze.1 SEFoV mit F HS)'!SEF</vt:lpstr>
      <vt:lpstr>'P-Ex(Sze.1 SEFoV mit F)'!SEF</vt:lpstr>
      <vt:lpstr>'P-Ex(Sze.2 SEFoV ohne F HS)'!SEF</vt:lpstr>
      <vt:lpstr>'P-Ex(Sze.2 SEFoV ohne F)'!SEF</vt:lpstr>
      <vt:lpstr>'P-Ex(Sze.3 SEFmV mit F HS)'!SEF</vt:lpstr>
      <vt:lpstr>'P-Ex(Sze.3 SEFmV mit F)'!SEF</vt:lpstr>
      <vt:lpstr>'P-Ex(Szenario 1 EB.1)'!SEF</vt:lpstr>
      <vt:lpstr>'P-Ex(Szenario 13 EB.2 Cd10%)'!SEF</vt:lpstr>
      <vt:lpstr>'P-Ex(Szenario 14 EB.2 Cd85%)'!SEF</vt:lpstr>
      <vt:lpstr>'P-Ex(Szenario 2 EB.2 mit F)'!SEF</vt:lpstr>
      <vt:lpstr>'P-Ex(Szenario 3 EB.2 ohne F)'!SEF</vt:lpstr>
      <vt:lpstr>'P-Ex(Szenario 6 EB.3 k CuZn)'!SEF</vt:lpstr>
      <vt:lpstr>'P-Ex(Szenario 7 EB.3 nk CuZn)'!SEF</vt:lpstr>
      <vt:lpstr>'SM-Ex(Sze.4 SEFoV HS)'!SEF</vt:lpstr>
      <vt:lpstr>'SM-Ex(Sze.4 SEFoV)'!SEF</vt:lpstr>
      <vt:lpstr>'SM-Ex(Sze.5 SEFmV HS)'!SEF</vt:lpstr>
      <vt:lpstr>'SM-Ex(Sze.5 SEFmV)'!SEF</vt:lpstr>
      <vt:lpstr>'SM-Ex(Szenario 11 EB.5 k CuZn)'!SEF</vt:lpstr>
      <vt:lpstr>'SM-Ex(Szenario 8 EB.4)'!SEF</vt:lpstr>
      <vt:lpstr>'SM-Ex(Szenario12 EB.5 nk CuZn)'!SEF</vt:lpstr>
      <vt:lpstr>'P-Ex(Sze.1 SEFoV mit F HS)'!SSK</vt:lpstr>
      <vt:lpstr>'P-Ex(Sze.1 SEFoV mit F)'!SSK</vt:lpstr>
      <vt:lpstr>'P-Ex(Sze.2 SEFoV ohne F HS)'!SSK</vt:lpstr>
      <vt:lpstr>'P-Ex(Sze.2 SEFoV ohne F)'!SSK</vt:lpstr>
      <vt:lpstr>'P-Ex(Sze.3 SEFmV mit F HS)'!SSK</vt:lpstr>
      <vt:lpstr>'P-Ex(Sze.3 SEFmV mit F)'!SSK</vt:lpstr>
      <vt:lpstr>'P-Ex(Szenario 1 EB.1)'!SSK</vt:lpstr>
      <vt:lpstr>'P-Ex(Szenario 13 EB.2 Cd10%)'!SSK</vt:lpstr>
      <vt:lpstr>'P-Ex(Szenario 14 EB.2 Cd85%)'!SSK</vt:lpstr>
      <vt:lpstr>'P-Ex(Szenario 2 EB.2 mit F)'!SSK</vt:lpstr>
      <vt:lpstr>'P-Ex(Szenario 3 EB.2 ohne F)'!SSK</vt:lpstr>
      <vt:lpstr>'P-Ex(Szenario 6 EB.3 k CuZn)'!SSK</vt:lpstr>
      <vt:lpstr>'P-Ex(Szenario 7 EB.3 nk CuZn)'!SSK</vt:lpstr>
      <vt:lpstr>'SM-Ex(Sze.4 SEFoV HS)'!SSK</vt:lpstr>
      <vt:lpstr>'SM-Ex(Sze.4 SEFoV)'!SSK</vt:lpstr>
      <vt:lpstr>'SM-Ex(Sze.5 SEFmV HS)'!SSK</vt:lpstr>
      <vt:lpstr>'SM-Ex(Sze.5 SEFmV)'!SSK</vt:lpstr>
      <vt:lpstr>'SM-Ex(Szenario 11 EB.5 k CuZn)'!SSK</vt:lpstr>
      <vt:lpstr>'SM-Ex(Szenario 8 EB.4)'!SSK</vt:lpstr>
      <vt:lpstr>'SM-Ex(Szenario12 EB.5 nk CuZn)'!SSK</vt:lpstr>
      <vt:lpstr>'P-Ex(Sze.1 SEFoV mit F HS)'!TME</vt:lpstr>
      <vt:lpstr>'P-Ex(Sze.1 SEFoV mit F)'!TME</vt:lpstr>
      <vt:lpstr>'P-Ex(Sze.2 SEFoV ohne F HS)'!TME</vt:lpstr>
      <vt:lpstr>'P-Ex(Sze.2 SEFoV ohne F)'!TME</vt:lpstr>
      <vt:lpstr>'P-Ex(Sze.3 SEFmV mit F HS)'!TME</vt:lpstr>
      <vt:lpstr>'P-Ex(Sze.3 SEFmV mit F)'!TME</vt:lpstr>
      <vt:lpstr>'P-Ex(Szenario 1 EB.1)'!TME</vt:lpstr>
      <vt:lpstr>'P-Ex(Szenario 13 EB.2 Cd10%)'!TME</vt:lpstr>
      <vt:lpstr>'P-Ex(Szenario 14 EB.2 Cd85%)'!TME</vt:lpstr>
      <vt:lpstr>'P-Ex(Szenario 2 EB.2 mit F)'!TME</vt:lpstr>
      <vt:lpstr>'P-Ex(Szenario 3 EB.2 ohne F)'!TME</vt:lpstr>
      <vt:lpstr>'P-Ex(Szenario 6 EB.3 k CuZn)'!TME</vt:lpstr>
      <vt:lpstr>'P-Ex(Szenario 7 EB.3 nk CuZn)'!TME</vt:lpstr>
      <vt:lpstr>'SM-Ex(Sze.4 SEFoV HS)'!TMF</vt:lpstr>
      <vt:lpstr>'SM-Ex(Sze.4 SEFoV)'!TMF</vt:lpstr>
      <vt:lpstr>'SM-Ex(Sze.5 SEFmV HS)'!TMF</vt:lpstr>
      <vt:lpstr>'SM-Ex(Sze.5 SEFmV)'!TMF</vt:lpstr>
      <vt:lpstr>'SM-Ex(Szenario 11 EB.5 k CuZn)'!TMF</vt:lpstr>
      <vt:lpstr>'SM-Ex(Szenario 8 EB.4)'!TMF</vt:lpstr>
      <vt:lpstr>'SM-Ex(Szenario12 EB.5 nk CuZn)'!TMF</vt:lpstr>
      <vt:lpstr>'Modell PHOS4green-Verfahren'!TMKSA</vt:lpstr>
      <vt:lpstr>'P-Ex(Sze.1 SEFoV mit F HS)'!TMKSA</vt:lpstr>
      <vt:lpstr>'P-Ex(Sze.1 SEFoV mit F)'!TMKSA</vt:lpstr>
      <vt:lpstr>'P-Ex(Sze.2 SEFoV ohne F HS)'!TMKSA</vt:lpstr>
      <vt:lpstr>'P-Ex(Sze.2 SEFoV ohne F)'!TMKSA</vt:lpstr>
      <vt:lpstr>'P-Ex(Sze.3 SEFmV mit F HS)'!TMKSA</vt:lpstr>
      <vt:lpstr>'P-Ex(Sze.3 SEFmV mit F)'!TMKSA</vt:lpstr>
      <vt:lpstr>'P-Ex(Szenario 1 EB.1)'!TMKSA</vt:lpstr>
      <vt:lpstr>'P-Ex(Szenario 13 EB.2 Cd10%)'!TMKSA</vt:lpstr>
      <vt:lpstr>'P-Ex(Szenario 14 EB.2 Cd85%)'!TMKSA</vt:lpstr>
      <vt:lpstr>'P-Ex(Szenario 2 EB.2 mit F)'!TMKSA</vt:lpstr>
      <vt:lpstr>'P-Ex(Szenario 3 EB.2 ohne F)'!TMKSA</vt:lpstr>
      <vt:lpstr>'P-Ex(Szenario 6 EB.3 k CuZn)'!TMKSA</vt:lpstr>
      <vt:lpstr>'P-Ex(Szenario 7 EB.3 nk CuZn)'!TMKSA</vt:lpstr>
      <vt:lpstr>'SM-Ex(Sze.4 SEFoV HS)'!TMKSA</vt:lpstr>
      <vt:lpstr>'SM-Ex(Sze.4 SEFoV)'!TMKSA</vt:lpstr>
      <vt:lpstr>'SM-Ex(Sze.5 SEFmV HS)'!TMKSA</vt:lpstr>
      <vt:lpstr>'SM-Ex(Sze.5 SEFmV)'!TMKSA</vt:lpstr>
      <vt:lpstr>'SM-Ex(Szenario 11 EB.5 k CuZn)'!TMKSA</vt:lpstr>
      <vt:lpstr>'SM-Ex(Szenario 8 EB.4)'!TMKSA</vt:lpstr>
      <vt:lpstr>'SM-Ex(Szenario12 EB.5 nk CuZn)'!TMKSA</vt:lpstr>
      <vt:lpstr>'Modell PHOS4green-Verfahren'!TMP</vt:lpstr>
      <vt:lpstr>'P-Ex(Sze.1 SEFoV mit F HS)'!TMP</vt:lpstr>
      <vt:lpstr>'P-Ex(Sze.1 SEFoV mit F)'!TMP</vt:lpstr>
      <vt:lpstr>'P-Ex(Sze.2 SEFoV ohne F HS)'!TMP</vt:lpstr>
      <vt:lpstr>'P-Ex(Sze.2 SEFoV ohne F)'!TMP</vt:lpstr>
      <vt:lpstr>'P-Ex(Sze.3 SEFmV mit F HS)'!TMP</vt:lpstr>
      <vt:lpstr>'P-Ex(Sze.3 SEFmV mit F)'!TMP</vt:lpstr>
      <vt:lpstr>'P-Ex(Szenario 1 EB.1)'!TMP</vt:lpstr>
      <vt:lpstr>'P-Ex(Szenario 13 EB.2 Cd10%)'!TMP</vt:lpstr>
      <vt:lpstr>'P-Ex(Szenario 14 EB.2 Cd85%)'!TMP</vt:lpstr>
      <vt:lpstr>'P-Ex(Szenario 2 EB.2 mit F)'!TMP</vt:lpstr>
      <vt:lpstr>'P-Ex(Szenario 3 EB.2 ohne F)'!TMP</vt:lpstr>
      <vt:lpstr>'P-Ex(Szenario 6 EB.3 k CuZn)'!TMP</vt:lpstr>
      <vt:lpstr>'P-Ex(Szenario 7 EB.3 nk CuZn)'!TMP</vt:lpstr>
      <vt:lpstr>'SM-Ex(Sze.4 SEFoV HS)'!TMP</vt:lpstr>
      <vt:lpstr>'SM-Ex(Sze.4 SEFoV)'!TMP</vt:lpstr>
      <vt:lpstr>'SM-Ex(Sze.5 SEFmV HS)'!TMP</vt:lpstr>
      <vt:lpstr>'SM-Ex(Sze.5 SEFmV)'!TMP</vt:lpstr>
      <vt:lpstr>'SM-Ex(Szenario 11 EB.5 k CuZn)'!TMP</vt:lpstr>
      <vt:lpstr>'SM-Ex(Szenario 8 EB.4)'!TMP</vt:lpstr>
      <vt:lpstr>'SM-Ex(Szenario12 EB.5 nk CuZn)'!TMP</vt:lpstr>
      <vt:lpstr>'P-Ex(Sze.1 SEFoV mit F HS)'!TSFE</vt:lpstr>
      <vt:lpstr>'P-Ex(Sze.1 SEFoV mit F)'!TSFE</vt:lpstr>
      <vt:lpstr>'P-Ex(Sze.2 SEFoV ohne F HS)'!TSFE</vt:lpstr>
      <vt:lpstr>'P-Ex(Sze.2 SEFoV ohne F)'!TSFE</vt:lpstr>
      <vt:lpstr>'P-Ex(Sze.3 SEFmV mit F HS)'!TSFE</vt:lpstr>
      <vt:lpstr>'P-Ex(Sze.3 SEFmV mit F)'!TSFE</vt:lpstr>
      <vt:lpstr>'P-Ex(Szenario 1 EB.1)'!TSFE</vt:lpstr>
      <vt:lpstr>'P-Ex(Szenario 13 EB.2 Cd10%)'!TSFE</vt:lpstr>
      <vt:lpstr>'P-Ex(Szenario 14 EB.2 Cd85%)'!TSFE</vt:lpstr>
      <vt:lpstr>'P-Ex(Szenario 2 EB.2 mit F)'!TSFE</vt:lpstr>
      <vt:lpstr>'P-Ex(Szenario 3 EB.2 ohne F)'!TSFE</vt:lpstr>
      <vt:lpstr>'P-Ex(Szenario 6 EB.3 k CuZn)'!TSFE</vt:lpstr>
      <vt:lpstr>'P-Ex(Szenario 7 EB.3 nk CuZn)'!TSFE</vt:lpstr>
      <vt:lpstr>'SM-Ex(Sze.4 SEFoV HS)'!TSFE</vt:lpstr>
      <vt:lpstr>'SM-Ex(Sze.4 SEFoV)'!TSFE</vt:lpstr>
      <vt:lpstr>'SM-Ex(Sze.5 SEFmV HS)'!TSFE</vt:lpstr>
      <vt:lpstr>'SM-Ex(Sze.5 SEFmV)'!TSFE</vt:lpstr>
      <vt:lpstr>'SM-Ex(Szenario 11 EB.5 k CuZn)'!TSFE</vt:lpstr>
      <vt:lpstr>'SM-Ex(Szenario 8 EB.4)'!TSFE</vt:lpstr>
      <vt:lpstr>'SM-Ex(Szenario12 EB.5 nk CuZn)'!TSFE</vt:lpstr>
      <vt:lpstr>'SM-Ex(Sze.4 SEFoV HS)'!TSFePh</vt:lpstr>
      <vt:lpstr>'SM-Ex(Sze.4 SEFoV)'!TSFePh</vt:lpstr>
      <vt:lpstr>'SM-Ex(Sze.5 SEFmV HS)'!TSFePh</vt:lpstr>
      <vt:lpstr>'SM-Ex(Sze.5 SEFmV)'!TSFePh</vt:lpstr>
      <vt:lpstr>'SM-Ex(Szenario 11 EB.5 k CuZn)'!TSFePh</vt:lpstr>
      <vt:lpstr>'SM-Ex(Szenario 8 EB.4)'!TSFePh</vt:lpstr>
      <vt:lpstr>'SM-Ex(Szenario12 EB.5 nk CuZn)'!TSFePh</vt:lpstr>
      <vt:lpstr>'Modell PHOS4green-Verfahren'!TVM</vt:lpstr>
      <vt:lpstr>'P-Ex(Sze.1 SEFoV mit F HS)'!TVM</vt:lpstr>
      <vt:lpstr>'P-Ex(Sze.1 SEFoV mit F)'!TVM</vt:lpstr>
      <vt:lpstr>'P-Ex(Sze.2 SEFoV ohne F HS)'!TVM</vt:lpstr>
      <vt:lpstr>'P-Ex(Sze.2 SEFoV ohne F)'!TVM</vt:lpstr>
      <vt:lpstr>'P-Ex(Sze.3 SEFmV mit F HS)'!TVM</vt:lpstr>
      <vt:lpstr>'P-Ex(Sze.3 SEFmV mit F)'!TVM</vt:lpstr>
      <vt:lpstr>'P-Ex(Szenario 1 EB.1)'!TVM</vt:lpstr>
      <vt:lpstr>'P-Ex(Szenario 13 EB.2 Cd10%)'!TVM</vt:lpstr>
      <vt:lpstr>'P-Ex(Szenario 14 EB.2 Cd85%)'!TVM</vt:lpstr>
      <vt:lpstr>'P-Ex(Szenario 2 EB.2 mit F)'!TVM</vt:lpstr>
      <vt:lpstr>'P-Ex(Szenario 3 EB.2 ohne F)'!TVM</vt:lpstr>
      <vt:lpstr>'P-Ex(Szenario 6 EB.3 k CuZn)'!TVM</vt:lpstr>
      <vt:lpstr>'P-Ex(Szenario 7 EB.3 nk CuZn)'!TVM</vt:lpstr>
      <vt:lpstr>'SM-Ex(Sze.4 SEFoV HS)'!TVM</vt:lpstr>
      <vt:lpstr>'SM-Ex(Sze.4 SEFoV)'!TVM</vt:lpstr>
      <vt:lpstr>'SM-Ex(Sze.5 SEFmV HS)'!TVM</vt:lpstr>
      <vt:lpstr>'SM-Ex(Sze.5 SEFmV)'!TVM</vt:lpstr>
      <vt:lpstr>'SM-Ex(Szenario 11 EB.5 k CuZn)'!TVM</vt:lpstr>
      <vt:lpstr>'SM-Ex(Szenario 8 EB.4)'!TVM</vt:lpstr>
      <vt:lpstr>'SM-Ex(Szenario12 EB.5 nk CuZn)'!TVM</vt:lpstr>
      <vt:lpstr>'P-Ex(Sze.1 SEFoV mit F HS)'!WK</vt:lpstr>
      <vt:lpstr>'P-Ex(Sze.1 SEFoV mit F)'!WK</vt:lpstr>
      <vt:lpstr>'P-Ex(Sze.2 SEFoV ohne F HS)'!WK</vt:lpstr>
      <vt:lpstr>'P-Ex(Sze.2 SEFoV ohne F)'!WK</vt:lpstr>
      <vt:lpstr>'P-Ex(Sze.3 SEFmV mit F HS)'!WK</vt:lpstr>
      <vt:lpstr>'P-Ex(Sze.3 SEFmV mit F)'!WK</vt:lpstr>
      <vt:lpstr>'P-Ex(Szenario 1 EB.1)'!WK</vt:lpstr>
      <vt:lpstr>'P-Ex(Szenario 13 EB.2 Cd10%)'!WK</vt:lpstr>
      <vt:lpstr>'P-Ex(Szenario 14 EB.2 Cd85%)'!WK</vt:lpstr>
      <vt:lpstr>'P-Ex(Szenario 2 EB.2 mit F)'!WK</vt:lpstr>
      <vt:lpstr>'P-Ex(Szenario 3 EB.2 ohne F)'!WK</vt:lpstr>
      <vt:lpstr>'P-Ex(Szenario 6 EB.3 k CuZn)'!WK</vt:lpstr>
      <vt:lpstr>'P-Ex(Szenario 7 EB.3 nk CuZn)'!WK</vt:lpstr>
      <vt:lpstr>'SM-Ex(Sze.4 SEFoV HS)'!WK</vt:lpstr>
      <vt:lpstr>'SM-Ex(Sze.4 SEFoV)'!WK</vt:lpstr>
      <vt:lpstr>'SM-Ex(Sze.5 SEFmV HS)'!WK</vt:lpstr>
      <vt:lpstr>'SM-Ex(Sze.5 SEFmV)'!WK</vt:lpstr>
      <vt:lpstr>'SM-Ex(Szenario 11 EB.5 k CuZn)'!WK</vt:lpstr>
      <vt:lpstr>'SM-Ex(Szenario 8 EB.4)'!WK</vt:lpstr>
      <vt:lpstr>'SM-Ex(Szenario12 EB.5 nk CuZn)'!WK</vt:lpstr>
      <vt:lpstr>'P-Ex(Sze.1 SEFoV mit F HS)'!WWK</vt:lpstr>
      <vt:lpstr>'P-Ex(Sze.1 SEFoV mit F)'!WWK</vt:lpstr>
      <vt:lpstr>'P-Ex(Sze.2 SEFoV ohne F HS)'!WWK</vt:lpstr>
      <vt:lpstr>'P-Ex(Sze.2 SEFoV ohne F)'!WWK</vt:lpstr>
      <vt:lpstr>'P-Ex(Sze.3 SEFmV mit F HS)'!WWK</vt:lpstr>
      <vt:lpstr>'P-Ex(Sze.3 SEFmV mit F)'!WWK</vt:lpstr>
      <vt:lpstr>'P-Ex(Szenario 1 EB.1)'!WWK</vt:lpstr>
      <vt:lpstr>'P-Ex(Szenario 13 EB.2 Cd10%)'!WWK</vt:lpstr>
      <vt:lpstr>'P-Ex(Szenario 14 EB.2 Cd85%)'!WWK</vt:lpstr>
      <vt:lpstr>'P-Ex(Szenario 2 EB.2 mit F)'!WWK</vt:lpstr>
      <vt:lpstr>'P-Ex(Szenario 3 EB.2 ohne F)'!WWK</vt:lpstr>
      <vt:lpstr>'P-Ex(Szenario 6 EB.3 k CuZn)'!WWK</vt:lpstr>
      <vt:lpstr>'P-Ex(Szenario 7 EB.3 nk CuZn)'!WWK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Peter Kuhn</dc:creator>
  <cp:keywords/>
  <dc:description/>
  <cp:lastModifiedBy>wangyujia</cp:lastModifiedBy>
  <cp:revision/>
  <dcterms:created xsi:type="dcterms:W3CDTF">2015-06-05T18:19:34Z</dcterms:created>
  <dcterms:modified xsi:type="dcterms:W3CDTF">2023-05-06T01:57:21Z</dcterms:modified>
  <cp:category/>
  <cp:contentStatus/>
</cp:coreProperties>
</file>