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filterPrivacy="1" autoCompressPictures="0"/>
  <xr:revisionPtr revIDLastSave="0" documentId="8_{C6EE191C-F633-4B9E-B7B4-0EBBD19A85CB}" xr6:coauthVersionLast="47" xr6:coauthVersionMax="47" xr10:uidLastSave="{00000000-0000-0000-0000-000000000000}"/>
  <bookViews>
    <workbookView xWindow="19800" yWindow="11820" windowWidth="16815" windowHeight="10005" tabRatio="1000" firstSheet="2" activeTab="2" xr2:uid="{D65008FB-B391-4FC2-83CC-66F89B952ACD}"/>
  </bookViews>
  <sheets>
    <sheet name="LED計算式" sheetId="31"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state="hidden" r:id="rId12"/>
    <sheet name="⑥後" sheetId="82" state="hidden" r:id="rId13"/>
    <sheet name="⑦前後" sheetId="83" state="hidden"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state="hidden"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⑧見積書!$A$1:$G$61</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16" i="3"/>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E10" i="89"/>
  <c r="AN18" i="83"/>
  <c r="A55" i="89"/>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AH17" i="3" l="1"/>
  <c r="A30" i="64"/>
  <c r="A34" i="75"/>
  <c r="A28" i="64"/>
  <c r="I11" i="75"/>
  <c r="U5" i="64"/>
  <c r="G11" i="3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D39" i="90"/>
  <c r="C39" i="90"/>
  <c r="B39" i="90"/>
  <c r="A39" i="90"/>
  <c r="G38" i="90"/>
  <c r="D38" i="90"/>
  <c r="C38" i="90"/>
  <c r="B38" i="90"/>
  <c r="A38" i="90"/>
  <c r="G37" i="90"/>
  <c r="D37" i="90"/>
  <c r="C37" i="90"/>
  <c r="B37" i="90"/>
  <c r="A37" i="90"/>
  <c r="G36" i="90"/>
  <c r="D36" i="90"/>
  <c r="C36" i="90"/>
  <c r="B36" i="90"/>
  <c r="A36" i="90"/>
  <c r="G35" i="90"/>
  <c r="D35" i="90"/>
  <c r="C35" i="90"/>
  <c r="B35" i="90"/>
  <c r="A35" i="90"/>
  <c r="G34" i="90"/>
  <c r="D34" i="90"/>
  <c r="C34" i="90"/>
  <c r="B34" i="90"/>
  <c r="A34" i="90"/>
  <c r="G33" i="90"/>
  <c r="D33" i="90"/>
  <c r="C33" i="90"/>
  <c r="B33" i="90"/>
  <c r="A33" i="90"/>
  <c r="G32" i="90"/>
  <c r="D32" i="90"/>
  <c r="C32" i="90"/>
  <c r="B32" i="90"/>
  <c r="A32" i="90"/>
  <c r="G31" i="90"/>
  <c r="D31" i="90"/>
  <c r="C31" i="90"/>
  <c r="B31" i="90"/>
  <c r="A31" i="90"/>
  <c r="G30" i="90"/>
  <c r="D30" i="90"/>
  <c r="C30" i="90"/>
  <c r="B30" i="90"/>
  <c r="A30" i="90"/>
  <c r="G29" i="90"/>
  <c r="D29" i="90"/>
  <c r="C29" i="90"/>
  <c r="B29" i="90"/>
  <c r="A29" i="90"/>
  <c r="G28" i="90"/>
  <c r="D28" i="90"/>
  <c r="C28" i="90"/>
  <c r="B28" i="90"/>
  <c r="A28" i="90"/>
  <c r="G27" i="90"/>
  <c r="D27" i="90"/>
  <c r="C27" i="90"/>
  <c r="B27" i="90"/>
  <c r="A27" i="90"/>
  <c r="G26" i="90"/>
  <c r="D26" i="90"/>
  <c r="C26" i="90"/>
  <c r="B26" i="90"/>
  <c r="A26" i="90"/>
  <c r="G25" i="90"/>
  <c r="D25" i="90"/>
  <c r="C25" i="90"/>
  <c r="B25" i="90"/>
  <c r="A25" i="90"/>
  <c r="G24" i="90"/>
  <c r="D24" i="90"/>
  <c r="C24" i="90"/>
  <c r="B24" i="90"/>
  <c r="A24" i="90"/>
  <c r="G23" i="90"/>
  <c r="D23" i="90"/>
  <c r="C23" i="90"/>
  <c r="B23" i="90"/>
  <c r="A23" i="90"/>
  <c r="G22" i="90"/>
  <c r="D22" i="90"/>
  <c r="C22" i="90"/>
  <c r="B22" i="90"/>
  <c r="A22" i="90"/>
  <c r="G21" i="90"/>
  <c r="D21" i="90"/>
  <c r="C21" i="90"/>
  <c r="B21" i="90"/>
  <c r="A21" i="90"/>
  <c r="G20" i="90"/>
  <c r="D20" i="90"/>
  <c r="C20" i="90"/>
  <c r="B20" i="90"/>
  <c r="A20" i="90"/>
  <c r="G19" i="90"/>
  <c r="D19" i="90"/>
  <c r="C19" i="90"/>
  <c r="B19" i="90"/>
  <c r="A19" i="90"/>
  <c r="G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4" i="90"/>
  <c r="A3" i="90"/>
  <c r="I1" i="90"/>
  <c r="H51" i="90" l="1"/>
  <c r="H13" i="90"/>
  <c r="D23" i="88"/>
  <c r="M24" i="88"/>
  <c r="M20" i="88"/>
  <c r="M16" i="88"/>
  <c r="M12" i="88"/>
  <c r="M8" i="88"/>
  <c r="M4" i="88"/>
  <c r="F24" i="88"/>
  <c r="F20" i="88"/>
  <c r="F16" i="88"/>
  <c r="A59" i="89" l="1"/>
  <c r="A57" i="89"/>
  <c r="E49" i="89"/>
  <c r="D49" i="89"/>
  <c r="F49" i="89" s="1"/>
  <c r="A49" i="89"/>
  <c r="E39" i="89"/>
  <c r="C39" i="89"/>
  <c r="B39" i="89"/>
  <c r="E38" i="89"/>
  <c r="C38" i="89"/>
  <c r="B38" i="89"/>
  <c r="E37" i="89"/>
  <c r="C37" i="89"/>
  <c r="B37" i="89"/>
  <c r="E36" i="89"/>
  <c r="C36" i="89"/>
  <c r="B36" i="89"/>
  <c r="E35" i="89"/>
  <c r="C35" i="89"/>
  <c r="B35" i="89"/>
  <c r="E34" i="89"/>
  <c r="C34" i="89"/>
  <c r="B34" i="89"/>
  <c r="E33" i="89"/>
  <c r="C33" i="89"/>
  <c r="B33" i="89"/>
  <c r="E32" i="89"/>
  <c r="C32" i="89"/>
  <c r="B32" i="89"/>
  <c r="E31" i="89"/>
  <c r="C31" i="89"/>
  <c r="B31" i="89"/>
  <c r="E30" i="89"/>
  <c r="C30" i="89"/>
  <c r="B30" i="89"/>
  <c r="E29" i="89"/>
  <c r="C29" i="89"/>
  <c r="B29" i="89"/>
  <c r="E28" i="89"/>
  <c r="C28" i="89"/>
  <c r="B28" i="89"/>
  <c r="E27" i="89"/>
  <c r="C27" i="89"/>
  <c r="B27" i="89"/>
  <c r="E26" i="89"/>
  <c r="C26" i="89"/>
  <c r="B26" i="89"/>
  <c r="E25" i="89"/>
  <c r="C25" i="89"/>
  <c r="B25" i="89"/>
  <c r="E24" i="89"/>
  <c r="C24" i="89"/>
  <c r="B24" i="89"/>
  <c r="E23" i="89"/>
  <c r="C23" i="89"/>
  <c r="B23" i="89"/>
  <c r="E22" i="89"/>
  <c r="C22" i="89"/>
  <c r="B22" i="89"/>
  <c r="E21" i="89"/>
  <c r="C21" i="89"/>
  <c r="B21" i="89"/>
  <c r="E20" i="89"/>
  <c r="C20" i="89"/>
  <c r="B20" i="89"/>
  <c r="E19" i="89"/>
  <c r="C19" i="89"/>
  <c r="B19" i="89"/>
  <c r="E18" i="89"/>
  <c r="C18" i="89"/>
  <c r="B18" i="89"/>
  <c r="E17" i="89"/>
  <c r="C17" i="89"/>
  <c r="B17" i="89"/>
  <c r="E16" i="89"/>
  <c r="C16" i="89"/>
  <c r="B16" i="89"/>
  <c r="E15" i="89"/>
  <c r="C15" i="89"/>
  <c r="B15" i="89"/>
  <c r="E14" i="89"/>
  <c r="C14" i="89"/>
  <c r="B14" i="89"/>
  <c r="E13" i="89"/>
  <c r="C13" i="89"/>
  <c r="B13" i="89"/>
  <c r="E12" i="89"/>
  <c r="C12" i="89"/>
  <c r="B12" i="89"/>
  <c r="E11" i="89"/>
  <c r="C11" i="89"/>
  <c r="B11" i="89"/>
  <c r="C10" i="89"/>
  <c r="B10" i="89"/>
  <c r="E4" i="89"/>
  <c r="A3" i="89"/>
  <c r="G1" i="89"/>
  <c r="K27" i="88" l="1"/>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K25" i="88" l="1"/>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M21" i="88" s="1"/>
  <c r="L60" i="3"/>
  <c r="M25" i="88" s="1"/>
  <c r="L49" i="3"/>
  <c r="F5" i="88" s="1"/>
  <c r="L58" i="3"/>
  <c r="M17" i="88" s="1"/>
  <c r="L57" i="3"/>
  <c r="M13" i="88" s="1"/>
  <c r="L56" i="3"/>
  <c r="M9" i="88" s="1"/>
  <c r="L55" i="3"/>
  <c r="M5" i="88" s="1"/>
  <c r="L54" i="3"/>
  <c r="F25" i="88" s="1"/>
  <c r="L53" i="3"/>
  <c r="F21" i="88" s="1"/>
  <c r="L52" i="3"/>
  <c r="F17" i="88" s="1"/>
  <c r="L51" i="3"/>
  <c r="F13" i="88" s="1"/>
  <c r="L50" i="3"/>
  <c r="F9" i="88" s="1"/>
  <c r="O39" i="31"/>
  <c r="O38" i="31"/>
  <c r="M32" i="31"/>
  <c r="F46" i="90" l="1"/>
  <c r="H46" i="90" s="1"/>
  <c r="D46" i="89"/>
  <c r="F46"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AQ23" i="81" l="1"/>
  <c r="AQ22" i="81"/>
  <c r="J16" i="3"/>
  <c r="AN17" i="3" l="1"/>
  <c r="AN18" i="3"/>
  <c r="AN19" i="3"/>
  <c r="AN20" i="3"/>
  <c r="AN21" i="3"/>
  <c r="AN22" i="3"/>
  <c r="AN23" i="3"/>
  <c r="AN24" i="3"/>
  <c r="AN25" i="3"/>
  <c r="AN26" i="3"/>
  <c r="AN27" i="3"/>
  <c r="AN28" i="3"/>
  <c r="AN29" i="3"/>
  <c r="X17" i="3"/>
  <c r="X18" i="3"/>
  <c r="X19" i="3"/>
  <c r="X20" i="3"/>
  <c r="X21" i="3"/>
  <c r="X22" i="3"/>
  <c r="X23" i="3"/>
  <c r="X24" i="3"/>
  <c r="X25" i="3"/>
  <c r="X26" i="3"/>
  <c r="X27" i="3"/>
  <c r="X28" i="3"/>
  <c r="X29" i="3"/>
  <c r="X30" i="3"/>
  <c r="X31" i="3"/>
  <c r="X32" i="3"/>
  <c r="X33" i="3"/>
  <c r="X34" i="3"/>
  <c r="X35" i="3"/>
  <c r="X36" i="3"/>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H25" i="3" s="1"/>
  <c r="J26" i="3"/>
  <c r="H26" i="3" s="1"/>
  <c r="J27" i="3"/>
  <c r="H27" i="3" s="1"/>
  <c r="J28" i="3"/>
  <c r="H28" i="3" s="1"/>
  <c r="J29" i="3"/>
  <c r="H29" i="3" s="1"/>
  <c r="J30" i="3"/>
  <c r="J31" i="3"/>
  <c r="H31" i="3" s="1"/>
  <c r="J32" i="3"/>
  <c r="H32" i="3" s="1"/>
  <c r="J33" i="3"/>
  <c r="J34" i="3"/>
  <c r="J35" i="3"/>
  <c r="J36" i="3"/>
  <c r="J37" i="3"/>
  <c r="J38" i="3"/>
  <c r="J39" i="3"/>
  <c r="J40" i="3"/>
  <c r="J41" i="3"/>
  <c r="J42" i="3"/>
  <c r="J43" i="3"/>
  <c r="J44" i="3"/>
  <c r="J45" i="3"/>
  <c r="L32" i="3"/>
  <c r="L31" i="3"/>
  <c r="L30" i="3"/>
  <c r="H30" i="3"/>
  <c r="L29" i="3"/>
  <c r="L28" i="3"/>
  <c r="L27" i="3"/>
  <c r="L26" i="3"/>
  <c r="L25" i="3"/>
  <c r="L24" i="3"/>
  <c r="L23" i="3"/>
  <c r="L22" i="3"/>
  <c r="L21" i="3"/>
  <c r="L20" i="3"/>
  <c r="F14" i="90" s="1"/>
  <c r="H14" i="90" s="1"/>
  <c r="F12" i="90"/>
  <c r="H12" i="90" s="1"/>
  <c r="L17" i="3"/>
  <c r="F11" i="90" s="1"/>
  <c r="H11" i="90" s="1"/>
  <c r="L16" i="3"/>
  <c r="H16" i="3"/>
  <c r="B67" i="31"/>
  <c r="B82" i="31" s="1"/>
  <c r="B68" i="31"/>
  <c r="B90" i="31" s="1"/>
  <c r="B69" i="31"/>
  <c r="B98" i="31" s="1"/>
  <c r="B43" i="31"/>
  <c r="Q43" i="31"/>
  <c r="L43" i="31"/>
  <c r="G43" i="31"/>
  <c r="O37" i="31" l="1"/>
  <c r="AH16" i="3"/>
  <c r="BG26" i="3"/>
  <c r="F20" i="90"/>
  <c r="H20" i="90" s="1"/>
  <c r="D20" i="89"/>
  <c r="F20" i="89" s="1"/>
  <c r="BG27" i="3"/>
  <c r="F21" i="90"/>
  <c r="H21" i="90" s="1"/>
  <c r="D21" i="89"/>
  <c r="F21" i="89" s="1"/>
  <c r="BG28" i="3"/>
  <c r="F22" i="90"/>
  <c r="H22" i="90" s="1"/>
  <c r="D22" i="89"/>
  <c r="F22" i="89" s="1"/>
  <c r="BG29" i="3"/>
  <c r="F23" i="90"/>
  <c r="H23" i="90" s="1"/>
  <c r="D23" i="89"/>
  <c r="F23" i="89" s="1"/>
  <c r="BG30" i="3"/>
  <c r="F24" i="90"/>
  <c r="H24" i="90" s="1"/>
  <c r="D24" i="89"/>
  <c r="F24" i="89" s="1"/>
  <c r="BG31" i="3"/>
  <c r="F25" i="90"/>
  <c r="H25" i="90" s="1"/>
  <c r="D25" i="89"/>
  <c r="F25" i="89" s="1"/>
  <c r="BG32" i="3"/>
  <c r="F26" i="90"/>
  <c r="H26" i="90" s="1"/>
  <c r="D26" i="89"/>
  <c r="F26" i="89" s="1"/>
  <c r="BG25" i="3"/>
  <c r="F19" i="90"/>
  <c r="H19" i="90" s="1"/>
  <c r="D19" i="89"/>
  <c r="F19" i="89" s="1"/>
  <c r="BG24" i="3"/>
  <c r="F18" i="90"/>
  <c r="H18" i="90" s="1"/>
  <c r="D18" i="89"/>
  <c r="F18" i="89" s="1"/>
  <c r="BG23" i="3"/>
  <c r="F17" i="90"/>
  <c r="H17" i="90" s="1"/>
  <c r="D17" i="89"/>
  <c r="F17" i="89" s="1"/>
  <c r="BG22" i="3"/>
  <c r="F16" i="90"/>
  <c r="H16" i="90" s="1"/>
  <c r="D16" i="89"/>
  <c r="F16" i="89" s="1"/>
  <c r="BG21" i="3"/>
  <c r="F15" i="90"/>
  <c r="H15" i="90" s="1"/>
  <c r="D15" i="89"/>
  <c r="F15" i="89" s="1"/>
  <c r="D45" i="89"/>
  <c r="F45" i="89" s="1"/>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AI12" i="31" s="1"/>
  <c r="W25" i="3"/>
  <c r="AI13" i="31" s="1"/>
  <c r="W26" i="3"/>
  <c r="AI14" i="31" s="1"/>
  <c r="W27" i="3"/>
  <c r="AI15" i="31" s="1"/>
  <c r="W28" i="3"/>
  <c r="AI16" i="31" s="1"/>
  <c r="W29" i="3"/>
  <c r="AI17" i="31" s="1"/>
  <c r="W30" i="3"/>
  <c r="AI18" i="31" s="1"/>
  <c r="W31" i="3"/>
  <c r="AI19" i="31" s="1"/>
  <c r="W32" i="3"/>
  <c r="AI20" i="31" s="1"/>
  <c r="D34" i="68" l="1"/>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R16" i="81"/>
  <c r="G16"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E5" i="89"/>
  <c r="AK4" i="3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L35" i="3"/>
  <c r="L36" i="3"/>
  <c r="L37" i="3"/>
  <c r="L38" i="3"/>
  <c r="L39" i="3"/>
  <c r="L40" i="3"/>
  <c r="L41" i="3"/>
  <c r="L42" i="3"/>
  <c r="L43" i="3"/>
  <c r="L44" i="3"/>
  <c r="L45" i="3"/>
  <c r="BG43" i="3" l="1"/>
  <c r="F37" i="90"/>
  <c r="H37" i="90" s="1"/>
  <c r="D37" i="89"/>
  <c r="F37" i="89" s="1"/>
  <c r="BG39" i="3"/>
  <c r="F33" i="90"/>
  <c r="H33" i="90" s="1"/>
  <c r="D33" i="89"/>
  <c r="F33" i="89" s="1"/>
  <c r="BG38" i="3"/>
  <c r="F32" i="90"/>
  <c r="H32" i="90" s="1"/>
  <c r="D32" i="89"/>
  <c r="F32" i="89" s="1"/>
  <c r="BG37" i="3"/>
  <c r="F31" i="90"/>
  <c r="H31" i="90" s="1"/>
  <c r="D31" i="89"/>
  <c r="F31" i="89" s="1"/>
  <c r="BG36" i="3"/>
  <c r="F30" i="90"/>
  <c r="H30" i="90" s="1"/>
  <c r="D30" i="89"/>
  <c r="F30" i="89" s="1"/>
  <c r="BG35" i="3"/>
  <c r="F29" i="90"/>
  <c r="H29" i="90" s="1"/>
  <c r="D29" i="89"/>
  <c r="F29" i="89" s="1"/>
  <c r="BG34" i="3"/>
  <c r="F28" i="90"/>
  <c r="H28" i="90" s="1"/>
  <c r="D28" i="89"/>
  <c r="F28" i="89" s="1"/>
  <c r="BG45" i="3"/>
  <c r="F39" i="90"/>
  <c r="H39" i="90" s="1"/>
  <c r="D39" i="89"/>
  <c r="F39" i="89" s="1"/>
  <c r="F27" i="90"/>
  <c r="H27" i="90" s="1"/>
  <c r="D27" i="89"/>
  <c r="F27" i="89" s="1"/>
  <c r="BG44" i="3"/>
  <c r="F38" i="90"/>
  <c r="H38" i="90" s="1"/>
  <c r="D38" i="89"/>
  <c r="F38" i="89" s="1"/>
  <c r="BG42" i="3"/>
  <c r="F36" i="90"/>
  <c r="H36" i="90" s="1"/>
  <c r="D36" i="89"/>
  <c r="F36" i="89" s="1"/>
  <c r="BG41" i="3"/>
  <c r="F35" i="90"/>
  <c r="H35" i="90" s="1"/>
  <c r="D35" i="89"/>
  <c r="F35" i="89" s="1"/>
  <c r="BG40" i="3"/>
  <c r="F34" i="90"/>
  <c r="H34" i="90" s="1"/>
  <c r="D34" i="89"/>
  <c r="F34" i="89" s="1"/>
  <c r="BG33" i="3"/>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F40" i="89" l="1"/>
  <c r="H40" i="90"/>
  <c r="D44" i="89"/>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L14" i="3"/>
  <c r="F43" i="90" s="1"/>
  <c r="H43" i="90" s="1"/>
  <c r="H52" i="90" s="1"/>
  <c r="H54" i="90" s="1"/>
  <c r="D47" i="89" l="1"/>
  <c r="F47" i="89" s="1"/>
  <c r="F43" i="89"/>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B39" i="10" l="1"/>
  <c r="AB38" i="10"/>
  <c r="AB13" i="10"/>
  <c r="AD13" i="10"/>
  <c r="AD39" i="10"/>
  <c r="AD38" i="10"/>
  <c r="AA38" i="10"/>
  <c r="AA13" i="10"/>
  <c r="AA39" i="10"/>
  <c r="AE13" i="10"/>
  <c r="AE39" i="10"/>
  <c r="AE38" i="10"/>
  <c r="AC13" i="10"/>
  <c r="AC39" i="10"/>
  <c r="AC38" i="10"/>
  <c r="AC17" i="10"/>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B44" i="3"/>
  <c r="W45" i="3"/>
  <c r="U37" i="81" s="1"/>
  <c r="X45" i="3"/>
  <c r="AI33" i="31" l="1"/>
  <c r="AI32" i="31"/>
  <c r="U35" i="82"/>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V13" i="10" l="1"/>
  <c r="V39" i="10"/>
  <c r="V38" i="10"/>
  <c r="W13" i="10"/>
  <c r="W39" i="10"/>
  <c r="W38" i="10"/>
  <c r="X13" i="10"/>
  <c r="X39" i="10"/>
  <c r="X38" i="10"/>
  <c r="Y38" i="10"/>
  <c r="Y13" i="10"/>
  <c r="Y39" i="10"/>
  <c r="Z38" i="10"/>
  <c r="Z39" i="10"/>
  <c r="Z13" i="10"/>
  <c r="U35" i="83"/>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O38" i="10" l="1"/>
  <c r="O39" i="10"/>
  <c r="O13" i="10"/>
  <c r="P39" i="10"/>
  <c r="P38" i="10"/>
  <c r="P13" i="10"/>
  <c r="Q13" i="10"/>
  <c r="Q39" i="10"/>
  <c r="Q38" i="10"/>
  <c r="R13" i="10"/>
  <c r="R39" i="10"/>
  <c r="R38" i="10"/>
  <c r="S13" i="10"/>
  <c r="S39" i="10"/>
  <c r="S38" i="10"/>
  <c r="T13" i="10"/>
  <c r="T39" i="10"/>
  <c r="T38" i="10"/>
  <c r="U13" i="10"/>
  <c r="U39" i="10"/>
  <c r="U38" i="10"/>
  <c r="R16" i="10"/>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I13" i="10" l="1"/>
  <c r="I39" i="10"/>
  <c r="I38" i="10"/>
  <c r="K13" i="10"/>
  <c r="K39" i="10"/>
  <c r="K38" i="10"/>
  <c r="J13" i="10"/>
  <c r="J39" i="10"/>
  <c r="J38" i="10"/>
  <c r="M13" i="10"/>
  <c r="M39" i="10"/>
  <c r="M38" i="10"/>
  <c r="L13" i="10"/>
  <c r="L39" i="10"/>
  <c r="L38" i="10"/>
  <c r="N39" i="10"/>
  <c r="N38" i="10"/>
  <c r="N13" i="10"/>
  <c r="H38" i="10"/>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X38" i="3"/>
  <c r="X39" i="3"/>
  <c r="X40" i="3"/>
  <c r="E15" i="62" l="1"/>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AI25" i="31" s="1"/>
  <c r="W33" i="3"/>
  <c r="AI21" i="31" s="1"/>
  <c r="W35" i="3"/>
  <c r="AI23" i="31" s="1"/>
  <c r="AB34" i="3"/>
  <c r="AB26" i="3"/>
  <c r="W38" i="3"/>
  <c r="AI26" i="31" s="1"/>
  <c r="AB38" i="3"/>
  <c r="AB30" i="3"/>
  <c r="W34" i="3"/>
  <c r="AI22" i="31" s="1"/>
  <c r="AB39" i="3"/>
  <c r="AB31" i="3"/>
  <c r="AB40" i="3"/>
  <c r="AB36" i="3"/>
  <c r="AB32" i="3"/>
  <c r="AB28" i="3"/>
  <c r="AB35" i="3"/>
  <c r="AB27" i="3"/>
  <c r="U9" i="81"/>
  <c r="W36" i="3"/>
  <c r="AI24" i="31" s="1"/>
  <c r="W39" i="3"/>
  <c r="AI27" i="31" s="1"/>
  <c r="U8" i="82"/>
  <c r="AB37" i="3"/>
  <c r="AB33" i="3"/>
  <c r="AB29" i="3"/>
  <c r="AB25" i="3"/>
  <c r="AB21" i="3"/>
  <c r="AB17" i="3"/>
  <c r="W40" i="3"/>
  <c r="AI28" i="31" s="1"/>
  <c r="AI2" i="31" l="1"/>
  <c r="U17" i="82"/>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AS19" i="81" l="1"/>
  <c r="AA18" i="83" s="1"/>
  <c r="U39" i="82"/>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7" i="83" l="1"/>
  <c r="U19" i="83"/>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U7" i="83"/>
  <c r="Q38" i="83"/>
  <c r="I33" i="31"/>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S41" i="82" l="1"/>
  <c r="AN9" i="83"/>
  <c r="D23" i="31"/>
  <c r="AU32" i="87"/>
  <c r="D25" i="31"/>
  <c r="I21" i="31"/>
  <c r="I34" i="31" s="1"/>
  <c r="I35"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O10" i="82"/>
  <c r="U38" i="83"/>
  <c r="Q41" i="83"/>
  <c r="BA18" i="83"/>
  <c r="U38" i="51"/>
  <c r="AS6" i="48"/>
  <c r="K21" i="31"/>
  <c r="AO8" i="49"/>
  <c r="AS6" i="49"/>
  <c r="E24" i="31"/>
  <c r="E23" i="31"/>
  <c r="Q41" i="51"/>
  <c r="J21" i="31"/>
  <c r="AS41" i="81" l="1"/>
  <c r="AA9" i="83"/>
  <c r="J49" i="31"/>
  <c r="H62" i="31"/>
  <c r="AK16" i="87" s="1"/>
  <c r="S49" i="31"/>
  <c r="T60" i="31"/>
  <c r="S60" i="31"/>
  <c r="C51" i="31"/>
  <c r="I16" i="86" s="1"/>
  <c r="E49" i="31"/>
  <c r="AK32" i="86"/>
  <c r="R63" i="31"/>
  <c r="R52" i="31"/>
  <c r="AS41" i="48"/>
  <c r="B4" i="31" s="1"/>
  <c r="C4" i="31" s="1"/>
  <c r="F4" i="31" s="1"/>
  <c r="AA29" i="83"/>
  <c r="AS41" i="49"/>
  <c r="B7" i="31" s="1"/>
  <c r="B12" i="31" s="1"/>
  <c r="C12" i="31" s="1"/>
  <c r="F12" i="31" s="1"/>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48" i="89" s="1"/>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D48" i="89" l="1"/>
  <c r="E48" i="89"/>
  <c r="H56" i="90"/>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F48" i="89" l="1"/>
  <c r="N5" i="52"/>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B2" i="3"/>
  <c r="F50" i="89" l="1"/>
  <c r="F52" i="89" s="1"/>
  <c r="F53" i="89"/>
  <c r="G54" i="89" s="1"/>
  <c r="M9" i="76"/>
  <c r="D11" i="76" s="1"/>
  <c r="M11" i="76" s="1"/>
  <c r="Z5" i="52"/>
  <c r="J10" i="30"/>
  <c r="J11" i="30" s="1"/>
  <c r="J12" i="30"/>
  <c r="J13" i="30" s="1"/>
  <c r="J11" i="89"/>
  <c r="L11" i="90"/>
  <c r="L9" i="90"/>
  <c r="L10" i="90" s="1"/>
  <c r="G8" i="62"/>
  <c r="I36" i="86"/>
  <c r="AK18" i="86"/>
  <c r="C61" i="31"/>
  <c r="C50" i="31"/>
  <c r="D49" i="31"/>
  <c r="J12" i="71"/>
  <c r="F58" i="71"/>
  <c r="J8" i="62"/>
  <c r="E8" i="62" s="1"/>
  <c r="K11" i="73"/>
  <c r="AQ14" i="3"/>
  <c r="AQ36" i="76"/>
  <c r="AQ38" i="76"/>
  <c r="F57" i="89" l="1"/>
  <c r="J9" i="89"/>
  <c r="J10" i="89" s="1"/>
  <c r="J19" i="31" s="1"/>
  <c r="J22" i="31" s="1"/>
  <c r="J24" i="31" s="1"/>
  <c r="J25" i="31"/>
  <c r="J23" i="31"/>
  <c r="V32" i="75" s="1"/>
  <c r="N5" i="64"/>
  <c r="J12" i="89"/>
  <c r="L12" i="90"/>
  <c r="H59" i="90" s="1"/>
  <c r="H61" i="90"/>
  <c r="I14" i="87"/>
  <c r="C63" i="31"/>
  <c r="C52" i="31"/>
  <c r="I14" i="86"/>
  <c r="K12" i="73"/>
  <c r="G59" i="73"/>
  <c r="F11" i="30"/>
  <c r="F13" i="30"/>
  <c r="AM12" i="3"/>
  <c r="D2" i="3"/>
  <c r="K10" i="73"/>
  <c r="G61" i="73" s="1"/>
  <c r="V28" i="52" l="1"/>
  <c r="V32" i="52" s="1"/>
  <c r="V28" i="64"/>
  <c r="V32" i="64" s="1"/>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<sst xmlns="http://schemas.openxmlformats.org/spreadsheetml/2006/main" count="1485" uniqueCount="592">
  <si>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</si>
  <si>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</si>
  <si>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</si>
  <si>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</si>
  <si>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</si>
  <si>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</si>
  <si>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</si>
  <si>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</si>
  <si>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</si>
  <si>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</si>
  <si>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</si>
  <si>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</si>
  <si>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</si>
  <si>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</si>
  <si>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</si>
  <si>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</si>
  <si>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</si>
  <si>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</si>
  <si>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</si>
  <si>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</si>
  <si>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</si>
  <si>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</si>
  <si>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</si>
  <si>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</si>
  <si>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</si>
  <si>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</si>
  <si>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</si>
  <si>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</si>
  <si>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</si>
  <si>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</si>
  <si>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</si>
  <si>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</si>
  <si>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</si>
  <si>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</si>
  <si>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</si>
  <si>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</si>
  <si>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</si>
  <si>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</si>
  <si>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</si>
  <si>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</si>
  <si>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</si>
  <si>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</si>
  <si>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</si>
  <si>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</si>
  <si>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</si>
  <si>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</si>
  <si>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</si>
  <si>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</si>
  <si>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</si>
  <si>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</si>
  <si>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</si>
  <si>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</si>
  <si>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</si>
  <si>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</si>
  <si>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</si>
  <si>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</si>
  <si>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</si>
  <si>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</si>
  <si>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</si>
  <si>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</si>
  <si>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</si>
  <si>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</si>
  <si>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</si>
  <si>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</si>
  <si>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</si>
  <si>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</si>
  <si>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</si>
  <si>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</si>
  <si>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</si>
  <si>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EEスイッチ交換費用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</si>
  <si>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</si>
  <si>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</si>
  <si>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</si>
  <si>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</si>
  <si>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</si>
  <si>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</si>
  <si>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</si>
  <si>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</si>
  <si>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</si>
  <si>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</si>
  <si>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</si>
  <si>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</si>
  <si>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</si>
  <si>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</si>
  <si>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</si>
  <si>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</si>
  <si>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</si>
  <si>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</si>
  <si>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</si>
  <si>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</si>
  <si>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</si>
  <si>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</si>
  <si>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</si>
  <si>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</si>
  <si>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</si>
  <si>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</si>
  <si>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</si>
  <si>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</si>
  <si>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</si>
  <si>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</si>
  <si>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</si>
  <si>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</si>
  <si>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</si>
  <si>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</si>
  <si>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</si>
  <si>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</si>
  <si>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</si>
  <si>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</si>
  <si>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</si>
  <si>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</si>
  <si>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</si>
  <si>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</si>
  <si>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</si>
  <si>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</si>
  <si>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</si>
  <si>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</si>
  <si>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</si>
  <si>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</si>
  <si>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</si>
  <si>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</si>
  <si>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</si>
  <si>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</si>
  <si>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</si>
  <si>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</si>
  <si>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</si>
  <si>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</si>
  <si>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</si>
  <si>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ﾐﾆｸﾘﾌﾟﾄﾝ球　E17/40（昼白色）※広配光</t>
  </si>
  <si>
    <t>昼白色</t>
  </si>
  <si>
    <t>ー</t>
  </si>
  <si>
    <t>Φ35/67ｍｍ</t>
  </si>
  <si>
    <t xml:space="preserve">口金型E17 </t>
  </si>
  <si>
    <t>東芝ライテック</t>
  </si>
  <si>
    <t>一般電球40W相当</t>
  </si>
  <si>
    <t>　</t>
  </si>
  <si>
    <t>LDA4N-G-E17/S/40W2</t>
  </si>
  <si>
    <t>電球色/※昼白色</t>
  </si>
  <si>
    <t>ランプ交換</t>
  </si>
  <si>
    <t>https://saturn.tlt.co.jp/pdocs/s/LDA4NGE17S40W2</t>
  </si>
  <si>
    <t>△</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</si>
  <si>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</si>
  <si>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</si>
  <si>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</si>
  <si>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</si>
  <si>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</si>
  <si>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</si>
  <si>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</si>
  <si>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</si>
  <si>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</si>
  <si>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</si>
  <si>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</si>
  <si>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</si>
  <si>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</si>
  <si>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生産終了品などがあった場合、同メーカーもしくは他メーカーの同等品に変更される場合がございます。</t>
    <rPh sb="0" eb="4">
      <t>セイサンシュウリョウ</t>
    </rPh>
    <rPh sb="4" eb="5">
      <t>ヒン</t>
    </rPh>
    <rPh sb="11" eb="13">
      <t>バアイ</t>
    </rPh>
    <rPh sb="14" eb="15">
      <t>ドウ</t>
    </rPh>
    <rPh sb="23" eb="24">
      <t>タ</t>
    </rPh>
    <rPh sb="29" eb="32">
      <t>ドウトウヒン</t>
    </rPh>
    <rPh sb="33" eb="35">
      <t>ヘンコウ</t>
    </rPh>
    <rPh sb="38" eb="40">
      <t>バアイ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</si>
  <si>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</si>
  <si>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</si>
  <si>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</si>
  <si>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</si>
  <si>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</si>
  <si>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</si>
  <si>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</si>
  <si>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</si>
  <si>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</si>
  <si>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</si>
  <si>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</si>
  <si>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</si>
  <si>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</si>
  <si>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</si>
  <si>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</si>
  <si>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</si>
  <si>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</si>
  <si>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</si>
  <si>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</si>
  <si>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</si>
  <si>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</si>
  <si>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</si>
  <si>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</si>
  <si>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</si>
  <si>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</si>
  <si>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</si>
  <si>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</si>
  <si>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</si>
  <si>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</si>
  <si>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</si>
  <si>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</si>
  <si>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</si>
  <si>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</si>
  <si>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</si>
  <si>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</si>
  <si>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</si>
  <si>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</si>
  <si>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</si>
  <si>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</si>
  <si>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</si>
  <si>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</si>
  <si>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</si>
  <si>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</si>
  <si>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</si>
  <si>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</si>
  <si>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</si>
  <si>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</si>
  <si>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</si>
  <si>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</si>
  <si>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</si>
  <si>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</si>
  <si>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</si>
  <si>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</si>
  <si>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</si>
  <si>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</si>
  <si>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</si>
  <si>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</si>
  <si>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</si>
  <si>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</si>
  <si>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</si>
  <si>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</si>
  <si>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</si>
  <si>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</si>
  <si>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</si>
  <si>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</si>
  <si>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</si>
  <si>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</si>
  <si>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</si>
  <si>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</si>
  <si>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</si>
  <si>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</si>
  <si>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</si>
  <si>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</si>
  <si>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</si>
  <si>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</si>
  <si>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</si>
  <si>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</si>
  <si>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</si>
  <si>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</si>
  <si>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あいえうお</t>
    <phoneticPr fontId="2"/>
  </si>
  <si>
    <t>あいえうお</t>
  </si>
  <si>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</si>
  <si>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</si>
  <si>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</si>
  <si>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</si>
  <si>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</si>
  <si>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</si>
  <si>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</si>
  <si>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</si>
  <si>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</si>
  <si>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</si>
  <si>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</si>
  <si>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</si>
  <si>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</si>
  <si>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</si>
  <si>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</si>
  <si>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</si>
  <si>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</si>
  <si>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</si>
  <si>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</si>
  <si>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</si>
  <si>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</si>
  <si>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</si>
  <si>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</si>
  <si>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</si>
  <si>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</si>
  <si>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</si>
  <si>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</si>
  <si>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</si>
  <si>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</si>
  <si>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</si>
  <si>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</si>
  <si>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</si>
  <si>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</si>
  <si>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</si>
  <si>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</si>
  <si>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</si>
  <si>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</si>
  <si>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</si>
  <si>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</si>
  <si>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3"/>
  </si>
  <si>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</si>
  <si>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</si>
  <si>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</si>
  <si>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</si>
  <si>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</si>
  <si>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</si>
  <si>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</si>
  <si>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</si>
  <si>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</si>
  <si>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</si>
  <si>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</si>
  <si>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</si>
  <si>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</si>
  <si>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</si>
  <si>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</si>
  <si>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</si>
  <si>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</si>
  <si>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</si>
  <si>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</si>
  <si>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</si>
  <si>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</si>
  <si>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</si>
  <si>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</si>
  <si>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</si>
  <si>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</si>
  <si>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</si>
  <si>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</si>
  <si>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</si>
  <si>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</si>
  <si>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</si>
  <si>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</si>
  <si>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</si>
  <si>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</si>
  <si>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</si>
  <si>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</si>
  <si>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</si>
  <si>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</si>
  <si>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</si>
  <si>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</si>
  <si>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</si>
  <si>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</si>
  <si>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</si>
  <si>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</si>
  <si>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</si>
  <si>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</si>
  <si>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</si>
  <si>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</si>
  <si>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</si>
  <si>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</si>
  <si>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</si>
  <si>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</si>
  <si>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</si>
  <si>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</si>
  <si>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</si>
  <si>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</si>
  <si>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</si>
  <si>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</si>
  <si>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</si>
  <si>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</si>
  <si>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</si>
  <si>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</si>
  <si>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</si>
  <si>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</si>
  <si>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</si>
  <si>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</si>
  <si>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</si>
  <si>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</si>
  <si>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</si>
  <si>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</si>
  <si>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</si>
  <si>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</si>
  <si>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</si>
  <si>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</si>
  <si>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</si>
  <si>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</si>
  <si>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</si>
  <si>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</si>
  <si>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</si>
  <si>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</si>
  <si>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</si>
  <si>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</si>
  <si>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</si>
  <si>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</si>
  <si>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</si>
  <si>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</si>
  <si>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</si>
  <si>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</si>
  <si>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(※2)月間点灯360時間の場合⇒電球寿命を2年として10年間で5回の交換を想定して算出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</si>
  <si>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(※3)月間点灯720時間の場合⇒電球寿命を1年として10年間で10回の交換を想定して算出</t>
    <rPh sb="4" eb="6">
      <t>ゲッカン</t>
    </rPh>
    <rPh sb="6" eb="8">
      <t>テントウ</t>
    </rPh>
    <rPh sb="11" eb="13">
      <t>ジカン</t>
    </rPh>
    <rPh sb="14" eb="16">
      <t>バアイ</t>
    </rPh>
    <rPh sb="17" eb="19">
      <t>デンキュウ</t>
    </rPh>
    <rPh sb="19" eb="21">
      <t>ジュミョウ</t>
    </rPh>
    <rPh sb="23" eb="24">
      <t>ネン</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</si>
  <si>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</si>
  <si>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</si>
  <si>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</si>
  <si>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</si>
  <si>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</si>
  <si>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</si>
  <si>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</si>
  <si>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</si>
  <si>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</si>
  <si>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</si>
  <si>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</si>
  <si>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</si>
  <si>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</si>
  <si>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</si>
  <si>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</si>
  <si>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</si>
  <si>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</si>
  <si>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</si>
  <si>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</si>
  <si>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</si>
  <si>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</si>
  <si>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</si>
  <si>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</si>
  <si>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</si>
  <si>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</si>
  <si>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</si>
  <si>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</si>
  <si>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</si>
  <si>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</si>
  <si>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</si>
  <si>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</si>
  <si>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</si>
  <si>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</si>
  <si>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</si>
  <si>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</si>
  <si>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</si>
  <si>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</si>
  <si>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</si>
  <si>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</si>
  <si>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</si>
  <si>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</si>
  <si>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</si>
  <si>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</si>
  <si>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</si>
  <si>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</si>
  <si>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</si>
  <si>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</si>
  <si>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</si>
  <si>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</si>
  <si>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</si>
  <si>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</si>
  <si>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</si>
  <si>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</si>
  <si>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</si>
  <si>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一括購入金額
(税込)</t>
    <rPh sb="9" eb="10">
      <t>コミ</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</si>
  <si>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</si>
  <si>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</si>
  <si>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</si>
  <si>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</si>
  <si>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</si>
  <si>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</si>
  <si>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</si>
  <si>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</si>
  <si>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</si>
  <si>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</si>
  <si>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</si>
  <si>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</si>
  <si>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</si>
  <si>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</si>
  <si>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</si>
  <si>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</si>
  <si>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</si>
  <si>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</si>
  <si>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</si>
  <si>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</si>
  <si>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</si>
  <si>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</si>
  <si>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</si>
  <si>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</si>
  <si>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</si>
  <si>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</si>
  <si>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</si>
  <si>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</si>
  <si>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</si>
  <si>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</si>
  <si>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</si>
  <si>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</si>
  <si>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</si>
  <si>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</si>
  <si>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</si>
  <si>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</si>
  <si>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</si>
  <si>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</si>
  <si>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</si>
  <si>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</si>
  <si>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</si>
  <si>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</si>
  <si>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</si>
  <si>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</si>
  <si>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</si>
  <si>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</si>
  <si>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</si>
  <si>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</si>
  <si>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</si>
  <si>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</si>
  <si>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</si>
  <si>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</si>
  <si>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</si>
  <si>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</si>
  <si>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</si>
  <si>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</si>
  <si>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</si>
  <si>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</si>
  <si>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</si>
  <si>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</si>
  <si>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</si>
  <si>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</si>
  <si>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</si>
  <si>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</si>
  <si>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</si>
  <si>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</si>
  <si>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</si>
  <si>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</si>
  <si>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</si>
  <si>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</si>
  <si>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</si>
  <si>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10-b</t>
  </si>
  <si>
    <t>10-c</t>
  </si>
  <si>
    <t>10-d</t>
  </si>
  <si>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</si>
  <si>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</si>
  <si>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</si>
  <si>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</si>
  <si>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</si>
  <si>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</si>
  <si>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</si>
  <si>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</si>
  <si>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</si>
  <si>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</si>
  <si>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</si>
  <si>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</si>
  <si>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</si>
  <si>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</si>
  <si>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</si>
  <si>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株式会社スマイルサポート</t>
    <phoneticPr fontId="2"/>
  </si>
  <si>
    <t>【リース期間】</t>
    <rPh sb="4" eb="6">
      <t>キカン</t>
    </rPh>
    <phoneticPr fontId="2"/>
  </si>
  <si>
    <t>郵便番号</t>
    <rPh sb="0" eb="4">
      <t>ユウビンバンゴウ</t>
    </rPh>
    <phoneticPr fontId="2"/>
  </si>
  <si>
    <t>〒305-0046</t>
  </si>
  <si>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</si>
  <si>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</si>
  <si>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</si>
  <si>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</si>
  <si>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茨城県つくば市東2-10-14</t>
  </si>
  <si>
    <t>電話番号</t>
    <rPh sb="0" eb="2">
      <t>デンワ</t>
    </rPh>
    <rPh sb="2" eb="4">
      <t>バンゴウ</t>
    </rPh>
    <phoneticPr fontId="2"/>
  </si>
  <si>
    <t>029-860-5211</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</si>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</sst>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8">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
      <sz val="11"/>
      <color rgb="FF000000"/>
      <name val="游ゴシック"/>
      <family val="3"/>
      <charset val="128"/>
    </font>
  </fonts>
  <fills count="50">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2" tint="-9.9978637043366805E-2"/>
        <bgColor indexed="64"/>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
      <patternFill patternType="solid">
        <fgColor rgb="FFF4B084"/>
        <bgColor rgb="FFF4B084"/>
      </patternFill>
    </fill>
  </fills>
  <borders count="262">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theme="0" tint="-0.499984740745262"/>
      </left>
      <right style="medium">
        <color theme="0" tint="-0.499984740745262"/>
      </right>
      <top/>
      <bottom/>
      <diagonal/>
    </border>
    <border>
      <left style="medium">
        <color theme="0" tint="-0.499984740745262"/>
      </left>
      <right/>
      <top/>
      <bottom/>
      <diagonal/>
    </border>
    <border>
      <left/>
      <right style="medium">
        <color theme="0" tint="-0.499984740745262"/>
      </right>
      <top/>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10">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65">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12"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26" borderId="2" xfId="1" applyFont="1" applyFill="1" applyBorder="1" applyAlignment="1">
      <alignment horizontal="right" vertical="center" shrinkToFit="1"/>
    </xf>
    <xf numFmtId="38" fontId="36" fillId="26" borderId="2" xfId="0" applyNumberFormat="1" applyFont="1" applyFill="1" applyBorder="1" applyAlignment="1">
      <alignment horizontal="right" vertical="center" shrinkToFit="1"/>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38" fontId="36" fillId="26" borderId="85" xfId="1" applyFont="1" applyFill="1" applyBorder="1" applyAlignment="1">
      <alignment horizontal="right" vertical="center" shrinkToFit="1"/>
    </xf>
    <xf numFmtId="38" fontId="36" fillId="26" borderId="85" xfId="0" applyNumberFormat="1" applyFont="1" applyFill="1" applyBorder="1" applyAlignment="1">
      <alignment horizontal="right" vertical="center" shrinkToFit="1"/>
    </xf>
    <xf numFmtId="38" fontId="36" fillId="12" borderId="85" xfId="1" applyFont="1" applyFill="1" applyBorder="1" applyAlignment="1">
      <alignment horizontal="right" vertical="center" shrinkToFit="1"/>
    </xf>
    <xf numFmtId="38" fontId="36" fillId="12" borderId="129" xfId="1" applyFont="1" applyFill="1" applyBorder="1" applyAlignment="1">
      <alignment horizontal="right"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7"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7"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38" fontId="36" fillId="12" borderId="8" xfId="1" applyFont="1" applyFill="1" applyBorder="1" applyAlignment="1">
      <alignment horizontal="right"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4"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4"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5"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8"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1"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6"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2" borderId="210" xfId="0" applyFont="1" applyFill="1" applyBorder="1" applyAlignment="1">
      <alignment horizontal="center" vertical="center"/>
    </xf>
    <xf numFmtId="0" fontId="1" fillId="32"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2" borderId="0" xfId="1" applyFont="1" applyFill="1" applyAlignment="1">
      <alignment horizontal="center" vertical="center"/>
    </xf>
    <xf numFmtId="9" fontId="95" fillId="4" borderId="0" xfId="5" applyNumberFormat="1" applyFill="1" applyAlignment="1">
      <alignment horizontal="left" vertical="center"/>
    </xf>
    <xf numFmtId="0" fontId="1" fillId="14" borderId="0" xfId="0" applyFont="1" applyFill="1" applyAlignment="1">
      <alignment vertical="center" wrapText="1"/>
    </xf>
    <xf numFmtId="2" fontId="1" fillId="32"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6" applyFont="1" applyProtection="1">
      <alignment vertical="center"/>
      <protection locked="0"/>
    </xf>
    <xf numFmtId="0" fontId="115" fillId="0" borderId="0" xfId="6" applyFont="1" applyProtection="1">
      <alignment vertical="center"/>
      <protection locked="0"/>
    </xf>
    <xf numFmtId="0" fontId="144" fillId="0" borderId="0" xfId="6" applyProtection="1">
      <alignment vertical="center"/>
      <protection locked="0"/>
    </xf>
    <xf numFmtId="9" fontId="144" fillId="0" borderId="0" xfId="7" applyFont="1" applyProtection="1">
      <alignment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Protection="1">
      <alignment vertical="center"/>
      <protection locked="0"/>
    </xf>
    <xf numFmtId="0" fontId="124" fillId="0" borderId="43" xfId="6" applyFont="1" applyBorder="1" applyAlignment="1" applyProtection="1">
      <alignment horizontal="center" vertical="center"/>
      <protection locked="0"/>
    </xf>
    <xf numFmtId="0" fontId="124" fillId="0" borderId="44" xfId="6" applyFont="1" applyBorder="1" applyAlignment="1" applyProtection="1">
      <alignment horizontal="center" vertical="center"/>
      <protection locked="0"/>
    </xf>
    <xf numFmtId="0" fontId="124" fillId="0" borderId="34" xfId="6" applyFont="1" applyBorder="1" applyProtection="1">
      <alignment vertical="center"/>
      <protection locked="0"/>
    </xf>
    <xf numFmtId="0" fontId="124" fillId="0" borderId="35" xfId="6" applyFont="1" applyBorder="1" applyAlignment="1" applyProtection="1">
      <alignment horizontal="center" vertical="center"/>
      <protection locked="0"/>
    </xf>
    <xf numFmtId="0" fontId="124" fillId="0" borderId="36" xfId="6" applyFont="1" applyBorder="1" applyAlignment="1" applyProtection="1">
      <alignment horizontal="center" vertical="center"/>
      <protection locked="0"/>
    </xf>
    <xf numFmtId="0" fontId="124" fillId="0" borderId="37" xfId="6" applyFont="1" applyBorder="1" applyProtection="1">
      <alignment vertical="center"/>
      <protection locked="0"/>
    </xf>
    <xf numFmtId="0" fontId="124" fillId="0" borderId="38" xfId="6" applyFont="1" applyBorder="1" applyAlignment="1" applyProtection="1">
      <alignment horizontal="center" vertical="center"/>
      <protection locked="0"/>
    </xf>
    <xf numFmtId="0" fontId="124" fillId="0" borderId="39" xfId="6" applyFont="1" applyBorder="1" applyAlignment="1" applyProtection="1">
      <alignment horizontal="center" vertical="center"/>
      <protection locked="0"/>
    </xf>
    <xf numFmtId="0" fontId="124" fillId="2" borderId="0" xfId="6" applyFont="1" applyFill="1" applyProtection="1">
      <alignment vertical="center"/>
      <protection locked="0"/>
    </xf>
    <xf numFmtId="0" fontId="124" fillId="0" borderId="17" xfId="6" applyFont="1" applyBorder="1" applyProtection="1">
      <alignment vertical="center"/>
      <protection locked="0"/>
    </xf>
    <xf numFmtId="0" fontId="124" fillId="2" borderId="18" xfId="6" applyFont="1" applyFill="1" applyBorder="1" applyProtection="1">
      <alignment vertical="center"/>
      <protection locked="0"/>
    </xf>
    <xf numFmtId="0" fontId="124" fillId="2" borderId="19" xfId="6" applyFont="1" applyFill="1" applyBorder="1" applyProtection="1">
      <alignment vertical="center"/>
      <protection locked="0"/>
    </xf>
    <xf numFmtId="0" fontId="124" fillId="0" borderId="20" xfId="6" applyFont="1" applyBorder="1" applyProtection="1">
      <alignment vertical="center"/>
      <protection locked="0"/>
    </xf>
    <xf numFmtId="0" fontId="148" fillId="2" borderId="0" xfId="6" applyFont="1" applyFill="1" applyProtection="1">
      <alignment vertical="center"/>
      <protection locked="0"/>
    </xf>
    <xf numFmtId="0" fontId="124" fillId="2" borderId="21" xfId="6" applyFont="1" applyFill="1" applyBorder="1" applyProtection="1">
      <alignment vertical="center"/>
      <protection locked="0"/>
    </xf>
    <xf numFmtId="0" fontId="144" fillId="0" borderId="0" xfId="6">
      <alignment vertical="center"/>
    </xf>
    <xf numFmtId="0" fontId="124" fillId="0" borderId="22" xfId="6" applyFont="1" applyBorder="1" applyProtection="1">
      <alignment vertical="center"/>
      <protection locked="0"/>
    </xf>
    <xf numFmtId="0" fontId="124" fillId="0" borderId="16" xfId="6" applyFont="1" applyBorder="1" applyProtection="1">
      <alignment vertical="center"/>
      <protection locked="0"/>
    </xf>
    <xf numFmtId="0" fontId="124" fillId="0" borderId="23" xfId="6"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7" borderId="132" xfId="0" applyFont="1" applyFill="1" applyBorder="1">
      <alignment vertical="center"/>
    </xf>
    <xf numFmtId="0" fontId="151" fillId="37"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3" borderId="132" xfId="0" applyFont="1" applyFill="1" applyBorder="1">
      <alignment vertical="center"/>
    </xf>
    <xf numFmtId="0" fontId="37" fillId="33" borderId="135" xfId="0" applyFont="1" applyFill="1" applyBorder="1">
      <alignment vertical="center"/>
    </xf>
    <xf numFmtId="0" fontId="151" fillId="38"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40" borderId="0" xfId="0" applyFont="1" applyFill="1" applyAlignment="1">
      <alignment horizontal="center" vertical="center"/>
    </xf>
    <xf numFmtId="0" fontId="136" fillId="41" borderId="0" xfId="0" applyFont="1" applyFill="1" applyAlignment="1">
      <alignment horizontal="right" vertical="center"/>
    </xf>
    <xf numFmtId="3" fontId="136" fillId="40" borderId="0" xfId="0" applyNumberFormat="1" applyFont="1" applyFill="1" applyAlignment="1">
      <alignment horizontal="right" vertical="center"/>
    </xf>
    <xf numFmtId="3" fontId="136" fillId="43" borderId="0" xfId="0" applyNumberFormat="1" applyFont="1" applyFill="1" applyAlignment="1">
      <alignment horizontal="right" vertical="center"/>
    </xf>
    <xf numFmtId="3" fontId="136" fillId="44" borderId="0" xfId="0" applyNumberFormat="1" applyFont="1" applyFill="1" applyAlignment="1">
      <alignment horizontal="right" vertical="center"/>
    </xf>
    <xf numFmtId="0" fontId="156" fillId="42" borderId="0" xfId="0" applyFont="1" applyFill="1" applyAlignment="1">
      <alignment horizontal="left" vertical="center"/>
    </xf>
    <xf numFmtId="0" fontId="136" fillId="43" borderId="0" xfId="0" applyFont="1" applyFill="1" applyAlignment="1">
      <alignment horizontal="left" vertical="center"/>
    </xf>
    <xf numFmtId="0" fontId="136" fillId="44" borderId="0" xfId="0" applyFont="1" applyFill="1" applyAlignment="1">
      <alignment horizontal="left" vertical="center"/>
    </xf>
    <xf numFmtId="0" fontId="156" fillId="42" borderId="0" xfId="0" applyFont="1" applyFill="1" applyAlignment="1">
      <alignment horizontal="center" vertical="center"/>
    </xf>
    <xf numFmtId="0" fontId="136" fillId="43" borderId="0" xfId="0" applyFont="1" applyFill="1" applyAlignment="1">
      <alignment horizontal="right" vertical="center"/>
    </xf>
    <xf numFmtId="0" fontId="136" fillId="44" borderId="0" xfId="0" applyFont="1" applyFill="1" applyAlignment="1">
      <alignment horizontal="right" vertical="center"/>
    </xf>
    <xf numFmtId="0" fontId="136" fillId="40"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56" fillId="43" borderId="0" xfId="0" applyNumberFormat="1" applyFont="1" applyFill="1" applyAlignment="1">
      <alignment horizontal="left" vertical="center"/>
    </xf>
    <xf numFmtId="3" fontId="156" fillId="44" borderId="0" xfId="0" applyNumberFormat="1" applyFont="1" applyFill="1" applyAlignment="1">
      <alignment horizontal="left" vertical="center"/>
    </xf>
    <xf numFmtId="0" fontId="136" fillId="42"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2"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1" borderId="249" xfId="0" applyFont="1" applyFill="1" applyBorder="1" applyAlignment="1">
      <alignment horizontal="left" vertical="center" wrapText="1"/>
    </xf>
    <xf numFmtId="0" fontId="160" fillId="42" borderId="0" xfId="0" applyFont="1" applyFill="1" applyAlignment="1">
      <alignment horizontal="center" vertical="center"/>
    </xf>
    <xf numFmtId="3" fontId="160" fillId="43" borderId="0" xfId="0" applyNumberFormat="1" applyFont="1" applyFill="1" applyAlignment="1">
      <alignment horizontal="right" vertical="center"/>
    </xf>
    <xf numFmtId="0" fontId="160" fillId="44" borderId="0" xfId="0" applyFont="1" applyFill="1" applyAlignment="1">
      <alignment horizontal="right" vertical="center"/>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44" fillId="0" borderId="0" xfId="9">
      <alignment vertical="top"/>
    </xf>
    <xf numFmtId="0" fontId="162" fillId="46" borderId="253" xfId="9" applyFont="1" applyFill="1" applyBorder="1" applyAlignment="1">
      <alignment horizontal="center" vertical="center"/>
    </xf>
    <xf numFmtId="0" fontId="162" fillId="46" borderId="254" xfId="9" applyFont="1" applyFill="1" applyBorder="1" applyAlignment="1">
      <alignment horizontal="center" vertical="center"/>
    </xf>
    <xf numFmtId="0" fontId="162" fillId="46" borderId="255" xfId="9" applyFont="1" applyFill="1" applyBorder="1" applyAlignment="1">
      <alignment horizontal="center" vertical="center"/>
    </xf>
    <xf numFmtId="0" fontId="164" fillId="47" borderId="256" xfId="9" applyFont="1" applyFill="1" applyBorder="1" applyAlignment="1">
      <alignment horizontal="center" vertical="center"/>
    </xf>
    <xf numFmtId="0" fontId="164" fillId="47" borderId="257" xfId="9" applyFont="1" applyFill="1" applyBorder="1" applyAlignment="1">
      <alignment horizontal="center" vertical="top"/>
    </xf>
    <xf numFmtId="0" fontId="164" fillId="47" borderId="257" xfId="9" applyFont="1" applyFill="1" applyBorder="1" applyAlignment="1">
      <alignment vertical="center"/>
    </xf>
    <xf numFmtId="0" fontId="164" fillId="47" borderId="258" xfId="9" applyFont="1" applyFill="1" applyBorder="1" applyAlignment="1">
      <alignment vertical="center"/>
    </xf>
    <xf numFmtId="0" fontId="164" fillId="0" borderId="256" xfId="9" applyFont="1" applyBorder="1" applyAlignment="1">
      <alignment horizontal="center" vertical="center"/>
    </xf>
    <xf numFmtId="0" fontId="164" fillId="0" borderId="257" xfId="9" applyFont="1" applyBorder="1" applyAlignment="1">
      <alignment horizontal="center" vertical="top"/>
    </xf>
    <xf numFmtId="0" fontId="164" fillId="0" borderId="257" xfId="9" applyFont="1" applyBorder="1" applyAlignment="1">
      <alignment vertical="center"/>
    </xf>
    <xf numFmtId="0" fontId="164" fillId="0" borderId="258" xfId="9" applyFont="1" applyBorder="1" applyAlignment="1">
      <alignment vertical="center"/>
    </xf>
    <xf numFmtId="0" fontId="164" fillId="0" borderId="259" xfId="9" applyFont="1" applyBorder="1" applyAlignment="1">
      <alignment horizontal="center" vertical="center"/>
    </xf>
    <xf numFmtId="0" fontId="164" fillId="0" borderId="260" xfId="9" applyFont="1" applyBorder="1" applyAlignment="1">
      <alignment horizontal="center" vertical="top"/>
    </xf>
    <xf numFmtId="0" fontId="164" fillId="0" borderId="260" xfId="9" applyFont="1" applyBorder="1" applyAlignment="1">
      <alignment vertical="center"/>
    </xf>
    <xf numFmtId="0" fontId="164" fillId="0" borderId="261" xfId="9" applyFont="1" applyBorder="1" applyAlignment="1">
      <alignment vertical="center"/>
    </xf>
    <xf numFmtId="0" fontId="165" fillId="48" borderId="0" xfId="9" applyFont="1" applyFill="1" applyAlignment="1">
      <alignment horizontal="left" vertical="center"/>
    </xf>
    <xf numFmtId="0" fontId="166" fillId="0" borderId="0" xfId="9" applyFont="1">
      <alignment vertical="top"/>
    </xf>
    <xf numFmtId="0" fontId="136" fillId="40" borderId="0" xfId="0" applyFont="1" applyFill="1">
      <alignment vertical="center"/>
    </xf>
    <xf numFmtId="0" fontId="136" fillId="41" borderId="0" xfId="0" applyFont="1" applyFill="1">
      <alignment vertical="center"/>
    </xf>
    <xf numFmtId="3" fontId="136" fillId="40" borderId="0" xfId="0" applyNumberFormat="1" applyFont="1" applyFill="1">
      <alignment vertical="center"/>
    </xf>
    <xf numFmtId="0" fontId="136" fillId="25" borderId="0" xfId="0" applyFont="1" applyFill="1">
      <alignment vertical="center"/>
    </xf>
    <xf numFmtId="0" fontId="136" fillId="42" borderId="0" xfId="0" applyFont="1" applyFill="1">
      <alignment vertical="center"/>
    </xf>
    <xf numFmtId="0" fontId="136" fillId="43" borderId="0" xfId="0" applyFont="1" applyFill="1">
      <alignment vertical="center"/>
    </xf>
    <xf numFmtId="0" fontId="136" fillId="44" borderId="0" xfId="0" applyFont="1" applyFill="1">
      <alignment vertical="center"/>
    </xf>
    <xf numFmtId="0" fontId="156" fillId="42" borderId="0" xfId="0" applyFont="1" applyFill="1">
      <alignment vertical="center"/>
    </xf>
    <xf numFmtId="3" fontId="136" fillId="43" borderId="0" xfId="0" applyNumberFormat="1" applyFont="1" applyFill="1">
      <alignment vertical="center"/>
    </xf>
    <xf numFmtId="3" fontId="136" fillId="49" borderId="0" xfId="0" applyNumberFormat="1" applyFont="1" applyFill="1">
      <alignment vertical="center"/>
    </xf>
    <xf numFmtId="0" fontId="95" fillId="0" borderId="0" xfId="5" applyFill="1" applyBorder="1" applyAlignment="1">
      <alignment vertical="center" wrapText="1"/>
    </xf>
    <xf numFmtId="10" fontId="167" fillId="0" borderId="0" xfId="0" applyNumberFormat="1" applyFont="1" applyAlignment="1">
      <alignment vertical="center" wrapText="1"/>
    </xf>
    <xf numFmtId="0" fontId="36" fillId="0" borderId="0" xfId="0" applyFont="1" applyAlignment="1">
      <alignment horizontal="left" vertical="center"/>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28" borderId="1" xfId="0" applyFont="1" applyFill="1" applyBorder="1" applyAlignment="1">
      <alignment horizontal="center" vertical="center" shrinkToFit="1"/>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53" fillId="33" borderId="202" xfId="0" applyFont="1" applyFill="1" applyBorder="1" applyAlignment="1">
      <alignment horizontal="center" vertical="center" shrinkToFit="1"/>
    </xf>
    <xf numFmtId="0" fontId="53" fillId="33" borderId="203" xfId="0" applyFont="1" applyFill="1" applyBorder="1" applyAlignment="1">
      <alignment horizontal="center" vertical="center" shrinkToFit="1"/>
    </xf>
    <xf numFmtId="0" fontId="53" fillId="33" borderId="204" xfId="0" applyFont="1" applyFill="1" applyBorder="1" applyAlignment="1">
      <alignment horizontal="center" vertical="center" shrinkToFit="1"/>
    </xf>
    <xf numFmtId="0" fontId="53" fillId="33" borderId="205" xfId="0" applyFont="1" applyFill="1" applyBorder="1" applyAlignment="1">
      <alignment horizontal="center" vertical="center" shrinkToFit="1"/>
    </xf>
    <xf numFmtId="0" fontId="53" fillId="33" borderId="206" xfId="0" applyFont="1" applyFill="1" applyBorder="1" applyAlignment="1">
      <alignment horizontal="center" vertical="center" shrinkToFit="1"/>
    </xf>
    <xf numFmtId="0" fontId="53" fillId="33" borderId="207" xfId="0" applyFont="1" applyFill="1" applyBorder="1" applyAlignment="1">
      <alignment horizontal="center" vertical="center" shrinkToFit="1"/>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161" fillId="45" borderId="0" xfId="9"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179" fontId="5" fillId="3"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19" fillId="2" borderId="0" xfId="0" applyNumberFormat="1" applyFont="1" applyFill="1" applyAlignment="1">
      <alignment horizontal="center" vertical="center"/>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13" fillId="2" borderId="0" xfId="0" applyFont="1" applyFill="1" applyAlignment="1">
      <alignment horizontal="left" vertical="center"/>
    </xf>
    <xf numFmtId="0" fontId="44" fillId="2" borderId="0" xfId="0" applyFont="1" applyFill="1" applyAlignment="1">
      <alignment horizontal="center" vertical="center"/>
    </xf>
    <xf numFmtId="188" fontId="5" fillId="2" borderId="2"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7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0" fontId="9" fillId="2" borderId="0" xfId="0" applyFont="1" applyFill="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49" fillId="2" borderId="0" xfId="0" applyFont="1" applyFill="1" applyAlignment="1">
      <alignment horizontal="center"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72" xfId="0" applyFont="1" applyFill="1" applyBorder="1" applyAlignment="1">
      <alignment horizontal="center" vertical="center"/>
    </xf>
    <xf numFmtId="176" fontId="7" fillId="2" borderId="2" xfId="2" applyNumberFormat="1"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5" fillId="3" borderId="6" xfId="0" applyNumberFormat="1" applyFont="1" applyFill="1" applyBorder="1" applyAlignment="1">
      <alignment horizontal="center" vertical="center" shrinkToFit="1" readingOrder="1"/>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176" fontId="7" fillId="2" borderId="4" xfId="2" applyNumberFormat="1" applyFont="1" applyFill="1" applyBorder="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0" fontId="30" fillId="9" borderId="0" xfId="0" applyFont="1" applyFill="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0" fontId="74" fillId="2" borderId="0" xfId="0" applyFont="1" applyFill="1" applyAlignment="1">
      <alignment horizontal="left" vertical="center" shrinkToFit="1"/>
    </xf>
    <xf numFmtId="0" fontId="69" fillId="2" borderId="8"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183" fontId="66" fillId="2" borderId="2" xfId="1" applyNumberFormat="1" applyFont="1" applyFill="1" applyBorder="1" applyAlignment="1">
      <alignment horizontal="right" vertical="center" shrinkToFit="1"/>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38" fontId="65" fillId="2" borderId="84" xfId="1" applyFont="1" applyFill="1" applyBorder="1" applyAlignment="1">
      <alignment horizontal="right" vertical="center"/>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6" fillId="10" borderId="3" xfId="0"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30" xfId="1" applyFont="1" applyFill="1" applyBorder="1" applyAlignment="1">
      <alignment vertical="center"/>
    </xf>
    <xf numFmtId="38" fontId="65" fillId="18" borderId="231" xfId="1" applyFont="1" applyFill="1" applyBorder="1" applyAlignment="1">
      <alignment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38" fontId="66" fillId="2" borderId="30" xfId="1" applyFont="1" applyFill="1" applyBorder="1" applyAlignment="1">
      <alignment horizontal="right" vertical="center"/>
    </xf>
    <xf numFmtId="38" fontId="66" fillId="14" borderId="14" xfId="1" applyFont="1" applyFill="1" applyBorder="1" applyAlignment="1">
      <alignment horizontal="right" vertical="center"/>
    </xf>
    <xf numFmtId="0" fontId="106" fillId="2" borderId="145" xfId="0" applyFont="1" applyFill="1" applyBorder="1" applyAlignment="1">
      <alignment horizontal="left" vertical="center"/>
    </xf>
    <xf numFmtId="0" fontId="106" fillId="2" borderId="146" xfId="0" applyFont="1" applyFill="1" applyBorder="1" applyAlignment="1">
      <alignment horizontal="left" vertical="center"/>
    </xf>
    <xf numFmtId="0" fontId="106" fillId="2" borderId="147" xfId="0" applyFont="1" applyFill="1" applyBorder="1" applyAlignment="1">
      <alignment horizontal="left" vertical="center"/>
    </xf>
    <xf numFmtId="0" fontId="106" fillId="2" borderId="148" xfId="0" applyFont="1" applyFill="1" applyBorder="1" applyAlignment="1">
      <alignment horizontal="left" vertical="center"/>
    </xf>
    <xf numFmtId="0" fontId="106" fillId="2" borderId="149" xfId="0" applyFont="1" applyFill="1" applyBorder="1" applyAlignment="1">
      <alignment horizontal="left" vertical="center"/>
    </xf>
    <xf numFmtId="0" fontId="106" fillId="2" borderId="150" xfId="0" applyFont="1" applyFill="1" applyBorder="1" applyAlignment="1">
      <alignment horizontal="left" vertical="center"/>
    </xf>
    <xf numFmtId="0" fontId="71" fillId="18" borderId="112" xfId="0" applyFont="1" applyFill="1" applyBorder="1" applyAlignment="1">
      <alignment horizontal="center" vertical="center" wrapText="1" shrinkToFit="1"/>
    </xf>
    <xf numFmtId="0" fontId="71" fillId="18" borderId="250" xfId="0" applyFont="1" applyFill="1" applyBorder="1" applyAlignment="1">
      <alignment horizontal="center" vertical="center" shrinkToFit="1"/>
    </xf>
    <xf numFmtId="0" fontId="71" fillId="18" borderId="113" xfId="0" applyFont="1" applyFill="1" applyBorder="1" applyAlignment="1">
      <alignment horizontal="center" vertical="center" shrinkToFit="1"/>
    </xf>
    <xf numFmtId="179" fontId="68" fillId="18" borderId="114" xfId="1" applyNumberFormat="1" applyFont="1" applyFill="1" applyBorder="1" applyAlignment="1">
      <alignment horizontal="center" vertical="center" shrinkToFit="1"/>
    </xf>
    <xf numFmtId="179" fontId="68" fillId="18" borderId="115" xfId="1" applyNumberFormat="1" applyFont="1" applyFill="1" applyBorder="1" applyAlignment="1">
      <alignment horizontal="center" vertical="center" shrinkToFit="1"/>
    </xf>
    <xf numFmtId="179" fontId="68" fillId="18" borderId="251" xfId="1" applyNumberFormat="1" applyFont="1" applyFill="1" applyBorder="1" applyAlignment="1">
      <alignment horizontal="center" vertical="center" shrinkToFit="1"/>
    </xf>
    <xf numFmtId="179" fontId="68" fillId="18" borderId="252" xfId="1" applyNumberFormat="1" applyFont="1" applyFill="1" applyBorder="1" applyAlignment="1">
      <alignment horizontal="center" vertical="center" shrinkToFit="1"/>
    </xf>
    <xf numFmtId="179" fontId="68" fillId="18" borderId="116" xfId="1" applyNumberFormat="1" applyFont="1" applyFill="1" applyBorder="1" applyAlignment="1">
      <alignment horizontal="center" vertical="center" shrinkToFit="1"/>
    </xf>
    <xf numFmtId="179" fontId="68" fillId="18" borderId="117" xfId="1" applyNumberFormat="1"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83" fontId="31" fillId="2" borderId="34" xfId="1" applyNumberFormat="1" applyFont="1" applyFill="1" applyBorder="1" applyAlignment="1">
      <alignment horizontal="right" vertical="center" shrinkToFit="1"/>
    </xf>
    <xf numFmtId="0" fontId="31" fillId="10" borderId="130" xfId="0"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1" xfId="0" applyNumberFormat="1" applyFont="1" applyFill="1" applyBorder="1" applyAlignment="1">
      <alignment horizontal="center" vertical="center" shrinkToFit="1"/>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21" fillId="2" borderId="104" xfId="0" applyNumberFormat="1" applyFont="1" applyFill="1" applyBorder="1" applyAlignment="1">
      <alignment horizontal="right" vertical="center"/>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63" fillId="2" borderId="104" xfId="0" applyFont="1" applyFill="1" applyBorder="1" applyAlignment="1">
      <alignment horizontal="left"/>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3" fillId="33" borderId="173" xfId="0" applyFont="1" applyFill="1" applyBorder="1" applyAlignment="1">
      <alignment horizontal="center" vertical="center"/>
    </xf>
    <xf numFmtId="0" fontId="133" fillId="33" borderId="174" xfId="0" applyFont="1" applyFill="1" applyBorder="1" applyAlignment="1">
      <alignment horizontal="center" vertical="center"/>
    </xf>
    <xf numFmtId="0" fontId="133" fillId="33"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 fillId="14" borderId="3" xfId="0" applyFont="1" applyFill="1" applyBorder="1" applyAlignment="1">
      <alignment horizontal="center" vertical="center"/>
    </xf>
    <xf numFmtId="0" fontId="13" fillId="31"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2" borderId="5" xfId="0" applyFill="1" applyBorder="1" applyAlignment="1">
      <alignment horizontal="left" vertical="center"/>
    </xf>
    <xf numFmtId="0" fontId="0" fillId="32" borderId="30" xfId="0" applyFill="1" applyBorder="1" applyAlignment="1">
      <alignment horizontal="left" vertical="center"/>
    </xf>
    <xf numFmtId="0" fontId="0" fillId="32" borderId="15" xfId="0" applyFill="1" applyBorder="1" applyAlignment="1">
      <alignment horizontal="left" vertical="center"/>
    </xf>
    <xf numFmtId="0" fontId="125" fillId="2" borderId="0" xfId="0" applyFont="1" applyFill="1" applyAlignment="1">
      <alignment horizontal="center" vertical="center"/>
    </xf>
    <xf numFmtId="0" fontId="131" fillId="32" borderId="3" xfId="0" applyFont="1" applyFill="1" applyBorder="1" applyAlignment="1">
      <alignment horizontal="center"/>
    </xf>
    <xf numFmtId="0" fontId="15" fillId="32" borderId="3" xfId="0" applyFont="1" applyFill="1" applyBorder="1" applyAlignment="1">
      <alignment horizontal="center"/>
    </xf>
    <xf numFmtId="0" fontId="15" fillId="32" borderId="181" xfId="0" applyFont="1" applyFill="1" applyBorder="1" applyAlignment="1">
      <alignment horizontal="center"/>
    </xf>
    <xf numFmtId="0" fontId="131" fillId="30" borderId="15" xfId="0" applyFont="1" applyFill="1" applyBorder="1" applyAlignment="1">
      <alignment horizontal="center"/>
    </xf>
    <xf numFmtId="0" fontId="15" fillId="30" borderId="3" xfId="0" applyFont="1" applyFill="1" applyBorder="1" applyAlignment="1">
      <alignment horizontal="center"/>
    </xf>
    <xf numFmtId="0" fontId="128" fillId="29" borderId="3" xfId="0" applyFont="1" applyFill="1" applyBorder="1" applyAlignment="1">
      <alignment horizontal="center" vertical="center"/>
    </xf>
    <xf numFmtId="0" fontId="128" fillId="30" borderId="3" xfId="0" applyFont="1" applyFill="1" applyBorder="1" applyAlignment="1">
      <alignment horizontal="center" vertic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0" fontId="131" fillId="29" borderId="3" xfId="0" applyFont="1" applyFill="1" applyBorder="1" applyAlignment="1">
      <alignment horizontal="center"/>
    </xf>
    <xf numFmtId="0" fontId="15" fillId="29" borderId="3" xfId="0" applyFont="1" applyFill="1" applyBorder="1" applyAlignment="1">
      <alignment horizontal="center"/>
    </xf>
    <xf numFmtId="0" fontId="15" fillId="29" borderId="181" xfId="0" applyFont="1" applyFill="1" applyBorder="1" applyAlignment="1">
      <alignment horizontal="center"/>
    </xf>
    <xf numFmtId="0" fontId="15" fillId="29" borderId="15" xfId="0" applyFont="1" applyFill="1" applyBorder="1" applyAlignment="1">
      <alignment horizontal="center"/>
    </xf>
    <xf numFmtId="0" fontId="128" fillId="29" borderId="5" xfId="0" applyFont="1" applyFill="1" applyBorder="1" applyAlignment="1">
      <alignment horizontal="center" vertical="center"/>
    </xf>
    <xf numFmtId="0" fontId="128" fillId="29" borderId="30" xfId="0" applyFont="1" applyFill="1" applyBorder="1" applyAlignment="1">
      <alignment horizontal="center" vertical="center"/>
    </xf>
    <xf numFmtId="0" fontId="128" fillId="29" borderId="15" xfId="0" applyFont="1" applyFill="1" applyBorder="1" applyAlignment="1">
      <alignment horizontal="center" vertical="center"/>
    </xf>
    <xf numFmtId="0" fontId="131" fillId="29" borderId="5" xfId="0" applyFont="1" applyFill="1" applyBorder="1" applyAlignment="1">
      <alignment horizontal="center"/>
    </xf>
    <xf numFmtId="0" fontId="15" fillId="29" borderId="30" xfId="0" applyFont="1" applyFill="1" applyBorder="1" applyAlignment="1">
      <alignment horizontal="center"/>
    </xf>
    <xf numFmtId="0" fontId="15" fillId="29" borderId="182" xfId="0" applyFont="1" applyFill="1" applyBorder="1" applyAlignment="1">
      <alignment horizont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1" borderId="185" xfId="0" applyFont="1" applyFill="1" applyBorder="1" applyAlignment="1">
      <alignment horizontal="center" vertical="center"/>
    </xf>
    <xf numFmtId="0" fontId="13" fillId="31" borderId="186" xfId="0" applyFont="1" applyFill="1" applyBorder="1" applyAlignment="1">
      <alignment horizontal="center" vertical="center"/>
    </xf>
    <xf numFmtId="0" fontId="13" fillId="31"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9"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139" fillId="7" borderId="0" xfId="0" applyFont="1" applyFill="1" applyAlignment="1">
      <alignment horizontal="center" vertical="center"/>
    </xf>
    <xf numFmtId="38" fontId="96" fillId="18" borderId="227" xfId="0" applyNumberFormat="1" applyFont="1" applyFill="1" applyBorder="1" applyAlignment="1">
      <alignment horizontal="left" vertical="center" shrinkToFit="1"/>
    </xf>
    <xf numFmtId="0" fontId="43" fillId="10" borderId="0" xfId="0" applyFont="1" applyFill="1" applyAlignment="1">
      <alignment horizontal="center"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2" borderId="0" xfId="0" applyFont="1" applyFill="1" applyAlignment="1">
      <alignment horizontal="left" vertical="center"/>
    </xf>
    <xf numFmtId="0" fontId="147" fillId="8" borderId="24" xfId="6" applyFont="1" applyFill="1" applyBorder="1" applyAlignment="1" applyProtection="1">
      <alignment horizontal="center" vertical="center"/>
      <protection locked="0"/>
    </xf>
    <xf numFmtId="0" fontId="124" fillId="0" borderId="37" xfId="6" applyFont="1" applyBorder="1" applyAlignment="1" applyProtection="1">
      <alignment horizontal="center" vertical="center"/>
      <protection locked="0"/>
    </xf>
    <xf numFmtId="6" fontId="124" fillId="0" borderId="238" xfId="8" applyFont="1" applyBorder="1" applyAlignment="1" applyProtection="1">
      <alignment horizontal="center" vertical="center"/>
      <protection locked="0"/>
    </xf>
    <xf numFmtId="6" fontId="124" fillId="0" borderId="238" xfId="8" applyFont="1" applyBorder="1" applyAlignment="1" applyProtection="1">
      <alignment vertical="center"/>
    </xf>
    <xf numFmtId="0" fontId="147" fillId="8" borderId="239" xfId="6" applyFont="1" applyFill="1" applyBorder="1" applyAlignment="1" applyProtection="1">
      <alignment horizontal="center" vertical="center"/>
      <protection locked="0"/>
    </xf>
    <xf numFmtId="0" fontId="124" fillId="0" borderId="34" xfId="6" applyFont="1" applyBorder="1" applyAlignment="1" applyProtection="1">
      <alignment horizontal="center" vertical="center"/>
      <protection locked="0"/>
    </xf>
    <xf numFmtId="6" fontId="124" fillId="0" borderId="34" xfId="8" applyFont="1" applyBorder="1" applyAlignment="1" applyProtection="1">
      <alignment horizontal="center" vertical="center"/>
      <protection locked="0"/>
    </xf>
    <xf numFmtId="6" fontId="124" fillId="0" borderId="34" xfId="8" applyFont="1" applyBorder="1" applyAlignment="1" applyProtection="1">
      <alignment vertical="center"/>
    </xf>
    <xf numFmtId="0" fontId="124" fillId="0" borderId="40" xfId="6" applyFont="1" applyBorder="1" applyAlignment="1" applyProtection="1">
      <alignment horizontal="center" vertical="center"/>
      <protection locked="0"/>
    </xf>
    <xf numFmtId="6" fontId="124" fillId="0" borderId="40" xfId="8" applyFont="1" applyFill="1" applyBorder="1" applyAlignment="1" applyProtection="1">
      <alignment horizontal="center" vertical="center"/>
      <protection locked="0"/>
    </xf>
    <xf numFmtId="6" fontId="124" fillId="0" borderId="40" xfId="8" applyFont="1" applyBorder="1" applyAlignment="1" applyProtection="1">
      <alignment vertical="center"/>
    </xf>
    <xf numFmtId="0" fontId="149" fillId="0" borderId="0" xfId="6" applyFont="1" applyAlignment="1" applyProtection="1">
      <alignment horizontal="center" vertical="center"/>
      <protection locked="0"/>
    </xf>
    <xf numFmtId="0" fontId="149" fillId="0" borderId="84" xfId="6" applyFont="1" applyBorder="1" applyAlignment="1" applyProtection="1">
      <alignment horizontal="center" vertical="center"/>
      <protection locked="0"/>
    </xf>
    <xf numFmtId="6" fontId="134" fillId="0" borderId="0" xfId="8" applyFont="1" applyBorder="1" applyAlignment="1" applyProtection="1">
      <alignment horizontal="center" vertical="center"/>
    </xf>
    <xf numFmtId="6" fontId="134" fillId="0" borderId="84" xfId="8" applyFont="1" applyBorder="1" applyAlignment="1" applyProtection="1">
      <alignment horizontal="center" vertical="center"/>
    </xf>
    <xf numFmtId="0" fontId="148" fillId="0" borderId="0" xfId="6" applyFont="1" applyAlignment="1" applyProtection="1">
      <alignment horizontal="center" vertical="center"/>
      <protection locked="0"/>
    </xf>
    <xf numFmtId="0" fontId="148" fillId="0" borderId="84" xfId="6" applyFont="1" applyBorder="1" applyAlignment="1" applyProtection="1">
      <alignment horizontal="center" vertical="center"/>
      <protection locked="0"/>
    </xf>
    <xf numFmtId="0" fontId="124" fillId="0" borderId="0" xfId="6" applyFont="1" applyAlignment="1" applyProtection="1">
      <alignment horizontal="right" vertical="center"/>
      <protection locked="0"/>
    </xf>
    <xf numFmtId="0" fontId="147" fillId="8" borderId="17" xfId="6" applyFont="1" applyFill="1" applyBorder="1" applyAlignment="1" applyProtection="1">
      <alignment horizontal="center" vertical="center"/>
      <protection locked="0"/>
    </xf>
    <xf numFmtId="0" fontId="147" fillId="8" borderId="18" xfId="6" applyFont="1" applyFill="1" applyBorder="1" applyAlignment="1" applyProtection="1">
      <alignment horizontal="center" vertical="center"/>
      <protection locked="0"/>
    </xf>
    <xf numFmtId="0" fontId="147" fillId="8" borderId="19" xfId="6" applyFont="1" applyFill="1" applyBorder="1" applyAlignment="1" applyProtection="1">
      <alignment horizontal="center" vertical="center"/>
      <protection locked="0"/>
    </xf>
    <xf numFmtId="0" fontId="124" fillId="0" borderId="25" xfId="6" applyFont="1" applyBorder="1" applyAlignment="1" applyProtection="1">
      <alignment horizontal="left" vertical="center"/>
      <protection locked="0"/>
    </xf>
    <xf numFmtId="0" fontId="124" fillId="0" borderId="32" xfId="6" applyFont="1" applyBorder="1" applyAlignment="1" applyProtection="1">
      <alignment horizontal="left" vertical="center"/>
      <protection locked="0"/>
    </xf>
    <xf numFmtId="0" fontId="124" fillId="0" borderId="26" xfId="6" applyFont="1" applyBorder="1" applyAlignment="1" applyProtection="1">
      <alignment horizontal="left" vertical="center"/>
      <protection locked="0"/>
    </xf>
    <xf numFmtId="0" fontId="147" fillId="8" borderId="236" xfId="6" applyFont="1" applyFill="1" applyBorder="1" applyAlignment="1" applyProtection="1">
      <alignment horizontal="center" vertical="center"/>
      <protection locked="0"/>
    </xf>
    <xf numFmtId="0" fontId="147" fillId="8" borderId="237" xfId="6" applyFont="1" applyFill="1" applyBorder="1" applyAlignment="1" applyProtection="1">
      <alignment horizontal="center" vertical="center"/>
      <protection locked="0"/>
    </xf>
    <xf numFmtId="0" fontId="147" fillId="8" borderId="130" xfId="6" applyFont="1" applyFill="1" applyBorder="1" applyAlignment="1" applyProtection="1">
      <alignment horizontal="center" vertical="center"/>
      <protection locked="0"/>
    </xf>
    <xf numFmtId="0" fontId="124" fillId="0" borderId="236" xfId="6" applyFont="1" applyBorder="1" applyAlignment="1" applyProtection="1">
      <alignment horizontal="left" vertical="top"/>
      <protection locked="0"/>
    </xf>
    <xf numFmtId="0" fontId="124" fillId="0" borderId="237" xfId="6" applyFont="1" applyBorder="1" applyAlignment="1" applyProtection="1">
      <alignment horizontal="left" vertical="top"/>
      <protection locked="0"/>
    </xf>
    <xf numFmtId="0" fontId="124" fillId="0" borderId="130" xfId="6" applyFont="1" applyBorder="1" applyAlignment="1" applyProtection="1">
      <alignment horizontal="left" vertical="top"/>
      <protection locked="0"/>
    </xf>
    <xf numFmtId="0" fontId="145" fillId="0" borderId="0" xfId="6" applyFont="1" applyAlignment="1" applyProtection="1">
      <alignment horizontal="center" vertical="center"/>
      <protection locked="0"/>
    </xf>
    <xf numFmtId="0" fontId="145" fillId="0" borderId="235" xfId="6" applyFont="1" applyBorder="1" applyAlignment="1" applyProtection="1">
      <alignment horizontal="center" vertical="center"/>
      <protection locked="0"/>
    </xf>
    <xf numFmtId="0" fontId="115" fillId="0" borderId="0" xfId="6" applyFont="1" applyAlignment="1" applyProtection="1">
      <alignment horizontal="left" vertical="center"/>
      <protection locked="0"/>
    </xf>
    <xf numFmtId="0" fontId="124" fillId="0" borderId="0" xfId="6" applyFont="1" applyAlignment="1" applyProtection="1">
      <alignment horizontal="left" vertical="center"/>
      <protection locked="0"/>
    </xf>
    <xf numFmtId="0" fontId="124" fillId="0" borderId="16" xfId="6" applyFont="1" applyBorder="1" applyAlignment="1" applyProtection="1">
      <alignment horizontal="center" vertical="center"/>
      <protection locked="0"/>
    </xf>
    <xf numFmtId="0" fontId="124" fillId="0" borderId="18" xfId="6" applyFont="1" applyBorder="1" applyAlignment="1" applyProtection="1">
      <alignment horizontal="right" vertical="center"/>
      <protection locked="0"/>
    </xf>
    <xf numFmtId="0" fontId="124" fillId="0" borderId="18" xfId="6" applyFont="1" applyBorder="1" applyAlignment="1" applyProtection="1">
      <alignment horizontal="center" vertical="center"/>
      <protection locked="0"/>
    </xf>
    <xf numFmtId="0" fontId="147" fillId="8" borderId="25" xfId="6" applyFont="1" applyFill="1" applyBorder="1" applyAlignment="1" applyProtection="1">
      <alignment horizontal="center" vertical="center"/>
      <protection locked="0"/>
    </xf>
    <xf numFmtId="0" fontId="147" fillId="8" borderId="32" xfId="6" applyFont="1" applyFill="1" applyBorder="1" applyAlignment="1" applyProtection="1">
      <alignment horizontal="center" vertical="center"/>
      <protection locked="0"/>
    </xf>
    <xf numFmtId="0" fontId="147" fillId="8" borderId="26" xfId="6"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9"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6" applyFont="1" applyAlignment="1" applyProtection="1">
      <alignment vertical="center"/>
      <protection locked="0"/>
    </xf>
    <xf numFmtId="0" fontId="124" fillId="0" borderId="0" xfId="6" applyFont="1" applyAlignment="1" applyProtection="1">
      <alignment vertical="center"/>
      <protection locked="0"/>
    </xf>
    <xf numFmtId="14" fontId="124" fillId="0" borderId="0" xfId="6" applyNumberFormat="1" applyFont="1" applyAlignment="1" applyProtection="1">
      <alignment vertical="center"/>
      <protection locked="0"/>
    </xf>
    <xf numFmtId="0" fontId="148" fillId="0" borderId="0" xfId="6" applyFont="1" applyAlignment="1" applyProtection="1">
      <alignment vertical="center"/>
      <protection locked="0"/>
    </xf>
    <xf numFmtId="6" fontId="124" fillId="0" borderId="239" xfId="6" applyNumberFormat="1" applyFont="1" applyBorder="1" applyAlignment="1">
      <alignment vertical="center"/>
    </xf>
    <xf numFmtId="0" fontId="124" fillId="0" borderId="239" xfId="6" applyFont="1" applyBorder="1" applyAlignment="1">
      <alignment vertical="center"/>
    </xf>
    <xf numFmtId="6" fontId="124" fillId="0" borderId="24" xfId="6" applyNumberFormat="1" applyFont="1" applyBorder="1" applyAlignment="1">
      <alignment vertical="center"/>
    </xf>
    <xf numFmtId="0" fontId="124" fillId="0" borderId="24" xfId="6" applyFont="1" applyBorder="1" applyAlignment="1">
      <alignment vertical="center"/>
    </xf>
  </cellXfs>
  <cellStyles count="10">
    <cellStyle name="Hyperlink" xfId="5" xr:uid="{00000000-000B-0000-0000-000008000000}"/>
    <cellStyle name="パーセント" xfId="2" builtinId="5"/>
    <cellStyle name="パーセント 2" xfId="7" xr:uid="{9B6D5258-5BCC-4B51-B6BF-D6E1C069FBFB}"/>
    <cellStyle name="ハイパーリンク" xfId="4" builtinId="8"/>
    <cellStyle name="桁区切り" xfId="1" builtinId="6"/>
    <cellStyle name="通貨 2" xfId="8" xr:uid="{F621F119-2E8D-4D68-8833-B3F7630A09FE}"/>
    <cellStyle name="標準" xfId="0" builtinId="0"/>
    <cellStyle name="標準 2" xfId="3" xr:uid="{9AA7E515-3FEC-4B2B-991D-7CD241E9D2FB}"/>
    <cellStyle name="標準 3" xfId="6" xr:uid="{EE085D91-D943-4580-8B96-1E37CA1AD16B}"/>
    <cellStyle name="標準 4" xfId="9" xr:uid="{927A0586-A174-4E10-9098-05B8F195E35E}"/>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3</xdr:col>
      <xdr:colOff>461949</xdr:colOff>
      <xdr:row>9</xdr:row>
      <xdr:rowOff>98544</xdr:rowOff>
    </xdr:from>
    <xdr:ext cx="4698722"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2462199" y="2207651"/>
          <a:ext cx="4698722"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器具更新のご提案</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2"/>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3"/>
        <a:stretch>
          <a:fillRect/>
        </a:stretch>
      </xdr:blipFill>
      <xdr:spPr>
        <a:xfrm>
          <a:off x="7073612" y="6294293"/>
          <a:ext cx="6896454" cy="2330161"/>
        </a:xfrm>
        <a:prstGeom prst="rect">
          <a:avLst/>
        </a:prstGeom>
      </xdr:spPr>
    </xdr:pic>
    <xdr:clientData/>
  </xdr:twoCellAnchor>
  <xdr:twoCellAnchor editAs="oneCell">
    <xdr:from>
      <xdr:col>0</xdr:col>
      <xdr:colOff>261258</xdr:colOff>
      <xdr:row>3</xdr:row>
      <xdr:rowOff>141514</xdr:rowOff>
    </xdr:from>
    <xdr:to>
      <xdr:col>42</xdr:col>
      <xdr:colOff>21772</xdr:colOff>
      <xdr:row>19</xdr:row>
      <xdr:rowOff>40344</xdr:rowOff>
    </xdr:to>
    <xdr:pic>
      <xdr:nvPicPr>
        <xdr:cNvPr id="6" name="図 5">
          <a:extLst>
            <a:ext uri="{FF2B5EF4-FFF2-40B4-BE49-F238E27FC236}">
              <a16:creationId xmlns:a16="http://schemas.microsoft.com/office/drawing/2014/main" id="{666212CE-D182-122D-D25A-D3EA95B21BB1}"/>
            </a:ext>
          </a:extLst>
        </xdr:cNvPr>
        <xdr:cNvPicPr>
          <a:picLocks noChangeAspect="1"/>
        </xdr:cNvPicPr>
      </xdr:nvPicPr>
      <xdr:blipFill>
        <a:blip xmlns:r="http://schemas.openxmlformats.org/officeDocument/2006/relationships" r:embed="rId4"/>
        <a:stretch>
          <a:fillRect/>
        </a:stretch>
      </xdr:blipFill>
      <xdr:spPr>
        <a:xfrm>
          <a:off x="261258" y="1164771"/>
          <a:ext cx="11190514" cy="41986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41450" y="1416050"/>
          <a:ext cx="1452700" cy="155112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81250" y="2730500"/>
          <a:ext cx="1714500" cy="15352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1A82482-C910-47AC-A768-943CC126B6C1}">
  <we:reference id="WA200009404" version="1.0.0.8" store="ja-jp" storeType="omex"/>
  <we:alternateReferences>
    <we:reference id="WA200009404" version="1.0.0.8" store="ja-jp" storeType="omex"/>
  </we:alternateReferences>
  <we:properties>
    <we:property name="Office.AutoShowTaskpaneWithDocument" value="true"/>
    <we:property name="claude.fileId" value="&quot;9be33216-3861-4168-95e3-7911c5ab3cd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aturn.tlt.co.jp/pdocs/s/LDA4NGE17S40W2"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30" zoomScale="80" zoomScaleNormal="80" workbookViewId="0">
      <selection activeCell="N38" sqref="N38:N39"/>
    </sheetView>
  </sheetViews>
  <sheetFormatPr defaultColWidth="8.625" defaultRowHeight="18" customHeight="1"/>
  <cols>
    <col min="1" max="16384" width="8.625" style="251"/>
  </cols>
  <sheetData>
    <row r="1" spans="1:37" ht="18" customHeight="1">
      <c r="A1" s="388"/>
      <c r="B1" s="388"/>
      <c r="C1" s="388"/>
      <c r="D1" s="388"/>
      <c r="E1" s="388"/>
      <c r="F1" s="388"/>
      <c r="G1" s="388"/>
      <c r="H1" s="388"/>
      <c r="I1" s="388"/>
      <c r="J1" s="388"/>
      <c r="K1" s="388"/>
      <c r="L1" s="388"/>
      <c r="M1" s="388"/>
      <c r="N1" s="388"/>
      <c r="O1" s="388"/>
      <c r="P1" s="388"/>
      <c r="Q1" s="388"/>
      <c r="R1" s="388"/>
      <c r="S1" s="388"/>
      <c r="T1" s="388"/>
      <c r="U1" s="388"/>
      <c r="AD1" s="251">
        <f>VLOOKUP(代理店入力用!H5,AB5:AE12,1,FALSE)</f>
        <v>10</v>
      </c>
      <c r="AE1" s="251">
        <f>VLOOKUP(代理店入力用!H5,AB5:AE12,4,FALSE)</f>
        <v>0</v>
      </c>
    </row>
    <row r="2" spans="1:37" ht="18" customHeight="1">
      <c r="A2" s="388"/>
      <c r="F2" s="251">
        <v>12</v>
      </c>
      <c r="G2" s="251">
        <v>12</v>
      </c>
      <c r="H2" s="251">
        <v>12</v>
      </c>
      <c r="I2" s="251">
        <v>12</v>
      </c>
      <c r="J2" s="251">
        <v>12</v>
      </c>
      <c r="K2" s="251">
        <v>12</v>
      </c>
      <c r="L2" s="251">
        <v>12</v>
      </c>
      <c r="M2" s="251">
        <v>12</v>
      </c>
      <c r="N2" s="251">
        <v>12</v>
      </c>
      <c r="O2" s="251">
        <v>12</v>
      </c>
      <c r="P2" s="218"/>
      <c r="S2" s="270"/>
      <c r="T2" s="389">
        <f>SUM(T4:T33)</f>
        <v>0</v>
      </c>
      <c r="U2" s="389">
        <f>SUM(U4:U33)</f>
        <v>0</v>
      </c>
      <c r="V2" s="37"/>
      <c r="AB2" s="713" t="s">
        <v>0</v>
      </c>
      <c r="AC2" s="712">
        <f>VLOOKUP(代理店入力用!H5,AB5:AE12,2,FALSE)</f>
        <v>1.09E-2</v>
      </c>
      <c r="AD2" s="251">
        <f>VLOOKUP(代理店入力用!H5,AB5:AE12,3,FALSE)</f>
        <v>120</v>
      </c>
      <c r="AE2" s="251">
        <f>180-AD2</f>
        <v>60</v>
      </c>
      <c r="AH2" s="399"/>
      <c r="AI2" s="732">
        <f>SUM(AI4:AI33)</f>
        <v>0</v>
      </c>
      <c r="AJ2" s="732">
        <f t="shared" ref="AJ2:AK2" si="0">SUM(AJ4:AJ33)</f>
        <v>0</v>
      </c>
      <c r="AK2" s="732">
        <f t="shared" si="0"/>
        <v>0</v>
      </c>
    </row>
    <row r="3" spans="1:37" ht="18" customHeight="1">
      <c r="A3" s="388"/>
      <c r="B3" s="251" t="s">
        <v>1</v>
      </c>
      <c r="C3" s="251" t="s">
        <v>2</v>
      </c>
      <c r="E3" s="390">
        <v>0</v>
      </c>
      <c r="F3" s="390">
        <v>1</v>
      </c>
      <c r="G3" s="390">
        <v>2</v>
      </c>
      <c r="H3" s="390">
        <v>3</v>
      </c>
      <c r="I3" s="390">
        <v>4</v>
      </c>
      <c r="J3" s="390">
        <v>5</v>
      </c>
      <c r="K3" s="390">
        <v>6</v>
      </c>
      <c r="L3" s="390">
        <v>7</v>
      </c>
      <c r="M3" s="390">
        <v>8</v>
      </c>
      <c r="N3" s="390">
        <v>9</v>
      </c>
      <c r="O3" s="390">
        <v>10</v>
      </c>
      <c r="P3" s="218"/>
      <c r="S3" s="391" t="s">
        <v>3</v>
      </c>
      <c r="T3" s="391" t="s">
        <v>4</v>
      </c>
      <c r="U3" s="391" t="s">
        <v>5</v>
      </c>
      <c r="V3" s="392" t="s">
        <v>6</v>
      </c>
      <c r="AH3" s="399"/>
      <c r="AI3" s="731" t="s">
        <v>7</v>
      </c>
      <c r="AJ3" s="731" t="s">
        <v>8</v>
      </c>
      <c r="AK3" s="731" t="s">
        <v>9</v>
      </c>
    </row>
    <row r="4" spans="1:37" ht="18" customHeight="1">
      <c r="A4" s="388"/>
      <c r="B4" s="393">
        <f>②前a!AS41</f>
        <v>0</v>
      </c>
      <c r="C4" s="393">
        <f>ROUNDDOWN(B4/120,1)</f>
        <v>0</v>
      </c>
      <c r="E4" s="394">
        <v>0</v>
      </c>
      <c r="F4" s="394">
        <f>ROUNDDOWN($C$4*F2*F3,0)</f>
        <v>0</v>
      </c>
      <c r="G4" s="394">
        <f t="shared" ref="G4:O4" si="1">ROUNDDOWN($C$4*G2*G3,0)</f>
        <v>0</v>
      </c>
      <c r="H4" s="394">
        <f t="shared" si="1"/>
        <v>0</v>
      </c>
      <c r="I4" s="394">
        <f t="shared" si="1"/>
        <v>0</v>
      </c>
      <c r="J4" s="394">
        <f t="shared" si="1"/>
        <v>0</v>
      </c>
      <c r="K4" s="394">
        <f t="shared" si="1"/>
        <v>0</v>
      </c>
      <c r="L4" s="394">
        <f t="shared" si="1"/>
        <v>0</v>
      </c>
      <c r="M4" s="394">
        <f t="shared" si="1"/>
        <v>0</v>
      </c>
      <c r="N4" s="394">
        <f t="shared" si="1"/>
        <v>0</v>
      </c>
      <c r="O4" s="394">
        <f t="shared" si="1"/>
        <v>0</v>
      </c>
      <c r="P4" s="218"/>
      <c r="Q4" s="251">
        <v>1</v>
      </c>
      <c r="S4" s="395" t="str">
        <f>IFERROR(VLOOKUP(☆入力!$G16,選定!$C$1:$AG$100,8,FALSE),"0")</f>
        <v>0</v>
      </c>
      <c r="T4" s="396">
        <f>S4*☆入力!L16</f>
        <v>0</v>
      </c>
      <c r="U4" s="396">
        <f>☆入力!AE16*☆入力!L16</f>
        <v>0</v>
      </c>
      <c r="V4" s="396">
        <f>ROUNDDOWN((T4+U4),0)</f>
        <v>0</v>
      </c>
      <c r="X4" s="392" t="str">
        <f>IFERROR((代理店入力用!$D$5/☆入力!$AH$14)*☆入力!$AH16,"0")</f>
        <v>0</v>
      </c>
      <c r="Y4" s="392">
        <f t="shared" ref="Y4:Y33" si="2">X4/54</f>
        <v>0</v>
      </c>
      <c r="AB4" s="404" t="s">
        <v>10</v>
      </c>
      <c r="AC4" s="404" t="s">
        <v>11</v>
      </c>
      <c r="AD4" s="404" t="s">
        <v>12</v>
      </c>
      <c r="AE4" s="714"/>
      <c r="AH4" s="731" t="s">
        <v>13</v>
      </c>
      <c r="AI4" s="732">
        <f>ROUNDDOWN(☆入力!W16*☆入力!X16,0)</f>
        <v>0</v>
      </c>
      <c r="AJ4" s="732">
        <f>ROUNDDOWN(☆入力!AB16*☆入力!X16,0)</f>
        <v>0</v>
      </c>
      <c r="AK4" s="732">
        <f>ROUNDDOWN(☆入力!AB16*☆入力!AD16,0)</f>
        <v>0</v>
      </c>
    </row>
    <row r="5" spans="1:37" ht="18" customHeight="1">
      <c r="A5" s="388"/>
      <c r="B5" s="393"/>
      <c r="C5" s="393"/>
      <c r="P5" s="219"/>
      <c r="Q5" s="251">
        <v>2</v>
      </c>
      <c r="S5" s="395" t="str">
        <f>IFERROR(VLOOKUP(☆入力!$G17,選定!$C$1:$AG$100,8,FALSE),"0")</f>
        <v>0</v>
      </c>
      <c r="T5" s="396">
        <f>S5*☆入力!L17</f>
        <v>0</v>
      </c>
      <c r="U5" s="396">
        <f>☆入力!AE17*☆入力!L17</f>
        <v>0</v>
      </c>
      <c r="V5" s="396">
        <f t="shared" ref="V5:V33" si="3">ROUNDDOWN((T5+U5),0)</f>
        <v>0</v>
      </c>
      <c r="X5" s="397" t="str">
        <f>IFERROR((代理店入力用!$D$5/☆入力!$AH$14)*☆入力!$AH17,"0")</f>
        <v>0</v>
      </c>
      <c r="Y5" s="397">
        <f t="shared" si="2"/>
        <v>0</v>
      </c>
      <c r="AB5" s="421">
        <v>3</v>
      </c>
      <c r="AC5" s="715">
        <v>3.0599999999999999E-2</v>
      </c>
      <c r="AD5" s="421">
        <v>36</v>
      </c>
      <c r="AE5" s="421">
        <v>7</v>
      </c>
      <c r="AH5" s="731" t="s">
        <v>14</v>
      </c>
      <c r="AI5" s="732">
        <f>ROUNDDOWN(☆入力!W17*☆入力!X17,0)</f>
        <v>0</v>
      </c>
      <c r="AJ5" s="732">
        <f>ROUNDDOWN(☆入力!AB17*☆入力!X17,0)</f>
        <v>0</v>
      </c>
      <c r="AK5" s="732">
        <f>ROUNDDOWN(☆入力!AB17*☆入力!AD17,0)</f>
        <v>0</v>
      </c>
    </row>
    <row r="6" spans="1:37" ht="18" customHeight="1">
      <c r="A6" s="388"/>
      <c r="B6" s="393"/>
      <c r="C6" s="393"/>
      <c r="E6" s="398">
        <f ca="1">(☆入力!$AL$14+代理店入力用!$D$5)*(100%-☆入力!$AR$11)</f>
        <v>0</v>
      </c>
      <c r="F6" s="398">
        <f ca="1">(☆入力!$AL$14+代理店入力用!$D$5)*(100%-☆入力!$AR$11)</f>
        <v>0</v>
      </c>
      <c r="G6" s="398">
        <f ca="1">(☆入力!$AL$14+代理店入力用!$D$5)*(100%-☆入力!$AR$11)</f>
        <v>0</v>
      </c>
      <c r="H6" s="398">
        <f ca="1">(☆入力!$AL$14+代理店入力用!$D$5)*(100%-☆入力!$AR$11)</f>
        <v>0</v>
      </c>
      <c r="I6" s="398">
        <f ca="1">(☆入力!$AL$14+代理店入力用!$D$5)*(100%-☆入力!$AR$11)</f>
        <v>0</v>
      </c>
      <c r="J6" s="398">
        <f ca="1">(☆入力!$AL$14+代理店入力用!$D$5)*(100%-☆入力!$AR$11)</f>
        <v>0</v>
      </c>
      <c r="K6" s="398">
        <f ca="1">(☆入力!$AL$14+代理店入力用!$D$5)*(100%-☆入力!$AR$11)</f>
        <v>0</v>
      </c>
      <c r="L6" s="398">
        <f ca="1">(☆入力!$AL$14+代理店入力用!$D$5)*(100%-☆入力!$AR$11)</f>
        <v>0</v>
      </c>
      <c r="M6" s="398">
        <f ca="1">(☆入力!$AL$14+代理店入力用!$D$5)*(100%-☆入力!$AR$11)</f>
        <v>0</v>
      </c>
      <c r="N6" s="398">
        <f ca="1">(☆入力!$AL$14+代理店入力用!$D$5)*(100%-☆入力!$AR$11)</f>
        <v>0</v>
      </c>
      <c r="O6" s="398">
        <f ca="1">(☆入力!$AL$14+代理店入力用!$D$5)*(100%-☆入力!$AR$11)</f>
        <v>0</v>
      </c>
      <c r="P6" s="219"/>
      <c r="Q6" s="251">
        <v>3</v>
      </c>
      <c r="S6" s="395" t="str">
        <f>IFERROR(VLOOKUP(☆入力!$G18,選定!$C$1:$AG$100,8,FALSE),"0")</f>
        <v>0</v>
      </c>
      <c r="T6" s="396">
        <f>S6*☆入力!L18</f>
        <v>0</v>
      </c>
      <c r="U6" s="396">
        <f>☆入力!AE18*☆入力!L18</f>
        <v>0</v>
      </c>
      <c r="V6" s="396">
        <f t="shared" si="3"/>
        <v>0</v>
      </c>
      <c r="X6" s="397" t="str">
        <f>IFERROR((代理店入力用!$D$5/☆入力!$AH$14)*☆入力!$AH18,"0")</f>
        <v>0</v>
      </c>
      <c r="Y6" s="397">
        <f t="shared" si="2"/>
        <v>0</v>
      </c>
      <c r="AB6" s="421">
        <v>4</v>
      </c>
      <c r="AC6" s="715">
        <v>2.3099999999999999E-2</v>
      </c>
      <c r="AD6" s="421">
        <v>48</v>
      </c>
      <c r="AE6" s="421">
        <v>6</v>
      </c>
      <c r="AH6" s="731" t="s">
        <v>15</v>
      </c>
      <c r="AI6" s="732">
        <f>ROUNDDOWN(☆入力!W18*☆入力!X18,0)</f>
        <v>0</v>
      </c>
      <c r="AJ6" s="732">
        <f>ROUNDDOWN(☆入力!AB18*☆入力!X18,0)</f>
        <v>0</v>
      </c>
      <c r="AK6" s="732">
        <f>ROUNDDOWN(☆入力!AB18*☆入力!AD18,0)</f>
        <v>0</v>
      </c>
    </row>
    <row r="7" spans="1:37" ht="18" customHeight="1">
      <c r="A7" s="388"/>
      <c r="B7" s="393">
        <f>③後a!AS41</f>
        <v>0</v>
      </c>
      <c r="C7" s="393">
        <f>ROUNDDOWN(B7/120,1)</f>
        <v>0</v>
      </c>
      <c r="E7" s="399">
        <v>0</v>
      </c>
      <c r="F7" s="400">
        <f t="shared" ref="F7:O7" si="4">ROUNDDOWN($C$7*F2*F3,0)</f>
        <v>0</v>
      </c>
      <c r="G7" s="400">
        <f t="shared" si="4"/>
        <v>0</v>
      </c>
      <c r="H7" s="400">
        <f t="shared" si="4"/>
        <v>0</v>
      </c>
      <c r="I7" s="400">
        <f t="shared" si="4"/>
        <v>0</v>
      </c>
      <c r="J7" s="400">
        <f t="shared" si="4"/>
        <v>0</v>
      </c>
      <c r="K7" s="400">
        <f t="shared" si="4"/>
        <v>0</v>
      </c>
      <c r="L7" s="400">
        <f t="shared" si="4"/>
        <v>0</v>
      </c>
      <c r="M7" s="400">
        <f t="shared" si="4"/>
        <v>0</v>
      </c>
      <c r="N7" s="400">
        <f t="shared" si="4"/>
        <v>0</v>
      </c>
      <c r="O7" s="400">
        <f t="shared" si="4"/>
        <v>0</v>
      </c>
      <c r="P7" s="219"/>
      <c r="Q7" s="251">
        <v>4</v>
      </c>
      <c r="S7" s="395" t="str">
        <f>IFERROR(VLOOKUP(☆入力!$G19,選定!$C$1:$AG$100,8,FALSE),"0")</f>
        <v>0</v>
      </c>
      <c r="T7" s="396">
        <f>S7*☆入力!L19</f>
        <v>0</v>
      </c>
      <c r="U7" s="396">
        <f>☆入力!AE19*☆入力!L19</f>
        <v>0</v>
      </c>
      <c r="V7" s="396">
        <f t="shared" si="3"/>
        <v>0</v>
      </c>
      <c r="X7" s="397" t="str">
        <f>IFERROR((代理店入力用!$D$5/☆入力!$AH$14)*☆入力!$AH19,"0")</f>
        <v>0</v>
      </c>
      <c r="Y7" s="397">
        <f t="shared" si="2"/>
        <v>0</v>
      </c>
      <c r="AB7" s="421">
        <v>5</v>
      </c>
      <c r="AC7" s="715">
        <v>1.8700000000000001E-2</v>
      </c>
      <c r="AD7" s="421">
        <v>60</v>
      </c>
      <c r="AE7" s="421">
        <v>5</v>
      </c>
      <c r="AH7" s="731" t="s">
        <v>16</v>
      </c>
      <c r="AI7" s="732">
        <f>ROUNDDOWN(☆入力!W19*☆入力!X19,0)</f>
        <v>0</v>
      </c>
      <c r="AJ7" s="732">
        <f>ROUNDDOWN(☆入力!AB19*☆入力!X19,0)</f>
        <v>0</v>
      </c>
      <c r="AK7" s="732">
        <f>ROUNDDOWN(☆入力!AB19*☆入力!AD19,0)</f>
        <v>0</v>
      </c>
    </row>
    <row r="8" spans="1:37" ht="18" customHeight="1">
      <c r="A8" s="388"/>
      <c r="B8" s="393"/>
      <c r="C8" s="393"/>
      <c r="E8" s="401">
        <f t="shared" ref="E8:O8" ca="1" si="5">E6+E7</f>
        <v>0</v>
      </c>
      <c r="F8" s="401">
        <f t="shared" ca="1" si="5"/>
        <v>0</v>
      </c>
      <c r="G8" s="401">
        <f t="shared" ca="1" si="5"/>
        <v>0</v>
      </c>
      <c r="H8" s="401">
        <f t="shared" ca="1" si="5"/>
        <v>0</v>
      </c>
      <c r="I8" s="401">
        <f t="shared" ca="1" si="5"/>
        <v>0</v>
      </c>
      <c r="J8" s="401">
        <f t="shared" ca="1" si="5"/>
        <v>0</v>
      </c>
      <c r="K8" s="401">
        <f t="shared" ca="1" si="5"/>
        <v>0</v>
      </c>
      <c r="L8" s="401">
        <f t="shared" ca="1" si="5"/>
        <v>0</v>
      </c>
      <c r="M8" s="401">
        <f t="shared" ca="1" si="5"/>
        <v>0</v>
      </c>
      <c r="N8" s="401">
        <f t="shared" ca="1" si="5"/>
        <v>0</v>
      </c>
      <c r="O8" s="401">
        <f t="shared" ca="1" si="5"/>
        <v>0</v>
      </c>
      <c r="P8" s="219"/>
      <c r="Q8" s="251">
        <v>5</v>
      </c>
      <c r="S8" s="395" t="str">
        <f>IFERROR(VLOOKUP(☆入力!$G20,選定!$C$1:$AG$100,8,FALSE),"0")</f>
        <v>0</v>
      </c>
      <c r="T8" s="396">
        <f>S8*☆入力!L20</f>
        <v>0</v>
      </c>
      <c r="U8" s="396">
        <f>☆入力!AE20*☆入力!L20</f>
        <v>0</v>
      </c>
      <c r="V8" s="396">
        <f t="shared" si="3"/>
        <v>0</v>
      </c>
      <c r="X8" s="397" t="str">
        <f>IFERROR((代理店入力用!$D$5/☆入力!$AH$14)*☆入力!$AH20,"0")</f>
        <v>0</v>
      </c>
      <c r="Y8" s="397">
        <f t="shared" si="2"/>
        <v>0</v>
      </c>
      <c r="AB8" s="421">
        <v>6</v>
      </c>
      <c r="AC8" s="715">
        <v>1.5900000000000001E-2</v>
      </c>
      <c r="AD8" s="421">
        <v>72</v>
      </c>
      <c r="AE8" s="421">
        <v>4</v>
      </c>
      <c r="AH8" s="731" t="s">
        <v>17</v>
      </c>
      <c r="AI8" s="732">
        <f>ROUNDDOWN(☆入力!W20*☆入力!X20,0)</f>
        <v>0</v>
      </c>
      <c r="AJ8" s="732">
        <f>ROUNDDOWN(☆入力!AB20*☆入力!X20,0)</f>
        <v>0</v>
      </c>
      <c r="AK8" s="732">
        <f>ROUNDDOWN(☆入力!AB20*☆入力!AD20,0)</f>
        <v>0</v>
      </c>
    </row>
    <row r="9" spans="1:37" ht="18" customHeight="1">
      <c r="A9" s="388"/>
      <c r="B9" s="393"/>
      <c r="C9" s="393"/>
      <c r="P9" s="219"/>
      <c r="Q9" s="251">
        <v>6</v>
      </c>
      <c r="S9" s="395" t="str">
        <f>IFERROR(VLOOKUP(☆入力!$G21,選定!$C$1:$AG$100,8,FALSE),"0")</f>
        <v>0</v>
      </c>
      <c r="T9" s="396">
        <f>S9*☆入力!L21</f>
        <v>0</v>
      </c>
      <c r="U9" s="396">
        <f>☆入力!AE21*☆入力!L21</f>
        <v>0</v>
      </c>
      <c r="V9" s="396">
        <f t="shared" si="3"/>
        <v>0</v>
      </c>
      <c r="X9" s="397" t="str">
        <f>IFERROR((代理店入力用!$D$5/☆入力!$AH$14)*☆入力!$AH21,"0")</f>
        <v>0</v>
      </c>
      <c r="Y9" s="397">
        <f t="shared" si="2"/>
        <v>0</v>
      </c>
      <c r="AB9" s="421">
        <v>7</v>
      </c>
      <c r="AC9" s="715">
        <v>1.41E-2</v>
      </c>
      <c r="AD9" s="421">
        <v>84</v>
      </c>
      <c r="AE9" s="421">
        <v>3</v>
      </c>
      <c r="AH9" s="731" t="s">
        <v>18</v>
      </c>
      <c r="AI9" s="732">
        <f>ROUNDDOWN(☆入力!W21*☆入力!X21,0)</f>
        <v>0</v>
      </c>
      <c r="AJ9" s="732">
        <f>ROUNDDOWN(☆入力!AB21*☆入力!X21,0)</f>
        <v>0</v>
      </c>
      <c r="AK9" s="732">
        <f>ROUNDDOWN(☆入力!AB21*☆入力!AD21,0)</f>
        <v>0</v>
      </c>
    </row>
    <row r="10" spans="1:37" ht="18" customHeight="1">
      <c r="A10" s="388"/>
      <c r="B10" s="393"/>
      <c r="C10" s="393"/>
      <c r="P10" s="219"/>
      <c r="Q10" s="251">
        <v>7</v>
      </c>
      <c r="S10" s="395" t="str">
        <f>IFERROR(VLOOKUP(☆入力!$G22,選定!$C$1:$AG$100,8,FALSE),"0")</f>
        <v>0</v>
      </c>
      <c r="T10" s="396">
        <f>S10*☆入力!L22</f>
        <v>0</v>
      </c>
      <c r="U10" s="396">
        <f>☆入力!AE22*☆入力!L22</f>
        <v>0</v>
      </c>
      <c r="V10" s="396">
        <f t="shared" si="3"/>
        <v>0</v>
      </c>
      <c r="X10" s="397" t="str">
        <f>IFERROR((代理店入力用!$D$5/☆入力!$AH$14)*☆入力!$AH22,"0")</f>
        <v>0</v>
      </c>
      <c r="Y10" s="397">
        <f t="shared" si="2"/>
        <v>0</v>
      </c>
      <c r="AB10" s="421">
        <v>8</v>
      </c>
      <c r="AC10" s="715">
        <v>1.2699999999999999E-2</v>
      </c>
      <c r="AD10" s="421">
        <v>96</v>
      </c>
      <c r="AE10" s="421">
        <v>2</v>
      </c>
      <c r="AH10" s="731" t="s">
        <v>19</v>
      </c>
      <c r="AI10" s="732">
        <f>ROUNDDOWN(☆入力!W22*☆入力!X22,0)</f>
        <v>0</v>
      </c>
      <c r="AJ10" s="732">
        <f>ROUNDDOWN(☆入力!AB22*☆入力!X22,0)</f>
        <v>0</v>
      </c>
      <c r="AK10" s="732">
        <f>ROUNDDOWN(☆入力!AB22*☆入力!AD22,0)</f>
        <v>0</v>
      </c>
    </row>
    <row r="11" spans="1:37" ht="18" customHeight="1">
      <c r="A11" s="388"/>
      <c r="B11" s="393"/>
      <c r="C11" s="393"/>
      <c r="E11" s="398">
        <f ca="1">(☆入力!$AL$14+代理店入力用!$D$5)*(100%-☆入力!$AR$11-☆入力!$AR$12)</f>
        <v>0</v>
      </c>
      <c r="F11" s="398">
        <f ca="1">(☆入力!$AL$14+代理店入力用!$D$5)*(100%-☆入力!$AR$11-☆入力!$AR$12)</f>
        <v>0</v>
      </c>
      <c r="G11" s="398">
        <f ca="1">(☆入力!$AL$14+代理店入力用!$D$5)*(100%-☆入力!$AR$11-☆入力!$AR$12)</f>
        <v>0</v>
      </c>
      <c r="H11" s="398">
        <f ca="1">(☆入力!$AL$14+代理店入力用!$D$5)*(100%-☆入力!$AR$11-☆入力!$AR$12)</f>
        <v>0</v>
      </c>
      <c r="I11" s="398">
        <f ca="1">(☆入力!$AL$14+代理店入力用!$D$5)*(100%-☆入力!$AR$11-☆入力!$AR$12)</f>
        <v>0</v>
      </c>
      <c r="J11" s="398">
        <f ca="1">(☆入力!$AL$14+代理店入力用!$D$5)*(100%-☆入力!$AR$11-☆入力!$AR$12)</f>
        <v>0</v>
      </c>
      <c r="K11" s="398">
        <f ca="1">(☆入力!$AL$14+代理店入力用!$D$5)*(100%-☆入力!$AR$11-☆入力!$AR$12)</f>
        <v>0</v>
      </c>
      <c r="L11" s="398">
        <f ca="1">(☆入力!$AL$14+代理店入力用!$D$5)*(100%-☆入力!$AR$11-☆入力!$AR$12)</f>
        <v>0</v>
      </c>
      <c r="M11" s="398">
        <f ca="1">(☆入力!$AL$14+代理店入力用!$D$5)*(100%-☆入力!$AR$11-☆入力!$AR$12)</f>
        <v>0</v>
      </c>
      <c r="N11" s="398">
        <f ca="1">(☆入力!$AL$14+代理店入力用!$D$5)*(100%-☆入力!$AR$11-☆入力!$AR$12)</f>
        <v>0</v>
      </c>
      <c r="O11" s="398">
        <f ca="1">(☆入力!$AL$14+代理店入力用!$D$5)*(100%-☆入力!$AR$11-☆入力!$AR$12)</f>
        <v>0</v>
      </c>
      <c r="P11" s="219"/>
      <c r="Q11" s="251">
        <v>8</v>
      </c>
      <c r="S11" s="395" t="str">
        <f>IFERROR(VLOOKUP(☆入力!$G23,選定!$C$1:$AG$100,8,FALSE),"0")</f>
        <v>0</v>
      </c>
      <c r="T11" s="396">
        <f>S11*☆入力!L23</f>
        <v>0</v>
      </c>
      <c r="U11" s="396">
        <f>☆入力!AE23*☆入力!L23</f>
        <v>0</v>
      </c>
      <c r="V11" s="396">
        <f t="shared" si="3"/>
        <v>0</v>
      </c>
      <c r="X11" s="397" t="str">
        <f>IFERROR((代理店入力用!$D$5/☆入力!$AH$14)*☆入力!$AH23,"0")</f>
        <v>0</v>
      </c>
      <c r="Y11" s="397">
        <f t="shared" si="2"/>
        <v>0</v>
      </c>
      <c r="AB11" s="421">
        <v>9</v>
      </c>
      <c r="AC11" s="715">
        <v>1.17E-2</v>
      </c>
      <c r="AD11" s="421">
        <v>108</v>
      </c>
      <c r="AE11" s="421">
        <v>1</v>
      </c>
      <c r="AH11" s="731" t="s">
        <v>20</v>
      </c>
      <c r="AI11" s="732">
        <f>ROUNDDOWN(☆入力!W23*☆入力!X23,0)</f>
        <v>0</v>
      </c>
      <c r="AJ11" s="732">
        <f>ROUNDDOWN(☆入力!AB23*☆入力!X23,0)</f>
        <v>0</v>
      </c>
      <c r="AK11" s="732">
        <f>ROUNDDOWN(☆入力!AB23*☆入力!AD23,0)</f>
        <v>0</v>
      </c>
    </row>
    <row r="12" spans="1:37" ht="18" customHeight="1">
      <c r="A12" s="388"/>
      <c r="B12" s="393">
        <f>B7</f>
        <v>0</v>
      </c>
      <c r="C12" s="393">
        <f>ROUNDDOWN(B12/120,1)</f>
        <v>0</v>
      </c>
      <c r="E12" s="399">
        <v>0</v>
      </c>
      <c r="F12" s="400">
        <f t="shared" ref="F12:O12" si="6">ROUNDDOWN($C$12*F2*F3,0)</f>
        <v>0</v>
      </c>
      <c r="G12" s="400">
        <f t="shared" si="6"/>
        <v>0</v>
      </c>
      <c r="H12" s="400">
        <f t="shared" si="6"/>
        <v>0</v>
      </c>
      <c r="I12" s="400">
        <f t="shared" si="6"/>
        <v>0</v>
      </c>
      <c r="J12" s="400">
        <f t="shared" si="6"/>
        <v>0</v>
      </c>
      <c r="K12" s="400">
        <f t="shared" si="6"/>
        <v>0</v>
      </c>
      <c r="L12" s="400">
        <f t="shared" si="6"/>
        <v>0</v>
      </c>
      <c r="M12" s="400">
        <f t="shared" si="6"/>
        <v>0</v>
      </c>
      <c r="N12" s="400">
        <f t="shared" si="6"/>
        <v>0</v>
      </c>
      <c r="O12" s="400">
        <f t="shared" si="6"/>
        <v>0</v>
      </c>
      <c r="P12" s="219"/>
      <c r="Q12" s="251">
        <v>9</v>
      </c>
      <c r="S12" s="395" t="str">
        <f>IFERROR(VLOOKUP(☆入力!$G24,選定!$C$1:$AG$100,8,FALSE),"0")</f>
        <v>0</v>
      </c>
      <c r="T12" s="396">
        <f>S12*☆入力!L24</f>
        <v>0</v>
      </c>
      <c r="U12" s="396">
        <f>☆入力!AE24*☆入力!L24</f>
        <v>0</v>
      </c>
      <c r="V12" s="396">
        <f t="shared" si="3"/>
        <v>0</v>
      </c>
      <c r="X12" s="397" t="str">
        <f>IFERROR((代理店入力用!$D$5/☆入力!$AH$14)*☆入力!$AH24,"0")</f>
        <v>0</v>
      </c>
      <c r="Y12" s="397">
        <f t="shared" si="2"/>
        <v>0</v>
      </c>
      <c r="AB12" s="716">
        <v>10</v>
      </c>
      <c r="AC12" s="717">
        <v>1.09E-2</v>
      </c>
      <c r="AD12" s="716">
        <v>120</v>
      </c>
      <c r="AE12" s="716">
        <v>0</v>
      </c>
      <c r="AH12" s="731" t="s">
        <v>21</v>
      </c>
      <c r="AI12" s="732">
        <f>ROUNDDOWN(☆入力!W24*☆入力!X24,0)</f>
        <v>0</v>
      </c>
      <c r="AJ12" s="732">
        <f>ROUNDDOWN(☆入力!AB24*☆入力!X24,0)</f>
        <v>0</v>
      </c>
      <c r="AK12" s="732">
        <f>ROUNDDOWN(☆入力!AB24*☆入力!AD24,0)</f>
        <v>0</v>
      </c>
    </row>
    <row r="13" spans="1:37" ht="18" customHeight="1">
      <c r="A13" s="388"/>
      <c r="E13" s="401">
        <f t="shared" ref="E13:O13" ca="1" si="7">E11+E12</f>
        <v>0</v>
      </c>
      <c r="F13" s="401">
        <f t="shared" ca="1" si="7"/>
        <v>0</v>
      </c>
      <c r="G13" s="401">
        <f t="shared" ca="1" si="7"/>
        <v>0</v>
      </c>
      <c r="H13" s="401">
        <f t="shared" ca="1" si="7"/>
        <v>0</v>
      </c>
      <c r="I13" s="401">
        <f t="shared" ca="1" si="7"/>
        <v>0</v>
      </c>
      <c r="J13" s="401">
        <f t="shared" ca="1" si="7"/>
        <v>0</v>
      </c>
      <c r="K13" s="401">
        <f t="shared" ca="1" si="7"/>
        <v>0</v>
      </c>
      <c r="L13" s="401">
        <f t="shared" ca="1" si="7"/>
        <v>0</v>
      </c>
      <c r="M13" s="401">
        <f t="shared" ca="1" si="7"/>
        <v>0</v>
      </c>
      <c r="N13" s="401">
        <f t="shared" ca="1" si="7"/>
        <v>0</v>
      </c>
      <c r="O13" s="401">
        <f t="shared" ca="1" si="7"/>
        <v>0</v>
      </c>
      <c r="P13" s="219"/>
      <c r="Q13" s="251">
        <v>10</v>
      </c>
      <c r="S13" s="395" t="str">
        <f>IFERROR(VLOOKUP(☆入力!$G25,選定!$C$1:$AG$100,8,FALSE),"0")</f>
        <v>0</v>
      </c>
      <c r="T13" s="396">
        <f>S13*☆入力!L25</f>
        <v>0</v>
      </c>
      <c r="U13" s="396">
        <f>☆入力!AE25*☆入力!L25</f>
        <v>0</v>
      </c>
      <c r="V13" s="396">
        <f t="shared" si="3"/>
        <v>0</v>
      </c>
      <c r="X13" s="397" t="str">
        <f>IFERROR((代理店入力用!$D$5/☆入力!$AH$14)*☆入力!$AH25,"0")</f>
        <v>0</v>
      </c>
      <c r="Y13" s="397">
        <f t="shared" si="2"/>
        <v>0</v>
      </c>
      <c r="AH13" s="731" t="s">
        <v>22</v>
      </c>
      <c r="AI13" s="732">
        <f>ROUNDDOWN(☆入力!W25*☆入力!X25,0)</f>
        <v>0</v>
      </c>
      <c r="AJ13" s="732">
        <f>ROUNDDOWN(☆入力!AB25*☆入力!X25,0)</f>
        <v>0</v>
      </c>
      <c r="AK13" s="732">
        <f>ROUNDDOWN(☆入力!AB25*☆入力!AD25,0)</f>
        <v>0</v>
      </c>
    </row>
    <row r="14" spans="1:37" ht="18" customHeight="1">
      <c r="A14" s="388"/>
      <c r="B14" s="388"/>
      <c r="C14" s="388"/>
      <c r="D14" s="388"/>
      <c r="E14" s="218"/>
      <c r="F14" s="218"/>
      <c r="G14" s="219"/>
      <c r="H14" s="219"/>
      <c r="I14" s="219"/>
      <c r="J14" s="219"/>
      <c r="K14" s="219"/>
      <c r="L14" s="219"/>
      <c r="M14" s="219"/>
      <c r="N14" s="219"/>
      <c r="O14" s="219"/>
      <c r="P14" s="219"/>
      <c r="Q14" s="251">
        <v>11</v>
      </c>
      <c r="S14" s="395" t="str">
        <f>IFERROR(VLOOKUP(☆入力!$G26,選定!$C$1:$AG$100,8,FALSE),"0")</f>
        <v>0</v>
      </c>
      <c r="T14" s="396">
        <f>S14*☆入力!L26</f>
        <v>0</v>
      </c>
      <c r="U14" s="396">
        <f>☆入力!AE26*☆入力!L26</f>
        <v>0</v>
      </c>
      <c r="V14" s="396">
        <f t="shared" si="3"/>
        <v>0</v>
      </c>
      <c r="X14" s="397" t="str">
        <f>IFERROR((代理店入力用!$D$5/☆入力!$AH$14)*☆入力!$AH26,"0")</f>
        <v>0</v>
      </c>
      <c r="Y14" s="397">
        <f t="shared" si="2"/>
        <v>0</v>
      </c>
      <c r="AH14" s="731" t="s">
        <v>23</v>
      </c>
      <c r="AI14" s="732">
        <f>ROUNDDOWN(☆入力!W26*☆入力!X26,0)</f>
        <v>0</v>
      </c>
      <c r="AJ14" s="732">
        <f>ROUNDDOWN(☆入力!AB26*☆入力!X26,0)</f>
        <v>0</v>
      </c>
      <c r="AK14" s="732">
        <f>ROUNDDOWN(☆入力!AB26*☆入力!AD26,0)</f>
        <v>0</v>
      </c>
    </row>
    <row r="15" spans="1:37" ht="18" customHeight="1">
      <c r="A15" s="388"/>
      <c r="B15" s="388"/>
      <c r="C15" s="388"/>
      <c r="D15" s="388"/>
      <c r="E15" s="218"/>
      <c r="F15" s="218"/>
      <c r="G15" s="219"/>
      <c r="H15" s="219"/>
      <c r="I15" s="219"/>
      <c r="J15" s="219"/>
      <c r="K15" s="219"/>
      <c r="L15" s="219"/>
      <c r="M15" s="219"/>
      <c r="N15" s="219"/>
      <c r="O15" s="219"/>
      <c r="P15" s="219"/>
      <c r="Q15" s="251">
        <v>12</v>
      </c>
      <c r="S15" s="395" t="str">
        <f>IFERROR(VLOOKUP(☆入力!$G27,選定!$C$1:$AG$100,8,FALSE),"0")</f>
        <v>0</v>
      </c>
      <c r="T15" s="396">
        <f>S15*☆入力!L27</f>
        <v>0</v>
      </c>
      <c r="U15" s="396">
        <f>☆入力!AE27*☆入力!L27</f>
        <v>0</v>
      </c>
      <c r="V15" s="396">
        <f t="shared" si="3"/>
        <v>0</v>
      </c>
      <c r="X15" s="397" t="str">
        <f>IFERROR((代理店入力用!$D$5/☆入力!$AH$14)*☆入力!$AH27,"0")</f>
        <v>0</v>
      </c>
      <c r="Y15" s="397">
        <f t="shared" si="2"/>
        <v>0</v>
      </c>
      <c r="AH15" s="731" t="s">
        <v>24</v>
      </c>
      <c r="AI15" s="732">
        <f>ROUNDDOWN(☆入力!W27*☆入力!X27,0)</f>
        <v>0</v>
      </c>
      <c r="AJ15" s="732">
        <f>ROUNDDOWN(☆入力!AB27*☆入力!X27,0)</f>
        <v>0</v>
      </c>
      <c r="AK15" s="732">
        <f>ROUNDDOWN(☆入力!AB27*☆入力!AD27,0)</f>
        <v>0</v>
      </c>
    </row>
    <row r="16" spans="1:37" ht="18" customHeight="1">
      <c r="A16" s="388"/>
      <c r="B16" s="123"/>
      <c r="C16" s="123" t="s">
        <v>7</v>
      </c>
      <c r="D16" s="123" t="s">
        <v>25</v>
      </c>
      <c r="E16" s="123" t="s">
        <v>26</v>
      </c>
      <c r="F16" s="20"/>
      <c r="G16" s="21"/>
      <c r="H16" s="144" t="s">
        <v>27</v>
      </c>
      <c r="I16" s="144" t="s">
        <v>28</v>
      </c>
      <c r="J16" s="20"/>
      <c r="K16" s="20"/>
      <c r="L16" s="218"/>
      <c r="M16" s="402">
        <v>360</v>
      </c>
      <c r="N16" s="402">
        <f>SUMIF(☆入力!H16:H40,360,☆入力!L16:L40)</f>
        <v>0</v>
      </c>
      <c r="O16" s="218"/>
      <c r="P16" s="218"/>
      <c r="Q16" s="251">
        <v>13</v>
      </c>
      <c r="S16" s="395" t="str">
        <f>IFERROR(VLOOKUP(☆入力!$G28,選定!$C$1:$AG$100,8,FALSE),"0")</f>
        <v>0</v>
      </c>
      <c r="T16" s="396">
        <f>S16*☆入力!L28</f>
        <v>0</v>
      </c>
      <c r="U16" s="396">
        <f>☆入力!AE28*☆入力!L28</f>
        <v>0</v>
      </c>
      <c r="V16" s="396">
        <f t="shared" si="3"/>
        <v>0</v>
      </c>
      <c r="X16" s="397" t="str">
        <f>IFERROR((代理店入力用!$D$5/☆入力!$AH$14)*☆入力!$AH28,"0")</f>
        <v>0</v>
      </c>
      <c r="Y16" s="397">
        <f t="shared" si="2"/>
        <v>0</v>
      </c>
      <c r="AH16" s="731" t="s">
        <v>29</v>
      </c>
      <c r="AI16" s="732">
        <f>ROUNDDOWN(☆入力!W28*☆入力!X28,0)</f>
        <v>0</v>
      </c>
      <c r="AJ16" s="732">
        <f>ROUNDDOWN(☆入力!AB28*☆入力!X28,0)</f>
        <v>0</v>
      </c>
      <c r="AK16" s="732">
        <f>ROUNDDOWN(☆入力!AB28*☆入力!AD28,0)</f>
        <v>0</v>
      </c>
    </row>
    <row r="17" spans="1:37" ht="18" customHeight="1">
      <c r="A17" s="388"/>
      <c r="B17" s="123" t="s">
        <v>30</v>
      </c>
      <c r="C17" s="123"/>
      <c r="D17" s="123"/>
      <c r="E17" s="123"/>
      <c r="F17" s="20"/>
      <c r="G17" s="20"/>
      <c r="I17" s="20"/>
      <c r="J17" s="20"/>
      <c r="K17" s="20"/>
      <c r="L17" s="220"/>
      <c r="M17" s="402">
        <v>720</v>
      </c>
      <c r="N17" s="402">
        <f>SUMIF(☆入力!H16:H40,720,☆入力!L16:L40)</f>
        <v>0</v>
      </c>
      <c r="O17" s="220"/>
      <c r="P17" s="220"/>
      <c r="Q17" s="251">
        <v>14</v>
      </c>
      <c r="S17" s="395" t="str">
        <f>IFERROR(VLOOKUP(☆入力!$G29,選定!$C$1:$AG$100,8,FALSE),"0")</f>
        <v>0</v>
      </c>
      <c r="T17" s="396">
        <f>S17*☆入力!L29</f>
        <v>0</v>
      </c>
      <c r="U17" s="396">
        <f>☆入力!AE29*☆入力!L29</f>
        <v>0</v>
      </c>
      <c r="V17" s="396">
        <f t="shared" si="3"/>
        <v>0</v>
      </c>
      <c r="X17" s="397" t="str">
        <f>IFERROR((代理店入力用!$D$5/☆入力!$AH$14)*☆入力!$AH29,"0")</f>
        <v>0</v>
      </c>
      <c r="Y17" s="397">
        <f t="shared" si="2"/>
        <v>0</v>
      </c>
      <c r="AH17" s="731" t="s">
        <v>31</v>
      </c>
      <c r="AI17" s="732">
        <f>ROUNDDOWN(☆入力!W29*☆入力!X29,0)</f>
        <v>0</v>
      </c>
      <c r="AJ17" s="732">
        <f>ROUNDDOWN(☆入力!AB29*☆入力!X29,0)</f>
        <v>0</v>
      </c>
      <c r="AK17" s="732">
        <f>ROUNDDOWN(☆入力!AB29*☆入力!AD29,0)</f>
        <v>0</v>
      </c>
    </row>
    <row r="18" spans="1:37" ht="18" customHeight="1">
      <c r="A18" s="388"/>
      <c r="B18" s="124" t="s">
        <v>32</v>
      </c>
      <c r="C18" s="123"/>
      <c r="D18" s="123"/>
      <c r="E18" s="123"/>
      <c r="F18" s="20"/>
      <c r="G18" s="20"/>
      <c r="H18" s="22" t="s">
        <v>33</v>
      </c>
      <c r="I18" s="20"/>
      <c r="J18" s="403"/>
      <c r="K18" s="83"/>
      <c r="L18" s="218"/>
      <c r="M18" s="218"/>
      <c r="N18" s="218"/>
      <c r="O18" s="218"/>
      <c r="P18" s="218"/>
      <c r="Q18" s="251">
        <v>15</v>
      </c>
      <c r="S18" s="395" t="str">
        <f>IFERROR(VLOOKUP(☆入力!$G30,選定!$C$1:$AG$100,8,FALSE),"0")</f>
        <v>0</v>
      </c>
      <c r="T18" s="396">
        <f>S18*☆入力!L30</f>
        <v>0</v>
      </c>
      <c r="U18" s="396">
        <f>☆入力!AE30*☆入力!L30</f>
        <v>0</v>
      </c>
      <c r="V18" s="396">
        <f t="shared" si="3"/>
        <v>0</v>
      </c>
      <c r="X18" s="397" t="str">
        <f>IFERROR((代理店入力用!$D$5/☆入力!$AH$14)*☆入力!$AH30,"0")</f>
        <v>0</v>
      </c>
      <c r="Y18" s="397">
        <f t="shared" si="2"/>
        <v>0</v>
      </c>
      <c r="AH18" s="731" t="s">
        <v>34</v>
      </c>
      <c r="AI18" s="732">
        <f>ROUNDDOWN(☆入力!W30*☆入力!X30,0)</f>
        <v>0</v>
      </c>
      <c r="AJ18" s="732">
        <f>ROUNDDOWN(☆入力!AB30*☆入力!X30,0)</f>
        <v>0</v>
      </c>
      <c r="AK18" s="732">
        <f>ROUNDDOWN(☆入力!AB30*☆入力!AD30,0)</f>
        <v>0</v>
      </c>
    </row>
    <row r="19" spans="1:37" ht="18" customHeight="1">
      <c r="A19" s="388"/>
      <c r="B19" s="125" t="s">
        <v>33</v>
      </c>
      <c r="C19" s="125"/>
      <c r="D19" s="125"/>
      <c r="E19" s="125"/>
      <c r="F19" s="20"/>
      <c r="G19" s="20"/>
      <c r="H19" s="23" t="s">
        <v>35</v>
      </c>
      <c r="I19" s="404"/>
      <c r="J19" s="81">
        <f ca="1">⑧見積書!J10</f>
        <v>0</v>
      </c>
      <c r="K19" s="404"/>
      <c r="L19" s="218"/>
      <c r="M19" s="218"/>
      <c r="N19" s="218"/>
      <c r="O19" s="218"/>
      <c r="P19" s="218"/>
      <c r="Q19" s="251">
        <v>16</v>
      </c>
      <c r="S19" s="395" t="str">
        <f>IFERROR(VLOOKUP(☆入力!$G31,選定!$C$1:$AG$100,8,FALSE),"0")</f>
        <v>0</v>
      </c>
      <c r="T19" s="396">
        <f>S19*☆入力!L31</f>
        <v>0</v>
      </c>
      <c r="U19" s="396">
        <f>☆入力!AE31*☆入力!L31</f>
        <v>0</v>
      </c>
      <c r="V19" s="396">
        <f t="shared" si="3"/>
        <v>0</v>
      </c>
      <c r="X19" s="397" t="str">
        <f>IFERROR((代理店入力用!$D$5/☆入力!$AH$14)*☆入力!$AH31,"0")</f>
        <v>0</v>
      </c>
      <c r="Y19" s="397">
        <f t="shared" si="2"/>
        <v>0</v>
      </c>
      <c r="AH19" s="731" t="s">
        <v>36</v>
      </c>
      <c r="AI19" s="732">
        <f>ROUNDDOWN(☆入力!W31*☆入力!X31,0)</f>
        <v>0</v>
      </c>
      <c r="AJ19" s="732">
        <f>ROUNDDOWN(☆入力!AB31*☆入力!X31,0)</f>
        <v>0</v>
      </c>
      <c r="AK19" s="732">
        <f>ROUNDDOWN(☆入力!AB31*☆入力!AD31,0)</f>
        <v>0</v>
      </c>
    </row>
    <row r="20" spans="1:37" ht="18" customHeight="1">
      <c r="A20" s="388"/>
      <c r="B20" s="126" t="s">
        <v>35</v>
      </c>
      <c r="C20" s="127"/>
      <c r="D20" s="127" t="e">
        <f>ROUNDDOWN(LED計算式!#REF!,1)</f>
        <v>#REF!</v>
      </c>
      <c r="E20" s="127"/>
      <c r="F20" s="20"/>
      <c r="G20" s="20"/>
      <c r="H20" s="24" t="s">
        <v>37</v>
      </c>
      <c r="I20" s="139">
        <f>ROUNDDOWN((②前a!AS13+②前a!AS24)/120,0)</f>
        <v>0</v>
      </c>
      <c r="J20" s="25">
        <f>ROUNDDOWN((③後a!AS13+③後a!AS24)/120,0)</f>
        <v>0</v>
      </c>
      <c r="K20" s="25">
        <f>ROUNDDOWN((③後a!AS13+③後a!AS24)/120,0)</f>
        <v>0</v>
      </c>
      <c r="L20" s="218"/>
      <c r="M20" s="405" t="s">
        <v>38</v>
      </c>
      <c r="N20" s="406" t="s">
        <v>39</v>
      </c>
      <c r="O20" s="218"/>
      <c r="P20" s="218"/>
      <c r="Q20" s="251">
        <v>17</v>
      </c>
      <c r="S20" s="395" t="str">
        <f>IFERROR(VLOOKUP(☆入力!$G32,選定!$C$1:$AG$100,8,FALSE),"0")</f>
        <v>0</v>
      </c>
      <c r="T20" s="396">
        <f>S20*☆入力!L32</f>
        <v>0</v>
      </c>
      <c r="U20" s="396">
        <f>☆入力!AE32*☆入力!L32</f>
        <v>0</v>
      </c>
      <c r="V20" s="396">
        <f t="shared" si="3"/>
        <v>0</v>
      </c>
      <c r="X20" s="397" t="str">
        <f>IFERROR((代理店入力用!$D$5/☆入力!$AH$14)*☆入力!$AH32,"0")</f>
        <v>0</v>
      </c>
      <c r="Y20" s="397">
        <f t="shared" si="2"/>
        <v>0</v>
      </c>
      <c r="AH20" s="731" t="s">
        <v>40</v>
      </c>
      <c r="AI20" s="732">
        <f>ROUNDDOWN(☆入力!W32*☆入力!X32,0)</f>
        <v>0</v>
      </c>
      <c r="AJ20" s="732">
        <f>ROUNDDOWN(☆入力!AB32*☆入力!X32,0)</f>
        <v>0</v>
      </c>
      <c r="AK20" s="732">
        <f>ROUNDDOWN(☆入力!AB32*☆入力!AD32,0)</f>
        <v>0</v>
      </c>
    </row>
    <row r="21" spans="1:37" ht="18" customHeight="1">
      <c r="A21" s="388"/>
      <c r="B21" s="128" t="s">
        <v>41</v>
      </c>
      <c r="C21" s="129">
        <f>ROUNDDOWN(☆入力!Y14,1)</f>
        <v>0</v>
      </c>
      <c r="D21" s="129">
        <f>ROUNDDOWN(☆入力!AC14,1)</f>
        <v>0</v>
      </c>
      <c r="E21" s="129">
        <f>ROUNDDOWN(☆入力!AC14,1)</f>
        <v>0</v>
      </c>
      <c r="F21" s="20"/>
      <c r="G21" s="20"/>
      <c r="H21" s="24" t="s">
        <v>41</v>
      </c>
      <c r="I21" s="25">
        <f>ROUNDDOWN(C21,0)</f>
        <v>0</v>
      </c>
      <c r="J21" s="25">
        <f>ROUNDDOWN(D21,0)</f>
        <v>0</v>
      </c>
      <c r="K21" s="25">
        <f>ROUNDDOWN(E21,0)</f>
        <v>0</v>
      </c>
      <c r="L21" s="218"/>
      <c r="M21" s="407">
        <v>0</v>
      </c>
      <c r="N21" s="408">
        <v>1</v>
      </c>
      <c r="O21" s="218"/>
      <c r="P21" s="218"/>
      <c r="Q21" s="251">
        <v>18</v>
      </c>
      <c r="S21" s="395" t="str">
        <f>IFERROR(VLOOKUP(☆入力!$G33,選定!$C$1:$AG$100,8,FALSE),"0")</f>
        <v>0</v>
      </c>
      <c r="T21" s="396">
        <f>S21*☆入力!L33</f>
        <v>0</v>
      </c>
      <c r="U21" s="396">
        <f>☆入力!AE33*☆入力!L33</f>
        <v>0</v>
      </c>
      <c r="V21" s="396">
        <f t="shared" si="3"/>
        <v>0</v>
      </c>
      <c r="X21" s="397" t="str">
        <f>IFERROR((代理店入力用!$D$5/☆入力!$AH$14)*☆入力!$AH33,"0")</f>
        <v>0</v>
      </c>
      <c r="Y21" s="397">
        <f t="shared" si="2"/>
        <v>0</v>
      </c>
      <c r="AH21" s="731" t="s">
        <v>42</v>
      </c>
      <c r="AI21" s="732">
        <f>ROUNDDOWN(☆入力!W33*☆入力!X33,0)</f>
        <v>0</v>
      </c>
      <c r="AJ21" s="732">
        <f>ROUNDDOWN(☆入力!AB33*☆入力!X33,0)</f>
        <v>0</v>
      </c>
      <c r="AK21" s="732">
        <f>ROUNDDOWN(☆入力!AB33*☆入力!AD33,0)</f>
        <v>0</v>
      </c>
    </row>
    <row r="22" spans="1:37" ht="18" customHeight="1">
      <c r="A22" s="388"/>
      <c r="B22" s="130" t="s">
        <v>43</v>
      </c>
      <c r="C22" s="131">
        <f>SUM(C19:C21)</f>
        <v>0</v>
      </c>
      <c r="D22" s="131" t="e">
        <f>SUM(D19:D21)</f>
        <v>#REF!</v>
      </c>
      <c r="E22" s="131">
        <f>SUM(E19:E21)</f>
        <v>0</v>
      </c>
      <c r="F22" s="20"/>
      <c r="G22" s="20"/>
      <c r="H22" s="142" t="s">
        <v>43</v>
      </c>
      <c r="I22" s="143">
        <f>SUM(I20:I21)</f>
        <v>0</v>
      </c>
      <c r="J22" s="143">
        <f ca="1">SUM(J19:J21)</f>
        <v>0</v>
      </c>
      <c r="K22" s="143">
        <f>SUM(K19:K21)</f>
        <v>0</v>
      </c>
      <c r="L22" s="218"/>
      <c r="M22" s="407">
        <v>21</v>
      </c>
      <c r="N22" s="408">
        <v>2</v>
      </c>
      <c r="O22" s="218"/>
      <c r="P22" s="218"/>
      <c r="Q22" s="251">
        <v>19</v>
      </c>
      <c r="S22" s="395" t="str">
        <f>IFERROR(VLOOKUP(☆入力!$G34,選定!$C$1:$AG$100,8,FALSE),"0")</f>
        <v>0</v>
      </c>
      <c r="T22" s="396">
        <f>S22*☆入力!L34</f>
        <v>0</v>
      </c>
      <c r="U22" s="396">
        <f>☆入力!AE34*☆入力!L34</f>
        <v>0</v>
      </c>
      <c r="V22" s="396">
        <f t="shared" si="3"/>
        <v>0</v>
      </c>
      <c r="X22" s="397" t="str">
        <f>IFERROR((代理店入力用!$D$5/☆入力!$AH$14)*☆入力!$AH34,"0")</f>
        <v>0</v>
      </c>
      <c r="Y22" s="397">
        <f t="shared" si="2"/>
        <v>0</v>
      </c>
      <c r="AH22" s="731" t="s">
        <v>44</v>
      </c>
      <c r="AI22" s="732">
        <f>ROUNDDOWN(☆入力!W34*☆入力!X34,0)</f>
        <v>0</v>
      </c>
      <c r="AJ22" s="732">
        <f>ROUNDDOWN(☆入力!AB34*☆入力!X34,0)</f>
        <v>0</v>
      </c>
      <c r="AK22" s="732">
        <f>ROUNDDOWN(☆入力!AB34*☆入力!AD34,0)</f>
        <v>0</v>
      </c>
    </row>
    <row r="23" spans="1:37" ht="18" customHeight="1">
      <c r="A23" s="388"/>
      <c r="B23" s="124"/>
      <c r="C23" s="124"/>
      <c r="D23" s="132" t="e">
        <f>C22-D22</f>
        <v>#REF!</v>
      </c>
      <c r="E23" s="132">
        <f>C22-E22</f>
        <v>0</v>
      </c>
      <c r="F23" s="20"/>
      <c r="G23" s="20"/>
      <c r="H23" s="140"/>
      <c r="I23" s="140"/>
      <c r="J23" s="141">
        <f ca="1">INT(I22-J22)</f>
        <v>0</v>
      </c>
      <c r="K23" s="141">
        <f>INT(I22-K22)</f>
        <v>0</v>
      </c>
      <c r="L23" s="219"/>
      <c r="M23" s="407">
        <v>41</v>
      </c>
      <c r="N23" s="408">
        <v>3</v>
      </c>
      <c r="O23" s="219"/>
      <c r="P23" s="219"/>
      <c r="Q23" s="251">
        <v>20</v>
      </c>
      <c r="S23" s="395" t="str">
        <f>IFERROR(VLOOKUP(☆入力!$G35,選定!$C$1:$AG$100,8,FALSE),"0")</f>
        <v>0</v>
      </c>
      <c r="T23" s="396">
        <f>S23*☆入力!L35</f>
        <v>0</v>
      </c>
      <c r="U23" s="396">
        <f>☆入力!AE35*☆入力!L35</f>
        <v>0</v>
      </c>
      <c r="V23" s="396">
        <f t="shared" si="3"/>
        <v>0</v>
      </c>
      <c r="X23" s="397" t="str">
        <f>IFERROR((代理店入力用!$D$5/☆入力!$AH$14)*☆入力!$AH35,"0")</f>
        <v>0</v>
      </c>
      <c r="Y23" s="397">
        <f t="shared" si="2"/>
        <v>0</v>
      </c>
      <c r="AH23" s="731" t="s">
        <v>45</v>
      </c>
      <c r="AI23" s="732">
        <f>ROUNDDOWN(☆入力!W35*☆入力!X35,0)</f>
        <v>0</v>
      </c>
      <c r="AJ23" s="732">
        <f>ROUNDDOWN(☆入力!AB35*☆入力!X35,0)</f>
        <v>0</v>
      </c>
      <c r="AK23" s="732">
        <f>ROUNDDOWN(☆入力!AB35*☆入力!AD35,0)</f>
        <v>0</v>
      </c>
    </row>
    <row r="24" spans="1:37" ht="18" customHeight="1">
      <c r="A24" s="388"/>
      <c r="B24" s="123"/>
      <c r="C24" s="123"/>
      <c r="D24" s="133" t="e">
        <f>100%-(D22/C22)</f>
        <v>#REF!</v>
      </c>
      <c r="E24" s="133" t="e">
        <f>100%-(E22/C22)</f>
        <v>#DIV/0!</v>
      </c>
      <c r="F24" s="20"/>
      <c r="G24" s="20"/>
      <c r="H24" s="101"/>
      <c r="I24" s="101"/>
      <c r="J24" s="306" t="e">
        <f ca="1">100%-(J22/I22)</f>
        <v>#DIV/0!</v>
      </c>
      <c r="K24" s="102" t="e">
        <f>100%-(K22/I22)</f>
        <v>#DIV/0!</v>
      </c>
      <c r="L24" s="219"/>
      <c r="M24" s="407">
        <v>61</v>
      </c>
      <c r="N24" s="408">
        <v>4</v>
      </c>
      <c r="O24" s="219"/>
      <c r="P24" s="219"/>
      <c r="Q24" s="251">
        <v>21</v>
      </c>
      <c r="S24" s="395" t="str">
        <f>IFERROR(VLOOKUP(☆入力!$G36,選定!$C$1:$AG$100,8,FALSE),"0")</f>
        <v>0</v>
      </c>
      <c r="T24" s="396">
        <f>S24*☆入力!L36</f>
        <v>0</v>
      </c>
      <c r="U24" s="396">
        <f>☆入力!AE36*☆入力!L36</f>
        <v>0</v>
      </c>
      <c r="V24" s="396">
        <f t="shared" si="3"/>
        <v>0</v>
      </c>
      <c r="X24" s="397" t="str">
        <f>IFERROR((代理店入力用!$D$5/☆入力!$AH$14)*☆入力!$AH36,"0")</f>
        <v>0</v>
      </c>
      <c r="Y24" s="397">
        <f t="shared" si="2"/>
        <v>0</v>
      </c>
      <c r="AH24" s="731" t="s">
        <v>46</v>
      </c>
      <c r="AI24" s="732">
        <f>ROUNDDOWN(☆入力!W36*☆入力!X36,0)</f>
        <v>0</v>
      </c>
      <c r="AJ24" s="732">
        <f>ROUNDDOWN(☆入力!AB36*☆入力!X36,0)</f>
        <v>0</v>
      </c>
      <c r="AK24" s="732">
        <f>ROUNDDOWN(☆入力!AB36*☆入力!AD36,0)</f>
        <v>0</v>
      </c>
    </row>
    <row r="25" spans="1:37" ht="18" customHeight="1">
      <c r="A25" s="388"/>
      <c r="B25" s="123"/>
      <c r="C25" s="123"/>
      <c r="D25" s="134" t="e">
        <f>-(C22-D22)</f>
        <v>#REF!</v>
      </c>
      <c r="E25" s="123"/>
      <c r="F25" s="20"/>
      <c r="G25" s="20"/>
      <c r="H25" s="20"/>
      <c r="I25" s="20"/>
      <c r="J25" s="26">
        <f ca="1">-(I22-J22)</f>
        <v>0</v>
      </c>
      <c r="K25" s="20"/>
      <c r="L25" s="219"/>
      <c r="M25" s="407">
        <v>81</v>
      </c>
      <c r="N25" s="408">
        <v>5</v>
      </c>
      <c r="O25" s="219"/>
      <c r="P25" s="219"/>
      <c r="Q25" s="251">
        <v>22</v>
      </c>
      <c r="S25" s="395" t="str">
        <f>IFERROR(VLOOKUP(☆入力!$G37,選定!$C$1:$AG$100,8,FALSE),"0")</f>
        <v>0</v>
      </c>
      <c r="T25" s="396">
        <f>S25*☆入力!L37</f>
        <v>0</v>
      </c>
      <c r="U25" s="396">
        <f>☆入力!AE37*☆入力!L37</f>
        <v>0</v>
      </c>
      <c r="V25" s="396">
        <f t="shared" si="3"/>
        <v>0</v>
      </c>
      <c r="X25" s="397" t="str">
        <f>IFERROR((代理店入力用!$D$5/☆入力!$AH$14)*☆入力!$AH37,"0")</f>
        <v>0</v>
      </c>
      <c r="Y25" s="397">
        <f t="shared" si="2"/>
        <v>0</v>
      </c>
      <c r="AH25" s="731" t="s">
        <v>47</v>
      </c>
      <c r="AI25" s="732">
        <f>ROUNDDOWN(☆入力!W37*☆入力!X37,0)</f>
        <v>0</v>
      </c>
      <c r="AJ25" s="732">
        <f>ROUNDDOWN(☆入力!AB37*☆入力!X37,0)</f>
        <v>0</v>
      </c>
      <c r="AK25" s="732">
        <f>ROUNDDOWN(☆入力!AB37*☆入力!AD37,0)</f>
        <v>0</v>
      </c>
    </row>
    <row r="26" spans="1:37" ht="18" customHeight="1">
      <c r="A26" s="388"/>
      <c r="B26" s="22"/>
      <c r="C26" s="20"/>
      <c r="D26" s="20"/>
      <c r="E26" s="20"/>
      <c r="F26" s="20"/>
      <c r="G26" s="20"/>
      <c r="H26" s="22"/>
      <c r="I26" s="20"/>
      <c r="J26" s="20"/>
      <c r="K26" s="20"/>
      <c r="L26" s="219"/>
      <c r="M26" s="409">
        <v>100</v>
      </c>
      <c r="N26" s="410">
        <v>6</v>
      </c>
      <c r="O26" s="219"/>
      <c r="P26" s="219"/>
      <c r="Q26" s="251">
        <v>23</v>
      </c>
      <c r="S26" s="395" t="str">
        <f>IFERROR(VLOOKUP(☆入力!$G38,選定!$C$1:$AG$100,8,FALSE),"0")</f>
        <v>0</v>
      </c>
      <c r="T26" s="396">
        <f>S26*☆入力!L38</f>
        <v>0</v>
      </c>
      <c r="U26" s="396">
        <f>☆入力!AE38*☆入力!L38</f>
        <v>0</v>
      </c>
      <c r="V26" s="396">
        <f t="shared" si="3"/>
        <v>0</v>
      </c>
      <c r="X26" s="397" t="str">
        <f>IFERROR((代理店入力用!$D$5/☆入力!$AH$14)*☆入力!$AH38,"0")</f>
        <v>0</v>
      </c>
      <c r="Y26" s="397">
        <f t="shared" si="2"/>
        <v>0</v>
      </c>
      <c r="AH26" s="731" t="s">
        <v>48</v>
      </c>
      <c r="AI26" s="732">
        <f>ROUNDDOWN(☆入力!W38*☆入力!X38,0)</f>
        <v>0</v>
      </c>
      <c r="AJ26" s="732">
        <f>ROUNDDOWN(☆入力!AB38*☆入力!X38,0)</f>
        <v>0</v>
      </c>
      <c r="AK26" s="732">
        <f>ROUNDDOWN(☆入力!AB38*☆入力!AD38,0)</f>
        <v>0</v>
      </c>
    </row>
    <row r="27" spans="1:37" ht="18" customHeight="1">
      <c r="A27" s="388"/>
      <c r="B27" s="135"/>
      <c r="C27" s="135"/>
      <c r="D27" s="135"/>
      <c r="E27" s="135"/>
      <c r="F27" s="20"/>
      <c r="G27" s="20"/>
      <c r="H27" s="135"/>
      <c r="I27" s="135"/>
      <c r="J27" s="135"/>
      <c r="K27" s="135"/>
      <c r="L27" s="219"/>
      <c r="M27" s="411">
        <v>1000</v>
      </c>
      <c r="N27" s="410">
        <v>50</v>
      </c>
      <c r="O27" s="219"/>
      <c r="P27" s="219"/>
      <c r="Q27" s="251">
        <v>24</v>
      </c>
      <c r="S27" s="395" t="str">
        <f>IFERROR(VLOOKUP(☆入力!$G39,選定!$C$1:$AG$100,8,FALSE),"0")</f>
        <v>0</v>
      </c>
      <c r="T27" s="396">
        <f>S27*☆入力!L39</f>
        <v>0</v>
      </c>
      <c r="U27" s="396">
        <f>☆入力!AE39*☆入力!L39</f>
        <v>0</v>
      </c>
      <c r="V27" s="396">
        <f t="shared" si="3"/>
        <v>0</v>
      </c>
      <c r="X27" s="397" t="str">
        <f>IFERROR((代理店入力用!$D$5/☆入力!$AH$14)*☆入力!$AH39,"0")</f>
        <v>0</v>
      </c>
      <c r="Y27" s="397">
        <f t="shared" si="2"/>
        <v>0</v>
      </c>
      <c r="AH27" s="731" t="s">
        <v>49</v>
      </c>
      <c r="AI27" s="732">
        <f>ROUNDDOWN(☆入力!W39*☆入力!X39,0)</f>
        <v>0</v>
      </c>
      <c r="AJ27" s="732">
        <f>ROUNDDOWN(☆入力!AB39*☆入力!X39,0)</f>
        <v>0</v>
      </c>
      <c r="AK27" s="732">
        <f>ROUNDDOWN(☆入力!AB39*☆入力!AD39,0)</f>
        <v>0</v>
      </c>
    </row>
    <row r="28" spans="1:37" ht="18" customHeight="1">
      <c r="A28" s="388"/>
      <c r="B28" s="135"/>
      <c r="C28" s="136"/>
      <c r="D28" s="136"/>
      <c r="E28" s="136"/>
      <c r="F28" s="20"/>
      <c r="G28" s="20"/>
      <c r="H28" s="135"/>
      <c r="I28" s="136"/>
      <c r="J28" s="136"/>
      <c r="K28" s="136"/>
      <c r="L28" s="219"/>
      <c r="M28" s="219"/>
      <c r="N28" s="219"/>
      <c r="O28" s="219"/>
      <c r="P28" s="219"/>
      <c r="Q28" s="251">
        <v>25</v>
      </c>
      <c r="S28" s="395" t="str">
        <f>IFERROR(VLOOKUP(☆入力!$G40,選定!$C$1:$AG$100,8,FALSE),"0")</f>
        <v>0</v>
      </c>
      <c r="T28" s="396">
        <f>S28*☆入力!L40</f>
        <v>0</v>
      </c>
      <c r="U28" s="396">
        <f>☆入力!AE40*☆入力!L40</f>
        <v>0</v>
      </c>
      <c r="V28" s="396">
        <f t="shared" si="3"/>
        <v>0</v>
      </c>
      <c r="X28" s="397" t="str">
        <f>IFERROR((代理店入力用!$D$5/☆入力!$AH$14)*☆入力!$AH40,"0")</f>
        <v>0</v>
      </c>
      <c r="Y28" s="397">
        <f t="shared" si="2"/>
        <v>0</v>
      </c>
      <c r="AH28" s="731" t="s">
        <v>50</v>
      </c>
      <c r="AI28" s="732">
        <f>ROUNDDOWN(☆入力!W40*☆入力!X40,0)</f>
        <v>0</v>
      </c>
      <c r="AJ28" s="732">
        <f>ROUNDDOWN(☆入力!AB40*☆入力!X40,0)</f>
        <v>0</v>
      </c>
      <c r="AK28" s="732">
        <f>ROUNDDOWN(☆入力!AB40*☆入力!AD40,0)</f>
        <v>0</v>
      </c>
    </row>
    <row r="29" spans="1:37" ht="18" customHeight="1">
      <c r="A29" s="388"/>
      <c r="B29" s="135"/>
      <c r="C29" s="136"/>
      <c r="D29" s="412" t="e">
        <f>100%-(③後a!AS6/②前a!AS6)</f>
        <v>#DIV/0!</v>
      </c>
      <c r="E29" s="136"/>
      <c r="F29" s="20"/>
      <c r="G29" s="20"/>
      <c r="H29" s="145" t="s">
        <v>51</v>
      </c>
      <c r="I29" s="145" t="s">
        <v>52</v>
      </c>
      <c r="J29" s="20"/>
      <c r="K29" s="20"/>
      <c r="L29" s="219"/>
      <c r="M29" s="219"/>
      <c r="N29" s="219"/>
      <c r="O29" s="219"/>
      <c r="P29" s="219"/>
      <c r="Q29" s="251">
        <v>26</v>
      </c>
      <c r="S29" s="395" t="str">
        <f>IFERROR(VLOOKUP(☆入力!$G41,選定!$C$1:$AG$100,8,FALSE),"0")</f>
        <v>0</v>
      </c>
      <c r="T29" s="396">
        <f>S29*☆入力!L41</f>
        <v>0</v>
      </c>
      <c r="U29" s="396">
        <f>☆入力!AE41*☆入力!L41</f>
        <v>0</v>
      </c>
      <c r="V29" s="396">
        <f t="shared" si="3"/>
        <v>0</v>
      </c>
      <c r="X29" s="397" t="str">
        <f>IFERROR((代理店入力用!$D$5/☆入力!$AH$14)*☆入力!$AH41,"0")</f>
        <v>0</v>
      </c>
      <c r="Y29" s="397">
        <f t="shared" si="2"/>
        <v>0</v>
      </c>
      <c r="AH29" s="731" t="s">
        <v>49</v>
      </c>
      <c r="AI29" s="732">
        <f>ROUNDDOWN(☆入力!W41*☆入力!X41,0)</f>
        <v>0</v>
      </c>
      <c r="AJ29" s="732">
        <f>ROUNDDOWN(☆入力!AB41*☆入力!X41,0)</f>
        <v>0</v>
      </c>
      <c r="AK29" s="732">
        <f>ROUNDDOWN(☆入力!AB41*☆入力!AD41,0)</f>
        <v>0</v>
      </c>
    </row>
    <row r="30" spans="1:37" ht="18" customHeight="1">
      <c r="A30" s="388"/>
      <c r="B30" s="135"/>
      <c r="C30" s="136"/>
      <c r="D30" s="413"/>
      <c r="E30" s="136"/>
      <c r="F30" s="20"/>
      <c r="G30" s="20"/>
      <c r="I30" s="20"/>
      <c r="J30" s="20"/>
      <c r="K30" s="20"/>
      <c r="L30" s="219"/>
      <c r="M30" s="219"/>
      <c r="N30" s="219"/>
      <c r="O30" s="219"/>
      <c r="P30" s="219"/>
      <c r="Q30" s="251">
        <v>27</v>
      </c>
      <c r="S30" s="395" t="str">
        <f>IFERROR(VLOOKUP(☆入力!$G42,選定!$C$1:$AG$100,8,FALSE),"0")</f>
        <v>0</v>
      </c>
      <c r="T30" s="396">
        <f>S30*☆入力!L42</f>
        <v>0</v>
      </c>
      <c r="U30" s="396">
        <f>☆入力!AE42*☆入力!L42</f>
        <v>0</v>
      </c>
      <c r="V30" s="396">
        <f t="shared" si="3"/>
        <v>0</v>
      </c>
      <c r="X30" s="397" t="str">
        <f>IFERROR((代理店入力用!$D$5/☆入力!$AH$14)*☆入力!$AH42,"0")</f>
        <v>0</v>
      </c>
      <c r="Y30" s="397">
        <f t="shared" si="2"/>
        <v>0</v>
      </c>
      <c r="AH30" s="731" t="s">
        <v>53</v>
      </c>
      <c r="AI30" s="732">
        <f>ROUNDDOWN(☆入力!W42*☆入力!X42,0)</f>
        <v>0</v>
      </c>
      <c r="AJ30" s="732">
        <f>ROUNDDOWN(☆入力!AB42*☆入力!X42,0)</f>
        <v>0</v>
      </c>
      <c r="AK30" s="732">
        <f>ROUNDDOWN(☆入力!AB42*☆入力!AD42,0)</f>
        <v>0</v>
      </c>
    </row>
    <row r="31" spans="1:37" ht="18" customHeight="1">
      <c r="A31" s="388"/>
      <c r="B31" s="135"/>
      <c r="C31" s="135"/>
      <c r="D31" s="414">
        <f>②前a!AS41-③後a!AS41</f>
        <v>0</v>
      </c>
      <c r="E31" s="137"/>
      <c r="F31" s="20"/>
      <c r="G31" s="20"/>
      <c r="H31" s="22" t="s">
        <v>33</v>
      </c>
      <c r="I31" s="20"/>
      <c r="J31" s="403"/>
      <c r="K31" s="83"/>
      <c r="L31" s="219"/>
      <c r="M31" s="219"/>
      <c r="N31" s="219"/>
      <c r="O31" s="219"/>
      <c r="P31" s="219"/>
      <c r="Q31" s="251">
        <v>28</v>
      </c>
      <c r="S31" s="395" t="str">
        <f>IFERROR(VLOOKUP(☆入力!$G43,選定!$C$1:$AG$100,8,FALSE),"0")</f>
        <v>0</v>
      </c>
      <c r="T31" s="396">
        <f>S31*☆入力!L43</f>
        <v>0</v>
      </c>
      <c r="U31" s="396">
        <f>☆入力!AE43*☆入力!L43</f>
        <v>0</v>
      </c>
      <c r="V31" s="396">
        <f t="shared" si="3"/>
        <v>0</v>
      </c>
      <c r="X31" s="397" t="str">
        <f>IFERROR((代理店入力用!$D$5/☆入力!$AH$14)*☆入力!$AH43,"0")</f>
        <v>0</v>
      </c>
      <c r="Y31" s="397">
        <f t="shared" si="2"/>
        <v>0</v>
      </c>
      <c r="AH31" s="731" t="s">
        <v>54</v>
      </c>
      <c r="AI31" s="732">
        <f>ROUNDDOWN(☆入力!W43*☆入力!X43,0)</f>
        <v>0</v>
      </c>
      <c r="AJ31" s="732">
        <f>ROUNDDOWN(☆入力!AB43*☆入力!X43,0)</f>
        <v>0</v>
      </c>
      <c r="AK31" s="732">
        <f>ROUNDDOWN(☆入力!AB43*☆入力!AD43,0)</f>
        <v>0</v>
      </c>
    </row>
    <row r="32" spans="1:37" ht="18" customHeight="1">
      <c r="A32" s="388"/>
      <c r="B32" s="384">
        <f ca="1">ROUNDDOWN((☆入力!AL14)*(100%-☆入力!AR11)+代理店入力用!D5,0)</f>
        <v>0</v>
      </c>
      <c r="C32" s="20"/>
      <c r="D32" s="413"/>
      <c r="E32" s="138"/>
      <c r="F32" s="20"/>
      <c r="G32" s="20"/>
      <c r="H32" s="23" t="s">
        <v>35</v>
      </c>
      <c r="I32" s="404"/>
      <c r="J32" s="415">
        <f ca="1">'⑧-bｼﾐｭ'!R7</f>
        <v>0</v>
      </c>
      <c r="K32" s="404"/>
      <c r="L32" s="219"/>
      <c r="M32" s="298" t="str">
        <f>VLOOKUP(☆入力!B14,N32:O33,2,)</f>
        <v>試算エリア</v>
      </c>
      <c r="N32" s="266" t="s">
        <v>55</v>
      </c>
      <c r="O32" s="298" t="s">
        <v>56</v>
      </c>
      <c r="P32" s="219"/>
      <c r="Q32" s="251">
        <v>29</v>
      </c>
      <c r="S32" s="395" t="str">
        <f>IFERROR(VLOOKUP(☆入力!$G44,選定!$C$1:$AG$100,8,FALSE),"0")</f>
        <v>0</v>
      </c>
      <c r="T32" s="396">
        <f>S32*☆入力!L44</f>
        <v>0</v>
      </c>
      <c r="U32" s="396">
        <f>☆入力!AE44*☆入力!L44</f>
        <v>0</v>
      </c>
      <c r="V32" s="396">
        <f t="shared" si="3"/>
        <v>0</v>
      </c>
      <c r="X32" s="397" t="str">
        <f>IFERROR((代理店入力用!$D$5/☆入力!$AH$14)*☆入力!$AH44,"0")</f>
        <v>0</v>
      </c>
      <c r="Y32" s="397">
        <f t="shared" si="2"/>
        <v>0</v>
      </c>
      <c r="AH32" s="731" t="s">
        <v>57</v>
      </c>
      <c r="AI32" s="732">
        <f>ROUNDDOWN(☆入力!W44*☆入力!X44,0)</f>
        <v>0</v>
      </c>
      <c r="AJ32" s="732">
        <f>ROUNDDOWN(☆入力!AB44*☆入力!X44,0)</f>
        <v>0</v>
      </c>
      <c r="AK32" s="732">
        <f>ROUNDDOWN(☆入力!AB44*☆入力!AD44,0)</f>
        <v>0</v>
      </c>
    </row>
    <row r="33" spans="1:37" ht="18" customHeight="1">
      <c r="A33" s="388"/>
      <c r="B33" s="384">
        <f ca="1">(B32/(100%-☆入力!AR11))*(100%-☆入力!AR11-☆入力!AR12)</f>
        <v>0</v>
      </c>
      <c r="C33" s="20"/>
      <c r="D33" s="416">
        <f>☆入力!AR11</f>
        <v>0</v>
      </c>
      <c r="E33" s="20"/>
      <c r="F33" s="20"/>
      <c r="G33" s="20"/>
      <c r="H33" s="24" t="s">
        <v>37</v>
      </c>
      <c r="I33" s="139">
        <f t="shared" ref="I33:K34" si="8">I20</f>
        <v>0</v>
      </c>
      <c r="J33" s="25">
        <f t="shared" si="8"/>
        <v>0</v>
      </c>
      <c r="K33" s="25">
        <f t="shared" si="8"/>
        <v>0</v>
      </c>
      <c r="L33" s="219"/>
      <c r="M33" s="37"/>
      <c r="N33" s="266" t="s">
        <v>58</v>
      </c>
      <c r="O33" s="298" t="s">
        <v>59</v>
      </c>
      <c r="P33" s="219"/>
      <c r="Q33" s="251">
        <v>30</v>
      </c>
      <c r="S33" s="395" t="str">
        <f>IFERROR(VLOOKUP(☆入力!$G45,選定!$C$1:$AG$100,8,FALSE),"0")</f>
        <v>0</v>
      </c>
      <c r="T33" s="396">
        <f>S33*☆入力!L45</f>
        <v>0</v>
      </c>
      <c r="U33" s="396">
        <f>☆入力!AE45*☆入力!L45</f>
        <v>0</v>
      </c>
      <c r="V33" s="396">
        <f t="shared" si="3"/>
        <v>0</v>
      </c>
      <c r="X33" s="417" t="str">
        <f>IFERROR((代理店入力用!$D$5/☆入力!$AH$14)*☆入力!$AH45,"0")</f>
        <v>0</v>
      </c>
      <c r="Y33" s="417">
        <f t="shared" si="2"/>
        <v>0</v>
      </c>
      <c r="AH33" s="731" t="s">
        <v>60</v>
      </c>
      <c r="AI33" s="732">
        <f>ROUNDDOWN(☆入力!W45*☆入力!X45,0)</f>
        <v>0</v>
      </c>
      <c r="AJ33" s="732">
        <f>ROUNDDOWN(☆入力!AB45*☆入力!X45,0)</f>
        <v>0</v>
      </c>
      <c r="AK33" s="732">
        <f>ROUNDDOWN(☆入力!AB45*☆入力!AD45,0)</f>
        <v>0</v>
      </c>
    </row>
    <row r="34" spans="1:37" ht="18" customHeight="1">
      <c r="A34" s="388"/>
      <c r="B34" s="20"/>
      <c r="C34" s="20"/>
      <c r="D34" s="20"/>
      <c r="E34" s="20"/>
      <c r="F34" s="20"/>
      <c r="G34" s="20"/>
      <c r="H34" s="24" t="s">
        <v>41</v>
      </c>
      <c r="I34" s="25">
        <f t="shared" si="8"/>
        <v>0</v>
      </c>
      <c r="J34" s="25">
        <f t="shared" si="8"/>
        <v>0</v>
      </c>
      <c r="K34" s="25">
        <f t="shared" si="8"/>
        <v>0</v>
      </c>
      <c r="L34" s="218"/>
      <c r="M34" s="218"/>
      <c r="N34" s="218"/>
      <c r="O34" s="218"/>
      <c r="P34" s="218"/>
      <c r="Q34" s="218"/>
      <c r="R34" s="218"/>
      <c r="S34" s="218"/>
      <c r="T34" s="418"/>
      <c r="U34" s="419"/>
    </row>
    <row r="35" spans="1:37" ht="18" customHeight="1">
      <c r="A35" s="388"/>
      <c r="B35" s="20"/>
      <c r="C35" s="20"/>
      <c r="D35" s="20"/>
      <c r="E35" s="20"/>
      <c r="F35" s="20"/>
      <c r="G35" s="20"/>
      <c r="H35" s="142" t="s">
        <v>43</v>
      </c>
      <c r="I35" s="143">
        <f>SUM(I32:I34)</f>
        <v>0</v>
      </c>
      <c r="J35" s="143">
        <f ca="1">SUM(J32:J34)</f>
        <v>0</v>
      </c>
      <c r="K35" s="143">
        <f>SUM(K32:K34)</f>
        <v>0</v>
      </c>
      <c r="L35" s="219"/>
      <c r="M35" s="219"/>
      <c r="N35" s="219"/>
      <c r="O35" s="219"/>
      <c r="P35" s="219"/>
      <c r="Q35" s="218"/>
      <c r="R35" s="218"/>
      <c r="S35" s="218"/>
      <c r="T35" s="418"/>
      <c r="U35" s="419"/>
    </row>
    <row r="36" spans="1:37" ht="18" customHeight="1">
      <c r="A36" s="388"/>
      <c r="B36" s="20"/>
      <c r="C36" s="222" t="s">
        <v>61</v>
      </c>
      <c r="D36" s="20"/>
      <c r="E36" s="20"/>
      <c r="F36" s="20"/>
      <c r="G36" s="20"/>
      <c r="H36" s="140"/>
      <c r="I36" s="140"/>
      <c r="J36" s="141">
        <f ca="1">INT(I35-J35)</f>
        <v>0</v>
      </c>
      <c r="K36" s="141">
        <f>INT(I35-K35)</f>
        <v>0</v>
      </c>
      <c r="L36" s="219"/>
      <c r="M36" s="37" t="s">
        <v>62</v>
      </c>
      <c r="N36" s="347">
        <v>3000</v>
      </c>
      <c r="O36" s="335">
        <f>SUMIFS(☆入力!$L$16:$L$45,☆入力!$AE$16:$AE$45,N36)</f>
        <v>0</v>
      </c>
      <c r="P36" s="219"/>
      <c r="Q36" s="218"/>
      <c r="R36" s="218"/>
      <c r="S36" s="218"/>
      <c r="T36" s="218"/>
      <c r="U36" s="218"/>
    </row>
    <row r="37" spans="1:37" ht="18" customHeight="1">
      <c r="A37" s="388"/>
      <c r="B37" s="388"/>
      <c r="C37" s="251" t="s">
        <v>63</v>
      </c>
      <c r="D37" s="388"/>
      <c r="E37" s="218"/>
      <c r="F37" s="218"/>
      <c r="G37" s="218"/>
      <c r="H37" s="218"/>
      <c r="I37" s="219"/>
      <c r="J37" s="219"/>
      <c r="K37" s="219"/>
      <c r="L37" s="219"/>
      <c r="M37" s="37" t="s">
        <v>64</v>
      </c>
      <c r="N37" s="347">
        <v>5000</v>
      </c>
      <c r="O37" s="335">
        <f>SUMIFS(☆入力!$L$16:$L$45,☆入力!$AE$16:$AE$45,N37)</f>
        <v>0</v>
      </c>
      <c r="P37" s="219"/>
      <c r="Q37" s="218"/>
      <c r="R37" s="218"/>
      <c r="S37" s="218"/>
      <c r="T37" s="218"/>
      <c r="U37" s="218"/>
    </row>
    <row r="38" spans="1:37" ht="18" customHeight="1">
      <c r="A38" s="388"/>
      <c r="B38" s="388"/>
      <c r="C38" s="251" t="s">
        <v>65</v>
      </c>
      <c r="D38" s="388"/>
      <c r="E38" s="218"/>
      <c r="F38" s="218"/>
      <c r="G38" s="218"/>
      <c r="H38" s="218"/>
      <c r="I38" s="218"/>
      <c r="J38" s="219"/>
      <c r="K38" s="219"/>
      <c r="L38" s="219"/>
      <c r="M38" s="37" t="s">
        <v>66</v>
      </c>
      <c r="N38" s="347"/>
      <c r="O38" s="335">
        <f>SUMIFS(☆入力!$L$16:$L$45,☆入力!$AE$16:$AE$45,N38)</f>
        <v>0</v>
      </c>
      <c r="P38" s="219"/>
      <c r="Q38" s="218"/>
      <c r="R38" s="218"/>
      <c r="S38" s="218"/>
      <c r="T38" s="218"/>
      <c r="U38" s="218"/>
    </row>
    <row r="39" spans="1:37" ht="18" customHeight="1">
      <c r="A39" s="388"/>
      <c r="B39" s="388"/>
      <c r="C39" s="251" t="s">
        <v>67</v>
      </c>
      <c r="D39" s="388"/>
      <c r="E39" s="218"/>
      <c r="F39" s="218"/>
      <c r="G39" s="218"/>
      <c r="H39" s="218"/>
      <c r="I39" s="218"/>
      <c r="J39" s="218"/>
      <c r="K39" s="219"/>
      <c r="L39" s="219"/>
      <c r="M39" s="37" t="s">
        <v>68</v>
      </c>
      <c r="N39" s="347"/>
      <c r="O39" s="335">
        <f>SUMIFS(☆入力!$L$16:$L$45,☆入力!$AE$16:$AE$45,N39)</f>
        <v>0</v>
      </c>
      <c r="P39" s="219"/>
      <c r="Q39" s="218"/>
      <c r="R39" s="218"/>
      <c r="S39" s="218"/>
      <c r="T39" s="218"/>
      <c r="U39" s="218"/>
    </row>
    <row r="40" spans="1:37" ht="18" customHeight="1">
      <c r="A40" s="388"/>
      <c r="B40" s="388"/>
      <c r="C40" s="388" t="s">
        <v>69</v>
      </c>
      <c r="D40" s="388"/>
      <c r="E40" s="218"/>
      <c r="F40" s="218"/>
      <c r="G40" s="221"/>
      <c r="H40" s="221"/>
      <c r="I40" s="221"/>
      <c r="J40" s="221"/>
      <c r="K40" s="221"/>
      <c r="L40" s="221"/>
      <c r="M40" s="221"/>
      <c r="N40" s="221"/>
      <c r="O40" s="221"/>
      <c r="P40" s="221"/>
      <c r="Q40" s="218"/>
      <c r="R40" s="218"/>
      <c r="S40" s="218"/>
      <c r="T40" s="218"/>
      <c r="U40" s="218"/>
    </row>
    <row r="41" spans="1:37" ht="18" customHeight="1" thickBot="1">
      <c r="A41" s="420"/>
      <c r="B41" s="420"/>
      <c r="C41" s="420"/>
      <c r="D41" s="420"/>
      <c r="E41" s="420"/>
      <c r="F41" s="420"/>
      <c r="G41" s="420"/>
      <c r="H41" s="420"/>
      <c r="I41" s="420"/>
      <c r="J41" s="420"/>
      <c r="K41" s="420"/>
      <c r="L41" s="420"/>
      <c r="M41" s="420"/>
      <c r="N41" s="420"/>
      <c r="O41" s="420"/>
      <c r="P41" s="420"/>
      <c r="Q41" s="420"/>
      <c r="R41" s="420"/>
      <c r="S41" s="420"/>
      <c r="T41" s="420"/>
      <c r="U41" s="420"/>
      <c r="V41" s="420"/>
      <c r="W41" s="420"/>
      <c r="X41" s="420"/>
      <c r="Y41" s="420"/>
    </row>
    <row r="42" spans="1:37" ht="18" customHeight="1" thickTop="1">
      <c r="A42" s="448" t="s">
        <v>70</v>
      </c>
    </row>
    <row r="43" spans="1:37" ht="18" customHeight="1">
      <c r="B43" s="251">
        <f>☆入力!AG16</f>
        <v>0</v>
      </c>
      <c r="G43" s="251">
        <f>☆入力!AG17</f>
        <v>0</v>
      </c>
      <c r="L43" s="251">
        <f>☆入力!AG18</f>
        <v>0</v>
      </c>
      <c r="Q43" s="251">
        <f>☆入力!AG19</f>
        <v>0</v>
      </c>
    </row>
    <row r="44" spans="1:37" ht="18" customHeight="1">
      <c r="B44" s="404"/>
      <c r="C44" s="404" t="s">
        <v>7</v>
      </c>
      <c r="D44" s="404" t="s">
        <v>25</v>
      </c>
      <c r="E44" s="404" t="s">
        <v>71</v>
      </c>
      <c r="G44" s="404"/>
      <c r="H44" s="404" t="s">
        <v>7</v>
      </c>
      <c r="I44" s="404" t="s">
        <v>25</v>
      </c>
      <c r="J44" s="404" t="s">
        <v>71</v>
      </c>
      <c r="L44" s="404"/>
      <c r="M44" s="404" t="s">
        <v>7</v>
      </c>
      <c r="N44" s="404" t="s">
        <v>25</v>
      </c>
      <c r="O44" s="404" t="s">
        <v>71</v>
      </c>
      <c r="Q44" s="404"/>
      <c r="R44" s="404" t="s">
        <v>7</v>
      </c>
      <c r="S44" s="404" t="s">
        <v>25</v>
      </c>
      <c r="T44" s="404" t="s">
        <v>71</v>
      </c>
    </row>
    <row r="45" spans="1:37" ht="18" customHeight="1">
      <c r="B45" s="421" t="s">
        <v>35</v>
      </c>
      <c r="C45" s="433"/>
      <c r="D45" s="434">
        <f ca="1">☆入力!AR16</f>
        <v>0</v>
      </c>
      <c r="E45" s="433"/>
      <c r="G45" s="421" t="s">
        <v>35</v>
      </c>
      <c r="H45" s="433"/>
      <c r="I45" s="434">
        <f ca="1">☆入力!AR17</f>
        <v>0</v>
      </c>
      <c r="J45" s="433"/>
      <c r="L45" s="421" t="s">
        <v>35</v>
      </c>
      <c r="M45" s="433"/>
      <c r="N45" s="434">
        <f ca="1">☆入力!AR18</f>
        <v>0</v>
      </c>
      <c r="O45" s="433"/>
      <c r="Q45" s="421" t="s">
        <v>35</v>
      </c>
      <c r="R45" s="433"/>
      <c r="S45" s="434">
        <f ca="1">☆入力!AR19</f>
        <v>0</v>
      </c>
      <c r="T45" s="433"/>
    </row>
    <row r="46" spans="1:37" ht="18" customHeight="1">
      <c r="B46" s="421" t="s">
        <v>37</v>
      </c>
      <c r="C46" s="434">
        <f>K66</f>
        <v>0</v>
      </c>
      <c r="D46" s="433"/>
      <c r="E46" s="433"/>
      <c r="G46" s="421" t="s">
        <v>37</v>
      </c>
      <c r="H46" s="434">
        <f>K67</f>
        <v>0</v>
      </c>
      <c r="I46" s="433"/>
      <c r="J46" s="433"/>
      <c r="L46" s="421" t="s">
        <v>37</v>
      </c>
      <c r="M46" s="434">
        <f>K68</f>
        <v>0</v>
      </c>
      <c r="N46" s="433"/>
      <c r="O46" s="433"/>
      <c r="Q46" s="421" t="s">
        <v>37</v>
      </c>
      <c r="R46" s="434">
        <f>K69</f>
        <v>0</v>
      </c>
      <c r="S46" s="433"/>
      <c r="T46" s="433"/>
    </row>
    <row r="47" spans="1:37" ht="18" customHeight="1">
      <c r="B47" s="421" t="s">
        <v>72</v>
      </c>
      <c r="C47" s="434">
        <f>C66</f>
        <v>0</v>
      </c>
      <c r="D47" s="434">
        <f>D66</f>
        <v>0</v>
      </c>
      <c r="E47" s="434">
        <f>D66</f>
        <v>0</v>
      </c>
      <c r="G47" s="421" t="s">
        <v>72</v>
      </c>
      <c r="H47" s="434">
        <f>C67</f>
        <v>0</v>
      </c>
      <c r="I47" s="434">
        <f>D67</f>
        <v>0</v>
      </c>
      <c r="J47" s="434">
        <f>D67</f>
        <v>0</v>
      </c>
      <c r="L47" s="421" t="s">
        <v>72</v>
      </c>
      <c r="M47" s="434">
        <f>C68</f>
        <v>0</v>
      </c>
      <c r="N47" s="434">
        <f>D68</f>
        <v>0</v>
      </c>
      <c r="O47" s="434">
        <f>D68</f>
        <v>0</v>
      </c>
      <c r="Q47" s="421" t="s">
        <v>72</v>
      </c>
      <c r="R47" s="434">
        <f>C69</f>
        <v>0</v>
      </c>
      <c r="S47" s="434">
        <f>D69</f>
        <v>0</v>
      </c>
      <c r="T47" s="434">
        <f>D69</f>
        <v>0</v>
      </c>
    </row>
    <row r="48" spans="1:37" ht="18" customHeight="1">
      <c r="B48" s="423" t="s">
        <v>43</v>
      </c>
      <c r="C48" s="435">
        <f>SUM(C45:C47)</f>
        <v>0</v>
      </c>
      <c r="D48" s="435">
        <f t="shared" ref="D48:E48" ca="1" si="9">SUM(D45:D47)</f>
        <v>0</v>
      </c>
      <c r="E48" s="435">
        <f t="shared" si="9"/>
        <v>0</v>
      </c>
      <c r="G48" s="423" t="s">
        <v>43</v>
      </c>
      <c r="H48" s="435">
        <f>SUM(H45:H47)</f>
        <v>0</v>
      </c>
      <c r="I48" s="435">
        <f t="shared" ref="I48:J48" ca="1" si="10">SUM(I45:I47)</f>
        <v>0</v>
      </c>
      <c r="J48" s="435">
        <f t="shared" si="10"/>
        <v>0</v>
      </c>
      <c r="L48" s="423" t="s">
        <v>43</v>
      </c>
      <c r="M48" s="435">
        <f>SUM(M45:M47)</f>
        <v>0</v>
      </c>
      <c r="N48" s="435">
        <f t="shared" ref="N48:O48" ca="1" si="11">SUM(N45:N47)</f>
        <v>0</v>
      </c>
      <c r="O48" s="435">
        <f t="shared" si="11"/>
        <v>0</v>
      </c>
      <c r="Q48" s="423" t="s">
        <v>43</v>
      </c>
      <c r="R48" s="435">
        <f>SUM(R45:R47)</f>
        <v>0</v>
      </c>
      <c r="S48" s="435">
        <f t="shared" ref="S48:T48" ca="1" si="12">SUM(S45:S47)</f>
        <v>0</v>
      </c>
      <c r="T48" s="435">
        <f t="shared" si="12"/>
        <v>0</v>
      </c>
    </row>
    <row r="49" spans="1:21" ht="18" customHeight="1">
      <c r="B49" s="449" t="s">
        <v>73</v>
      </c>
      <c r="C49" s="450"/>
      <c r="D49" s="450">
        <f ca="1">C48-D48</f>
        <v>0</v>
      </c>
      <c r="E49" s="450">
        <f>C48-E48</f>
        <v>0</v>
      </c>
      <c r="F49" s="451"/>
      <c r="G49" s="449" t="s">
        <v>73</v>
      </c>
      <c r="H49" s="450"/>
      <c r="I49" s="450">
        <f ca="1">H48-I48</f>
        <v>0</v>
      </c>
      <c r="J49" s="450">
        <f>H48-J48</f>
        <v>0</v>
      </c>
      <c r="K49" s="451"/>
      <c r="L49" s="449" t="s">
        <v>73</v>
      </c>
      <c r="M49" s="450"/>
      <c r="N49" s="450">
        <f ca="1">M48-N48</f>
        <v>0</v>
      </c>
      <c r="O49" s="450">
        <f>M48-O48</f>
        <v>0</v>
      </c>
      <c r="P49" s="451"/>
      <c r="Q49" s="449" t="s">
        <v>73</v>
      </c>
      <c r="R49" s="450"/>
      <c r="S49" s="450">
        <f ca="1">R48-S48</f>
        <v>0</v>
      </c>
      <c r="T49" s="450">
        <f>R48-T48</f>
        <v>0</v>
      </c>
    </row>
    <row r="50" spans="1:21" ht="18" customHeight="1">
      <c r="B50" s="251" t="s">
        <v>74</v>
      </c>
      <c r="C50" s="403">
        <f ca="1">(C48-D48)*60</f>
        <v>0</v>
      </c>
      <c r="D50" s="403"/>
      <c r="E50" s="403"/>
      <c r="H50" s="403">
        <f ca="1">(H48-I48)*60</f>
        <v>0</v>
      </c>
      <c r="I50" s="403"/>
      <c r="J50" s="403"/>
      <c r="M50" s="403">
        <f ca="1">(M48-N48)*60</f>
        <v>0</v>
      </c>
      <c r="N50" s="403"/>
      <c r="O50" s="403"/>
      <c r="R50" s="403">
        <f ca="1">(R48-S48)*60</f>
        <v>0</v>
      </c>
      <c r="S50" s="403"/>
      <c r="T50" s="403"/>
    </row>
    <row r="51" spans="1:21" ht="18" customHeight="1">
      <c r="B51" s="251" t="s">
        <v>75</v>
      </c>
      <c r="C51" s="403">
        <f>(C48-E48)*60</f>
        <v>0</v>
      </c>
      <c r="D51" s="403"/>
      <c r="E51" s="403"/>
      <c r="H51" s="403">
        <f>(H48-J48)*60</f>
        <v>0</v>
      </c>
      <c r="I51" s="403"/>
      <c r="J51" s="403"/>
      <c r="M51" s="403">
        <f>(M48-O48)*60</f>
        <v>0</v>
      </c>
      <c r="N51" s="403"/>
      <c r="O51" s="403"/>
      <c r="R51" s="403">
        <f>(R48-T48)*60</f>
        <v>0</v>
      </c>
      <c r="S51" s="403"/>
      <c r="T51" s="403"/>
    </row>
    <row r="52" spans="1:21" ht="18" customHeight="1">
      <c r="B52" s="251" t="s">
        <v>76</v>
      </c>
      <c r="C52" s="403">
        <f ca="1">C50+C51</f>
        <v>0</v>
      </c>
      <c r="D52" s="403"/>
      <c r="E52" s="403"/>
      <c r="H52" s="403">
        <f ca="1">H50+H51</f>
        <v>0</v>
      </c>
      <c r="I52" s="403"/>
      <c r="J52" s="403"/>
      <c r="M52" s="403">
        <f ca="1">M50+M51</f>
        <v>0</v>
      </c>
      <c r="N52" s="403"/>
      <c r="O52" s="403"/>
      <c r="R52" s="403">
        <f ca="1">R50+R51</f>
        <v>0</v>
      </c>
      <c r="S52" s="403"/>
      <c r="T52" s="403"/>
    </row>
    <row r="53" spans="1:21" ht="18" customHeight="1">
      <c r="A53" s="447" t="s">
        <v>77</v>
      </c>
      <c r="B53" s="446"/>
      <c r="C53" s="446"/>
      <c r="D53" s="446"/>
      <c r="E53" s="446"/>
      <c r="F53" s="446"/>
      <c r="G53" s="446"/>
      <c r="H53" s="446"/>
      <c r="I53" s="446"/>
      <c r="J53" s="446"/>
      <c r="K53" s="446"/>
      <c r="L53" s="446"/>
      <c r="M53" s="446"/>
      <c r="N53" s="446"/>
      <c r="O53" s="446"/>
      <c r="P53" s="446"/>
      <c r="Q53" s="446"/>
      <c r="R53" s="446"/>
      <c r="S53" s="446"/>
      <c r="T53" s="446"/>
      <c r="U53" s="446"/>
    </row>
    <row r="54" spans="1:21" ht="18" customHeight="1">
      <c r="B54" s="251">
        <f>B43</f>
        <v>0</v>
      </c>
      <c r="G54" s="251">
        <f>G43</f>
        <v>0</v>
      </c>
      <c r="L54" s="251">
        <f>L43</f>
        <v>0</v>
      </c>
      <c r="Q54" s="251">
        <f>Q43</f>
        <v>0</v>
      </c>
    </row>
    <row r="55" spans="1:21" ht="18" customHeight="1">
      <c r="B55" s="404"/>
      <c r="C55" s="404" t="s">
        <v>7</v>
      </c>
      <c r="D55" s="404" t="s">
        <v>25</v>
      </c>
      <c r="E55" s="404" t="s">
        <v>71</v>
      </c>
      <c r="G55" s="404"/>
      <c r="H55" s="404" t="s">
        <v>7</v>
      </c>
      <c r="I55" s="404" t="s">
        <v>25</v>
      </c>
      <c r="J55" s="404" t="s">
        <v>71</v>
      </c>
      <c r="L55" s="404"/>
      <c r="M55" s="404" t="s">
        <v>7</v>
      </c>
      <c r="N55" s="404" t="s">
        <v>25</v>
      </c>
      <c r="O55" s="404" t="s">
        <v>71</v>
      </c>
      <c r="Q55" s="404"/>
      <c r="R55" s="404" t="s">
        <v>7</v>
      </c>
      <c r="S55" s="404" t="s">
        <v>25</v>
      </c>
      <c r="T55" s="404" t="s">
        <v>71</v>
      </c>
    </row>
    <row r="56" spans="1:21" ht="18" customHeight="1">
      <c r="B56" s="421" t="s">
        <v>35</v>
      </c>
      <c r="C56" s="422"/>
      <c r="D56" s="434">
        <f ca="1">D45</f>
        <v>0</v>
      </c>
      <c r="E56" s="422"/>
      <c r="G56" s="421" t="s">
        <v>35</v>
      </c>
      <c r="H56" s="422"/>
      <c r="I56" s="434">
        <f ca="1">I45</f>
        <v>0</v>
      </c>
      <c r="J56" s="422"/>
      <c r="L56" s="421" t="s">
        <v>35</v>
      </c>
      <c r="M56" s="422"/>
      <c r="N56" s="434">
        <f ca="1">N45</f>
        <v>0</v>
      </c>
      <c r="O56" s="422"/>
      <c r="Q56" s="421" t="s">
        <v>35</v>
      </c>
      <c r="R56" s="422"/>
      <c r="S56" s="434">
        <f ca="1">S45</f>
        <v>0</v>
      </c>
      <c r="T56" s="422"/>
    </row>
    <row r="57" spans="1:21" ht="18" customHeight="1">
      <c r="B57" s="421" t="s">
        <v>37</v>
      </c>
      <c r="C57" s="434">
        <f>P66</f>
        <v>0</v>
      </c>
      <c r="D57" s="438">
        <f>O66</f>
        <v>0</v>
      </c>
      <c r="E57" s="438">
        <f>O66</f>
        <v>0</v>
      </c>
      <c r="G57" s="421" t="s">
        <v>37</v>
      </c>
      <c r="H57" s="434">
        <f>P67</f>
        <v>0</v>
      </c>
      <c r="I57" s="438">
        <f>O67</f>
        <v>0</v>
      </c>
      <c r="J57" s="438">
        <f>O67</f>
        <v>0</v>
      </c>
      <c r="L57" s="421" t="s">
        <v>37</v>
      </c>
      <c r="M57" s="434">
        <f>P68</f>
        <v>0</v>
      </c>
      <c r="N57" s="438">
        <f>O68</f>
        <v>0</v>
      </c>
      <c r="O57" s="438">
        <f>O68</f>
        <v>0</v>
      </c>
      <c r="Q57" s="421" t="s">
        <v>37</v>
      </c>
      <c r="R57" s="434">
        <f>P69</f>
        <v>0</v>
      </c>
      <c r="S57" s="438">
        <f>O69</f>
        <v>0</v>
      </c>
      <c r="T57" s="438">
        <f>O69</f>
        <v>0</v>
      </c>
    </row>
    <row r="58" spans="1:21" ht="18" customHeight="1">
      <c r="B58" s="421" t="s">
        <v>72</v>
      </c>
      <c r="C58" s="434">
        <f>C47</f>
        <v>0</v>
      </c>
      <c r="D58" s="434">
        <f>D47</f>
        <v>0</v>
      </c>
      <c r="E58" s="434">
        <f>E47</f>
        <v>0</v>
      </c>
      <c r="G58" s="421" t="s">
        <v>72</v>
      </c>
      <c r="H58" s="434">
        <f>H47</f>
        <v>0</v>
      </c>
      <c r="I58" s="434">
        <f>I47</f>
        <v>0</v>
      </c>
      <c r="J58" s="434">
        <f>J47</f>
        <v>0</v>
      </c>
      <c r="L58" s="421" t="s">
        <v>72</v>
      </c>
      <c r="M58" s="434">
        <f>M47</f>
        <v>0</v>
      </c>
      <c r="N58" s="434">
        <f>N47</f>
        <v>0</v>
      </c>
      <c r="O58" s="434">
        <f>O47</f>
        <v>0</v>
      </c>
      <c r="Q58" s="421" t="s">
        <v>72</v>
      </c>
      <c r="R58" s="434">
        <f>R47</f>
        <v>0</v>
      </c>
      <c r="S58" s="434">
        <f>S47</f>
        <v>0</v>
      </c>
      <c r="T58" s="434">
        <f>T47</f>
        <v>0</v>
      </c>
    </row>
    <row r="59" spans="1:21" ht="18" customHeight="1">
      <c r="B59" s="423" t="s">
        <v>43</v>
      </c>
      <c r="C59" s="435">
        <f>SUM(C56:C58)</f>
        <v>0</v>
      </c>
      <c r="D59" s="435">
        <f t="shared" ref="D59:E59" ca="1" si="13">SUM(D56:D58)</f>
        <v>0</v>
      </c>
      <c r="E59" s="435">
        <f t="shared" si="13"/>
        <v>0</v>
      </c>
      <c r="G59" s="423" t="s">
        <v>43</v>
      </c>
      <c r="H59" s="435">
        <f>SUM(H56:H58)</f>
        <v>0</v>
      </c>
      <c r="I59" s="435">
        <f t="shared" ref="I59:J59" ca="1" si="14">SUM(I56:I58)</f>
        <v>0</v>
      </c>
      <c r="J59" s="435">
        <f t="shared" si="14"/>
        <v>0</v>
      </c>
      <c r="L59" s="423" t="s">
        <v>43</v>
      </c>
      <c r="M59" s="435">
        <f>SUM(M56:M58)</f>
        <v>0</v>
      </c>
      <c r="N59" s="435">
        <f t="shared" ref="N59:O59" ca="1" si="15">SUM(N56:N58)</f>
        <v>0</v>
      </c>
      <c r="O59" s="435">
        <f t="shared" si="15"/>
        <v>0</v>
      </c>
      <c r="Q59" s="423" t="s">
        <v>43</v>
      </c>
      <c r="R59" s="435">
        <f>SUM(R56:R58)</f>
        <v>0</v>
      </c>
      <c r="S59" s="435">
        <f t="shared" ref="S59:T59" ca="1" si="16">SUM(S56:S58)</f>
        <v>0</v>
      </c>
      <c r="T59" s="435">
        <f t="shared" si="16"/>
        <v>0</v>
      </c>
    </row>
    <row r="60" spans="1:21" ht="18" customHeight="1">
      <c r="B60" s="449" t="s">
        <v>73</v>
      </c>
      <c r="C60" s="449"/>
      <c r="D60" s="450">
        <f ca="1">C59-D59</f>
        <v>0</v>
      </c>
      <c r="E60" s="450">
        <f>C59-E59</f>
        <v>0</v>
      </c>
      <c r="F60" s="451"/>
      <c r="G60" s="449" t="s">
        <v>73</v>
      </c>
      <c r="H60" s="449"/>
      <c r="I60" s="450">
        <f ca="1">H59-I59</f>
        <v>0</v>
      </c>
      <c r="J60" s="450">
        <f>H59-J59</f>
        <v>0</v>
      </c>
      <c r="K60" s="451"/>
      <c r="L60" s="449" t="s">
        <v>73</v>
      </c>
      <c r="M60" s="449"/>
      <c r="N60" s="450">
        <f ca="1">M59-N59</f>
        <v>0</v>
      </c>
      <c r="O60" s="450">
        <f>M59-O59</f>
        <v>0</v>
      </c>
      <c r="P60" s="451"/>
      <c r="Q60" s="449" t="s">
        <v>73</v>
      </c>
      <c r="R60" s="449"/>
      <c r="S60" s="450">
        <f ca="1">R59-S59</f>
        <v>0</v>
      </c>
      <c r="T60" s="450">
        <f>R59-T59</f>
        <v>0</v>
      </c>
    </row>
    <row r="61" spans="1:21" ht="18" customHeight="1">
      <c r="B61" s="251" t="s">
        <v>74</v>
      </c>
      <c r="C61" s="403">
        <f ca="1">(C59-D59)*60</f>
        <v>0</v>
      </c>
      <c r="H61" s="403">
        <f ca="1">(H59-I59)*60</f>
        <v>0</v>
      </c>
      <c r="M61" s="403">
        <f ca="1">(M59-N59)*60</f>
        <v>0</v>
      </c>
      <c r="R61" s="403">
        <f ca="1">(R59-S59)*60</f>
        <v>0</v>
      </c>
    </row>
    <row r="62" spans="1:21" ht="18" customHeight="1">
      <c r="B62" s="251" t="s">
        <v>75</v>
      </c>
      <c r="C62" s="403">
        <f>(C59-E59)*60</f>
        <v>0</v>
      </c>
      <c r="H62" s="403">
        <f>(H59-J59)*60</f>
        <v>0</v>
      </c>
      <c r="M62" s="403">
        <f>(M59-O59)*60</f>
        <v>0</v>
      </c>
      <c r="R62" s="403">
        <f>(R59-T59)*60</f>
        <v>0</v>
      </c>
    </row>
    <row r="63" spans="1:21" ht="18" customHeight="1">
      <c r="B63" s="251" t="s">
        <v>76</v>
      </c>
      <c r="C63" s="403">
        <f ca="1">C61+C62</f>
        <v>0</v>
      </c>
      <c r="H63" s="403">
        <f ca="1">H61+H62</f>
        <v>0</v>
      </c>
      <c r="M63" s="403">
        <f ca="1">M61+M62</f>
        <v>0</v>
      </c>
      <c r="R63" s="403">
        <f ca="1">R61+R62</f>
        <v>0</v>
      </c>
    </row>
    <row r="65" spans="1:17" ht="18" customHeight="1">
      <c r="B65" s="426"/>
      <c r="C65" s="426" t="s">
        <v>78</v>
      </c>
      <c r="D65" s="426" t="s">
        <v>79</v>
      </c>
      <c r="E65" s="426">
        <v>360</v>
      </c>
      <c r="F65" s="426">
        <v>720</v>
      </c>
      <c r="G65" s="426" t="s">
        <v>80</v>
      </c>
      <c r="H65" s="426" t="s">
        <v>81</v>
      </c>
      <c r="I65" s="426" t="s">
        <v>82</v>
      </c>
      <c r="J65" s="426" t="s">
        <v>83</v>
      </c>
      <c r="K65" s="426"/>
      <c r="L65" s="426" t="s">
        <v>84</v>
      </c>
      <c r="M65" s="426" t="s">
        <v>85</v>
      </c>
      <c r="N65" s="426" t="s">
        <v>86</v>
      </c>
      <c r="O65" s="426"/>
    </row>
    <row r="66" spans="1:17" ht="18" customHeight="1">
      <c r="B66" s="424">
        <f>☆入力!AG16</f>
        <v>0</v>
      </c>
      <c r="C66" s="424">
        <f>SUMIF(☆入力!$B$16:$B$45,☆入力!$AG16,☆入力!$Y$16:$Y$45)</f>
        <v>0</v>
      </c>
      <c r="D66" s="424">
        <f>SUMIF(☆入力!$B$16:$B$45,☆入力!$AG16,☆入力!$AC$16:$AC$45)</f>
        <v>0</v>
      </c>
      <c r="E66" s="424">
        <f>SUMIFS(☆入力!$L$16:$L$45,☆入力!$H$16:$H$45,$E$65,☆入力!$B$16:$B$45,☆入力!$AG16)</f>
        <v>0</v>
      </c>
      <c r="F66" s="424">
        <f>SUMIFS(☆入力!$L$16:$L$45,☆入力!$H$16:$H$45,$F$65,☆入力!$B$16:$B$45,☆入力!$AG16)</f>
        <v>0</v>
      </c>
      <c r="G66" s="427">
        <f>☆入力!$AR$9*$E66*7</f>
        <v>0</v>
      </c>
      <c r="H66" s="427">
        <f>☆入力!$AR$9*$F66*15</f>
        <v>0</v>
      </c>
      <c r="I66" s="427">
        <f>☆入力!$M$12*10000*2</f>
        <v>0</v>
      </c>
      <c r="J66" s="427">
        <f>SUM(G66:H66)</f>
        <v>0</v>
      </c>
      <c r="K66" s="429">
        <f>J66/120</f>
        <v>0</v>
      </c>
      <c r="L66" s="427">
        <f>F66*3000*1</f>
        <v>0</v>
      </c>
      <c r="M66" s="427">
        <f>☆入力!$M$12*8000*2</f>
        <v>0</v>
      </c>
      <c r="N66" s="431">
        <f>SUM(L66:M66)</f>
        <v>0</v>
      </c>
      <c r="O66" s="429">
        <f>N66/120</f>
        <v>0</v>
      </c>
      <c r="P66" s="393">
        <f>(J66+I66)/120</f>
        <v>0</v>
      </c>
    </row>
    <row r="67" spans="1:17" ht="18" customHeight="1">
      <c r="B67" s="424">
        <f>☆入力!AG17</f>
        <v>0</v>
      </c>
      <c r="C67" s="424">
        <f>SUMIF(☆入力!$B$16:$B$45,☆入力!$AG17,☆入力!$Y$16:$Y$45)</f>
        <v>0</v>
      </c>
      <c r="D67" s="424">
        <f>SUMIF(☆入力!$B$16:$B$45,☆入力!$AG17,☆入力!$AC$16:$AC$45)</f>
        <v>0</v>
      </c>
      <c r="E67" s="424">
        <f>SUMIFS(☆入力!$L$16:$L$45,☆入力!$H$16:$H$45,$E$65,☆入力!$B$16:$B$45,☆入力!$AG17)</f>
        <v>0</v>
      </c>
      <c r="F67" s="424">
        <f>SUMIFS(☆入力!$L$16:$L$45,☆入力!$H$16:$H$45,$F$65,☆入力!$B$16:$B$45,☆入力!$AG17)</f>
        <v>0</v>
      </c>
      <c r="G67" s="427">
        <f>☆入力!$AR$9*$E67*7</f>
        <v>0</v>
      </c>
      <c r="H67" s="427">
        <f>☆入力!$AR$9*$F67*15</f>
        <v>0</v>
      </c>
      <c r="I67" s="427">
        <f>☆入力!$N$12*10000*2</f>
        <v>0</v>
      </c>
      <c r="J67" s="427">
        <f>SUM(G67:H67)</f>
        <v>0</v>
      </c>
      <c r="K67" s="429">
        <f t="shared" ref="K67:K69" si="17">J67/120</f>
        <v>0</v>
      </c>
      <c r="L67" s="427">
        <f>F67*3000*1</f>
        <v>0</v>
      </c>
      <c r="M67" s="427">
        <f>☆入力!$N$12*8000*2</f>
        <v>0</v>
      </c>
      <c r="N67" s="431">
        <f t="shared" ref="N67:N69" si="18">SUM(L67:M67)</f>
        <v>0</v>
      </c>
      <c r="O67" s="429">
        <f t="shared" ref="O67:O69" si="19">N67/120</f>
        <v>0</v>
      </c>
      <c r="P67" s="393">
        <f t="shared" ref="P67:P69" si="20">(J67+I67)/120</f>
        <v>0</v>
      </c>
    </row>
    <row r="68" spans="1:17" ht="18" customHeight="1">
      <c r="B68" s="424">
        <f>☆入力!AG18</f>
        <v>0</v>
      </c>
      <c r="C68" s="424">
        <f>SUMIF(☆入力!$B$16:$B$45,☆入力!$AG18,☆入力!$Y$16:$Y$45)</f>
        <v>0</v>
      </c>
      <c r="D68" s="424">
        <f>SUMIF(☆入力!$B$16:$B$45,☆入力!$AG18,☆入力!$AC$16:$AC$45)</f>
        <v>0</v>
      </c>
      <c r="E68" s="424">
        <f>SUMIFS(☆入力!$L$16:$L$45,☆入力!$H$16:$H$45,$E$65,☆入力!$B$16:$B$45,☆入力!$AG18)</f>
        <v>0</v>
      </c>
      <c r="F68" s="424">
        <f>SUMIFS(☆入力!$L$16:$L$45,☆入力!$H$16:$H$45,$F$65,☆入力!$B$16:$B$45,☆入力!$AG18)</f>
        <v>0</v>
      </c>
      <c r="G68" s="427">
        <f>☆入力!$AR$9*$E68*7</f>
        <v>0</v>
      </c>
      <c r="H68" s="427">
        <f>☆入力!$AR$9*$F68*15</f>
        <v>0</v>
      </c>
      <c r="I68" s="427">
        <f>☆入力!$O$12*10000*2</f>
        <v>0</v>
      </c>
      <c r="J68" s="427">
        <f>SUM(G68:H68)</f>
        <v>0</v>
      </c>
      <c r="K68" s="429">
        <f t="shared" si="17"/>
        <v>0</v>
      </c>
      <c r="L68" s="427">
        <f>F68*3000*1</f>
        <v>0</v>
      </c>
      <c r="M68" s="427">
        <f>☆入力!$O$12*8000*2</f>
        <v>0</v>
      </c>
      <c r="N68" s="431">
        <f t="shared" si="18"/>
        <v>0</v>
      </c>
      <c r="O68" s="429">
        <f t="shared" si="19"/>
        <v>0</v>
      </c>
      <c r="P68" s="393">
        <f t="shared" si="20"/>
        <v>0</v>
      </c>
    </row>
    <row r="69" spans="1:17" ht="18" customHeight="1">
      <c r="B69" s="425">
        <f>☆入力!AG19</f>
        <v>0</v>
      </c>
      <c r="C69" s="425">
        <f>SUMIF(☆入力!$B$16:$B$45,☆入力!$AG19,☆入力!$Y$16:$Y$45)</f>
        <v>0</v>
      </c>
      <c r="D69" s="425">
        <f>SUMIF(☆入力!$B$16:$B$45,☆入力!$AG19,☆入力!$AC$16:$AC$45)</f>
        <v>0</v>
      </c>
      <c r="E69" s="425">
        <f>SUMIFS(☆入力!$L$16:$L$45,☆入力!$H$16:$H$45,$E$65,☆入力!$B$16:$B$45,☆入力!$AG19)</f>
        <v>0</v>
      </c>
      <c r="F69" s="425">
        <f>SUMIFS(☆入力!$L$16:$L$45,☆入力!$H$16:$H$45,$F$65,☆入力!$B$16:$B$45,☆入力!$AG19)</f>
        <v>0</v>
      </c>
      <c r="G69" s="428">
        <f>☆入力!$AR$9*$E69*7</f>
        <v>0</v>
      </c>
      <c r="H69" s="428">
        <f>☆入力!$AR$9*$F69*15</f>
        <v>0</v>
      </c>
      <c r="I69" s="454">
        <f>☆入力!$P$12*10000*2</f>
        <v>0</v>
      </c>
      <c r="J69" s="428">
        <f>SUM(G69:H69)</f>
        <v>0</v>
      </c>
      <c r="K69" s="430">
        <f t="shared" si="17"/>
        <v>0</v>
      </c>
      <c r="L69" s="428">
        <f>F69*3000*1</f>
        <v>0</v>
      </c>
      <c r="M69" s="428">
        <f>☆入力!$P$12*8000*2</f>
        <v>0</v>
      </c>
      <c r="N69" s="432">
        <f t="shared" si="18"/>
        <v>0</v>
      </c>
      <c r="O69" s="430">
        <f t="shared" si="19"/>
        <v>0</v>
      </c>
      <c r="P69" s="393">
        <f t="shared" si="20"/>
        <v>0</v>
      </c>
    </row>
    <row r="70" spans="1:17" ht="18" customHeight="1">
      <c r="C70" s="251">
        <f>SUM(C66:C69)</f>
        <v>0</v>
      </c>
      <c r="D70" s="251">
        <f>SUM(D66:D69)</f>
        <v>0</v>
      </c>
      <c r="G70" s="452">
        <f>SUM(G66:G69)</f>
        <v>0</v>
      </c>
      <c r="I70" s="452">
        <f>SUM(I66:I69)</f>
        <v>0</v>
      </c>
      <c r="K70" s="452">
        <f>SUM(K66:K69)</f>
        <v>0</v>
      </c>
      <c r="O70" s="452">
        <f>SUM(O66:O69)</f>
        <v>0</v>
      </c>
      <c r="P70" s="453">
        <f>SUM(P66:P69)</f>
        <v>0</v>
      </c>
    </row>
    <row r="74" spans="1:17" ht="18" customHeight="1">
      <c r="A74" s="251" t="s">
        <v>87</v>
      </c>
      <c r="B74" s="459">
        <f>☆入力!AG16</f>
        <v>0</v>
      </c>
      <c r="E74" s="251">
        <v>12</v>
      </c>
      <c r="F74" s="251">
        <v>12</v>
      </c>
      <c r="G74" s="251">
        <v>12</v>
      </c>
      <c r="H74" s="251">
        <v>12</v>
      </c>
      <c r="I74" s="251">
        <v>12</v>
      </c>
      <c r="J74" s="251">
        <v>12</v>
      </c>
      <c r="K74" s="251">
        <v>12</v>
      </c>
      <c r="L74" s="251">
        <v>12</v>
      </c>
      <c r="M74" s="251">
        <v>12</v>
      </c>
      <c r="N74" s="251">
        <v>12</v>
      </c>
      <c r="O74" s="251">
        <v>12</v>
      </c>
      <c r="P74" s="251" t="s">
        <v>88</v>
      </c>
    </row>
    <row r="75" spans="1:17" ht="18" customHeight="1">
      <c r="B75" s="251" t="s">
        <v>89</v>
      </c>
      <c r="C75" s="251" t="s">
        <v>90</v>
      </c>
      <c r="D75" s="251" t="s">
        <v>37</v>
      </c>
      <c r="E75" s="457">
        <v>0</v>
      </c>
      <c r="F75" s="457">
        <v>1</v>
      </c>
      <c r="G75" s="457">
        <v>2</v>
      </c>
      <c r="H75" s="457">
        <v>3</v>
      </c>
      <c r="I75" s="457">
        <v>4</v>
      </c>
      <c r="J75" s="457">
        <v>5</v>
      </c>
      <c r="K75" s="457">
        <v>6</v>
      </c>
      <c r="L75" s="457">
        <v>7</v>
      </c>
      <c r="M75" s="457">
        <v>8</v>
      </c>
      <c r="N75" s="457">
        <v>9</v>
      </c>
      <c r="O75" s="457">
        <v>10</v>
      </c>
      <c r="P75" s="251" t="s">
        <v>91</v>
      </c>
    </row>
    <row r="76" spans="1:17" ht="18" customHeight="1">
      <c r="B76" s="458"/>
      <c r="C76" s="393">
        <f>C66</f>
        <v>0</v>
      </c>
      <c r="D76" s="393">
        <f>K66</f>
        <v>0</v>
      </c>
      <c r="E76" s="463">
        <f>($C76+$D76)*E$75*E$74</f>
        <v>0</v>
      </c>
      <c r="F76" s="463">
        <f>($C$76+$D$76)*F$75*F$74</f>
        <v>0</v>
      </c>
      <c r="G76" s="463">
        <f>($C$76+$D$76)*G$75*G$74</f>
        <v>0</v>
      </c>
      <c r="H76" s="463">
        <f t="shared" ref="H76:O76" si="21">($C$76+$D$76)*H$75*H$74</f>
        <v>0</v>
      </c>
      <c r="I76" s="463">
        <f t="shared" si="21"/>
        <v>0</v>
      </c>
      <c r="J76" s="463">
        <f t="shared" si="21"/>
        <v>0</v>
      </c>
      <c r="K76" s="463">
        <f t="shared" si="21"/>
        <v>0</v>
      </c>
      <c r="L76" s="463">
        <f t="shared" si="21"/>
        <v>0</v>
      </c>
      <c r="M76" s="463">
        <f t="shared" si="21"/>
        <v>0</v>
      </c>
      <c r="N76" s="463">
        <f t="shared" si="21"/>
        <v>0</v>
      </c>
      <c r="O76" s="463">
        <f t="shared" si="21"/>
        <v>0</v>
      </c>
      <c r="P76" s="251" t="s">
        <v>7</v>
      </c>
      <c r="Q76" s="251" t="s">
        <v>92</v>
      </c>
    </row>
    <row r="77" spans="1:17" ht="18" customHeight="1">
      <c r="B77" s="458"/>
      <c r="C77" s="393">
        <f>C66</f>
        <v>0</v>
      </c>
      <c r="D77" s="393">
        <f>P66</f>
        <v>0</v>
      </c>
      <c r="E77" s="465">
        <f>($C77+$D77)*E$75*E$74</f>
        <v>0</v>
      </c>
      <c r="F77" s="465">
        <f t="shared" ref="F77:O77" si="22">($C77+$D77)*F$75*F$74</f>
        <v>0</v>
      </c>
      <c r="G77" s="465">
        <f t="shared" si="22"/>
        <v>0</v>
      </c>
      <c r="H77" s="465">
        <f t="shared" si="22"/>
        <v>0</v>
      </c>
      <c r="I77" s="465">
        <f t="shared" si="22"/>
        <v>0</v>
      </c>
      <c r="J77" s="465">
        <f t="shared" si="22"/>
        <v>0</v>
      </c>
      <c r="K77" s="465">
        <f t="shared" si="22"/>
        <v>0</v>
      </c>
      <c r="L77" s="465">
        <f t="shared" si="22"/>
        <v>0</v>
      </c>
      <c r="M77" s="465">
        <f t="shared" si="22"/>
        <v>0</v>
      </c>
      <c r="N77" s="465">
        <f t="shared" si="22"/>
        <v>0</v>
      </c>
      <c r="O77" s="465">
        <f t="shared" si="22"/>
        <v>0</v>
      </c>
      <c r="P77" s="251" t="s">
        <v>7</v>
      </c>
      <c r="Q77" s="251" t="s">
        <v>77</v>
      </c>
    </row>
    <row r="78" spans="1:17" ht="18" customHeight="1">
      <c r="B78" s="452">
        <f ca="1">☆入力!AO16</f>
        <v>0</v>
      </c>
      <c r="C78" s="393">
        <f>D66</f>
        <v>0</v>
      </c>
      <c r="D78" s="393">
        <v>0</v>
      </c>
      <c r="E78" s="464">
        <f ca="1">(($C78+$D78)*E$75*E$74)+$B78</f>
        <v>0</v>
      </c>
      <c r="F78" s="464">
        <f ca="1">(($C78+$D78)*F$75*F$74)+$B78</f>
        <v>0</v>
      </c>
      <c r="G78" s="464">
        <f ca="1">(($C78+$D78)*G$75*G$74)+$B78</f>
        <v>0</v>
      </c>
      <c r="H78" s="464">
        <f ca="1">(($C78+$D78)*H$75*H$74)+$B78</f>
        <v>0</v>
      </c>
      <c r="I78" s="464">
        <f t="shared" ref="E78:O79" ca="1" si="23">(($C78+$D78)*I$75*I$74)+$B78</f>
        <v>0</v>
      </c>
      <c r="J78" s="464">
        <f t="shared" ca="1" si="23"/>
        <v>0</v>
      </c>
      <c r="K78" s="464">
        <f t="shared" ca="1" si="23"/>
        <v>0</v>
      </c>
      <c r="L78" s="464">
        <f t="shared" ca="1" si="23"/>
        <v>0</v>
      </c>
      <c r="M78" s="464">
        <f t="shared" ca="1" si="23"/>
        <v>0</v>
      </c>
      <c r="N78" s="464">
        <f t="shared" ca="1" si="23"/>
        <v>0</v>
      </c>
      <c r="O78" s="464">
        <f t="shared" ca="1" si="23"/>
        <v>0</v>
      </c>
      <c r="P78" s="251" t="s">
        <v>93</v>
      </c>
      <c r="Q78" s="251" t="s">
        <v>92</v>
      </c>
    </row>
    <row r="79" spans="1:17" ht="18" customHeight="1">
      <c r="B79" s="452">
        <f ca="1">☆入力!AO16</f>
        <v>0</v>
      </c>
      <c r="C79" s="393">
        <f>D66</f>
        <v>0</v>
      </c>
      <c r="D79" s="393">
        <f>O66</f>
        <v>0</v>
      </c>
      <c r="E79" s="465">
        <f t="shared" ca="1" si="23"/>
        <v>0</v>
      </c>
      <c r="F79" s="465">
        <f t="shared" ca="1" si="23"/>
        <v>0</v>
      </c>
      <c r="G79" s="465">
        <f t="shared" ca="1" si="23"/>
        <v>0</v>
      </c>
      <c r="H79" s="465">
        <f t="shared" ca="1" si="23"/>
        <v>0</v>
      </c>
      <c r="I79" s="465">
        <f t="shared" ca="1" si="23"/>
        <v>0</v>
      </c>
      <c r="J79" s="465">
        <f t="shared" ca="1" si="23"/>
        <v>0</v>
      </c>
      <c r="K79" s="465">
        <f t="shared" ca="1" si="23"/>
        <v>0</v>
      </c>
      <c r="L79" s="465">
        <f t="shared" ca="1" si="23"/>
        <v>0</v>
      </c>
      <c r="M79" s="465">
        <f t="shared" ca="1" si="23"/>
        <v>0</v>
      </c>
      <c r="N79" s="465">
        <f t="shared" ca="1" si="23"/>
        <v>0</v>
      </c>
      <c r="O79" s="465">
        <f t="shared" ca="1" si="23"/>
        <v>0</v>
      </c>
      <c r="P79" s="251" t="s">
        <v>93</v>
      </c>
      <c r="Q79" s="251" t="s">
        <v>77</v>
      </c>
    </row>
    <row r="82" spans="1:17" ht="18" customHeight="1">
      <c r="A82" s="251" t="s">
        <v>87</v>
      </c>
      <c r="B82" s="460">
        <f>B67</f>
        <v>0</v>
      </c>
      <c r="E82" s="251">
        <v>12</v>
      </c>
      <c r="F82" s="251">
        <v>12</v>
      </c>
      <c r="G82" s="251">
        <v>12</v>
      </c>
      <c r="H82" s="251">
        <v>12</v>
      </c>
      <c r="I82" s="251">
        <v>12</v>
      </c>
      <c r="J82" s="251">
        <v>12</v>
      </c>
      <c r="K82" s="251">
        <v>12</v>
      </c>
      <c r="L82" s="251">
        <v>12</v>
      </c>
      <c r="M82" s="251">
        <v>12</v>
      </c>
      <c r="N82" s="251">
        <v>12</v>
      </c>
      <c r="O82" s="251">
        <v>12</v>
      </c>
      <c r="P82" s="251" t="s">
        <v>88</v>
      </c>
    </row>
    <row r="83" spans="1:17" ht="18" customHeight="1">
      <c r="B83" s="251" t="s">
        <v>89</v>
      </c>
      <c r="C83" s="251" t="s">
        <v>90</v>
      </c>
      <c r="D83" s="251" t="s">
        <v>37</v>
      </c>
      <c r="E83" s="461">
        <v>0</v>
      </c>
      <c r="F83" s="461">
        <v>1</v>
      </c>
      <c r="G83" s="461">
        <v>2</v>
      </c>
      <c r="H83" s="461">
        <v>3</v>
      </c>
      <c r="I83" s="461">
        <v>4</v>
      </c>
      <c r="J83" s="461">
        <v>5</v>
      </c>
      <c r="K83" s="461">
        <v>6</v>
      </c>
      <c r="L83" s="461">
        <v>7</v>
      </c>
      <c r="M83" s="461">
        <v>8</v>
      </c>
      <c r="N83" s="461">
        <v>9</v>
      </c>
      <c r="O83" s="461">
        <v>10</v>
      </c>
      <c r="P83" s="251" t="s">
        <v>91</v>
      </c>
    </row>
    <row r="84" spans="1:17" ht="18" customHeight="1">
      <c r="B84" s="462"/>
      <c r="C84" s="456">
        <f>C67</f>
        <v>0</v>
      </c>
      <c r="D84" s="456">
        <f>K67</f>
        <v>0</v>
      </c>
      <c r="E84" s="464">
        <f t="shared" ref="E84:O85" si="24">($C84+$D84)*E$75*E$74</f>
        <v>0</v>
      </c>
      <c r="F84" s="464">
        <f t="shared" si="24"/>
        <v>0</v>
      </c>
      <c r="G84" s="464">
        <f t="shared" si="24"/>
        <v>0</v>
      </c>
      <c r="H84" s="464">
        <f t="shared" si="24"/>
        <v>0</v>
      </c>
      <c r="I84" s="464">
        <f t="shared" si="24"/>
        <v>0</v>
      </c>
      <c r="J84" s="464">
        <f t="shared" si="24"/>
        <v>0</v>
      </c>
      <c r="K84" s="464">
        <f t="shared" si="24"/>
        <v>0</v>
      </c>
      <c r="L84" s="464">
        <f t="shared" si="24"/>
        <v>0</v>
      </c>
      <c r="M84" s="464">
        <f t="shared" si="24"/>
        <v>0</v>
      </c>
      <c r="N84" s="464">
        <f t="shared" si="24"/>
        <v>0</v>
      </c>
      <c r="O84" s="464">
        <f t="shared" si="24"/>
        <v>0</v>
      </c>
      <c r="P84" s="251" t="s">
        <v>7</v>
      </c>
      <c r="Q84" s="251" t="s">
        <v>92</v>
      </c>
    </row>
    <row r="85" spans="1:17" ht="18" customHeight="1">
      <c r="B85" s="462"/>
      <c r="C85" s="456">
        <f>C67</f>
        <v>0</v>
      </c>
      <c r="D85" s="456">
        <f>P67</f>
        <v>0</v>
      </c>
      <c r="E85" s="465">
        <f t="shared" si="24"/>
        <v>0</v>
      </c>
      <c r="F85" s="465">
        <f t="shared" si="24"/>
        <v>0</v>
      </c>
      <c r="G85" s="465">
        <f t="shared" si="24"/>
        <v>0</v>
      </c>
      <c r="H85" s="465">
        <f t="shared" si="24"/>
        <v>0</v>
      </c>
      <c r="I85" s="465">
        <f t="shared" si="24"/>
        <v>0</v>
      </c>
      <c r="J85" s="465">
        <f t="shared" si="24"/>
        <v>0</v>
      </c>
      <c r="K85" s="465">
        <f t="shared" si="24"/>
        <v>0</v>
      </c>
      <c r="L85" s="465">
        <f t="shared" si="24"/>
        <v>0</v>
      </c>
      <c r="M85" s="465">
        <f t="shared" si="24"/>
        <v>0</v>
      </c>
      <c r="N85" s="465">
        <f t="shared" si="24"/>
        <v>0</v>
      </c>
      <c r="O85" s="465">
        <f t="shared" si="24"/>
        <v>0</v>
      </c>
      <c r="P85" s="251" t="s">
        <v>7</v>
      </c>
      <c r="Q85" s="251" t="s">
        <v>77</v>
      </c>
    </row>
    <row r="86" spans="1:17" ht="18" customHeight="1">
      <c r="B86" s="453">
        <f ca="1">☆入力!AO17</f>
        <v>0</v>
      </c>
      <c r="C86" s="456">
        <f>D67</f>
        <v>0</v>
      </c>
      <c r="D86" s="456">
        <v>0</v>
      </c>
      <c r="E86" s="464">
        <f t="shared" ref="E86:E87" ca="1" si="25">(($C86+$D86)*E$75*E$74)+$B86</f>
        <v>0</v>
      </c>
      <c r="F86" s="464">
        <f t="shared" ref="F86:O87" ca="1" si="26">(($C86+$D86)*F$75*F$74)+$B86</f>
        <v>0</v>
      </c>
      <c r="G86" s="464">
        <f t="shared" ca="1" si="26"/>
        <v>0</v>
      </c>
      <c r="H86" s="464">
        <f t="shared" ca="1" si="26"/>
        <v>0</v>
      </c>
      <c r="I86" s="464">
        <f t="shared" ca="1" si="26"/>
        <v>0</v>
      </c>
      <c r="J86" s="464">
        <f t="shared" ca="1" si="26"/>
        <v>0</v>
      </c>
      <c r="K86" s="464">
        <f t="shared" ca="1" si="26"/>
        <v>0</v>
      </c>
      <c r="L86" s="464">
        <f t="shared" ca="1" si="26"/>
        <v>0</v>
      </c>
      <c r="M86" s="464">
        <f t="shared" ca="1" si="26"/>
        <v>0</v>
      </c>
      <c r="N86" s="464">
        <f t="shared" ca="1" si="26"/>
        <v>0</v>
      </c>
      <c r="O86" s="464">
        <f t="shared" ca="1" si="26"/>
        <v>0</v>
      </c>
      <c r="P86" s="251" t="s">
        <v>93</v>
      </c>
      <c r="Q86" s="251" t="s">
        <v>92</v>
      </c>
    </row>
    <row r="87" spans="1:17" ht="18" customHeight="1">
      <c r="B87" s="453">
        <f ca="1">☆入力!AO17</f>
        <v>0</v>
      </c>
      <c r="C87" s="456">
        <f>D67</f>
        <v>0</v>
      </c>
      <c r="D87" s="456">
        <f>O67</f>
        <v>0</v>
      </c>
      <c r="E87" s="465">
        <f t="shared" ca="1" si="25"/>
        <v>0</v>
      </c>
      <c r="F87" s="465">
        <f t="shared" ca="1" si="26"/>
        <v>0</v>
      </c>
      <c r="G87" s="465">
        <f t="shared" ca="1" si="26"/>
        <v>0</v>
      </c>
      <c r="H87" s="465">
        <f t="shared" ca="1" si="26"/>
        <v>0</v>
      </c>
      <c r="I87" s="465">
        <f t="shared" ca="1" si="26"/>
        <v>0</v>
      </c>
      <c r="J87" s="465">
        <f t="shared" ca="1" si="26"/>
        <v>0</v>
      </c>
      <c r="K87" s="465">
        <f t="shared" ca="1" si="26"/>
        <v>0</v>
      </c>
      <c r="L87" s="465">
        <f t="shared" ca="1" si="26"/>
        <v>0</v>
      </c>
      <c r="M87" s="465">
        <f t="shared" ca="1" si="26"/>
        <v>0</v>
      </c>
      <c r="N87" s="465">
        <f t="shared" ca="1" si="26"/>
        <v>0</v>
      </c>
      <c r="O87" s="465">
        <f t="shared" ca="1" si="26"/>
        <v>0</v>
      </c>
      <c r="P87" s="251" t="s">
        <v>93</v>
      </c>
      <c r="Q87" s="251" t="s">
        <v>77</v>
      </c>
    </row>
    <row r="90" spans="1:17" ht="18" customHeight="1">
      <c r="A90" s="251" t="s">
        <v>87</v>
      </c>
      <c r="B90" s="460">
        <f>B68</f>
        <v>0</v>
      </c>
      <c r="E90" s="251">
        <v>12</v>
      </c>
      <c r="F90" s="251">
        <v>12</v>
      </c>
      <c r="G90" s="251">
        <v>12</v>
      </c>
      <c r="H90" s="251">
        <v>12</v>
      </c>
      <c r="I90" s="251">
        <v>12</v>
      </c>
      <c r="J90" s="251">
        <v>12</v>
      </c>
      <c r="K90" s="251">
        <v>12</v>
      </c>
      <c r="L90" s="251">
        <v>12</v>
      </c>
      <c r="M90" s="251">
        <v>12</v>
      </c>
      <c r="N90" s="251">
        <v>12</v>
      </c>
      <c r="O90" s="251">
        <v>12</v>
      </c>
      <c r="P90" s="251" t="s">
        <v>88</v>
      </c>
    </row>
    <row r="91" spans="1:17" ht="18" customHeight="1">
      <c r="B91" s="251" t="s">
        <v>89</v>
      </c>
      <c r="C91" s="251" t="s">
        <v>90</v>
      </c>
      <c r="D91" s="251" t="s">
        <v>37</v>
      </c>
      <c r="E91" s="461">
        <v>0</v>
      </c>
      <c r="F91" s="461">
        <v>1</v>
      </c>
      <c r="G91" s="461">
        <v>2</v>
      </c>
      <c r="H91" s="461">
        <v>3</v>
      </c>
      <c r="I91" s="461">
        <v>4</v>
      </c>
      <c r="J91" s="461">
        <v>5</v>
      </c>
      <c r="K91" s="461">
        <v>6</v>
      </c>
      <c r="L91" s="461">
        <v>7</v>
      </c>
      <c r="M91" s="461">
        <v>8</v>
      </c>
      <c r="N91" s="461">
        <v>9</v>
      </c>
      <c r="O91" s="461">
        <v>10</v>
      </c>
      <c r="P91" s="251" t="s">
        <v>91</v>
      </c>
    </row>
    <row r="92" spans="1:17" ht="18" customHeight="1">
      <c r="B92" s="462"/>
      <c r="C92" s="456">
        <f>C68</f>
        <v>0</v>
      </c>
      <c r="D92" s="456">
        <f>K68</f>
        <v>0</v>
      </c>
      <c r="E92" s="464">
        <f t="shared" ref="E92:O93" si="27">($C92+$D92)*E$75*E$74</f>
        <v>0</v>
      </c>
      <c r="F92" s="464">
        <f t="shared" si="27"/>
        <v>0</v>
      </c>
      <c r="G92" s="464">
        <f t="shared" si="27"/>
        <v>0</v>
      </c>
      <c r="H92" s="464">
        <f t="shared" si="27"/>
        <v>0</v>
      </c>
      <c r="I92" s="464">
        <f t="shared" si="27"/>
        <v>0</v>
      </c>
      <c r="J92" s="464">
        <f t="shared" si="27"/>
        <v>0</v>
      </c>
      <c r="K92" s="464">
        <f t="shared" si="27"/>
        <v>0</v>
      </c>
      <c r="L92" s="464">
        <f t="shared" si="27"/>
        <v>0</v>
      </c>
      <c r="M92" s="464">
        <f t="shared" si="27"/>
        <v>0</v>
      </c>
      <c r="N92" s="464">
        <f t="shared" si="27"/>
        <v>0</v>
      </c>
      <c r="O92" s="464">
        <f t="shared" si="27"/>
        <v>0</v>
      </c>
      <c r="P92" s="251" t="s">
        <v>7</v>
      </c>
      <c r="Q92" s="251" t="s">
        <v>92</v>
      </c>
    </row>
    <row r="93" spans="1:17" ht="18" customHeight="1">
      <c r="B93" s="462"/>
      <c r="C93" s="456">
        <f>C68</f>
        <v>0</v>
      </c>
      <c r="D93" s="456">
        <f>P68</f>
        <v>0</v>
      </c>
      <c r="E93" s="465">
        <f t="shared" si="27"/>
        <v>0</v>
      </c>
      <c r="F93" s="465">
        <f t="shared" si="27"/>
        <v>0</v>
      </c>
      <c r="G93" s="465">
        <f t="shared" si="27"/>
        <v>0</v>
      </c>
      <c r="H93" s="465">
        <f t="shared" si="27"/>
        <v>0</v>
      </c>
      <c r="I93" s="465">
        <f t="shared" si="27"/>
        <v>0</v>
      </c>
      <c r="J93" s="465">
        <f t="shared" si="27"/>
        <v>0</v>
      </c>
      <c r="K93" s="465">
        <f t="shared" si="27"/>
        <v>0</v>
      </c>
      <c r="L93" s="465">
        <f t="shared" si="27"/>
        <v>0</v>
      </c>
      <c r="M93" s="465">
        <f t="shared" si="27"/>
        <v>0</v>
      </c>
      <c r="N93" s="465">
        <f t="shared" si="27"/>
        <v>0</v>
      </c>
      <c r="O93" s="465">
        <f t="shared" si="27"/>
        <v>0</v>
      </c>
      <c r="P93" s="251" t="s">
        <v>7</v>
      </c>
      <c r="Q93" s="251" t="s">
        <v>77</v>
      </c>
    </row>
    <row r="94" spans="1:17" ht="18" customHeight="1">
      <c r="B94" s="453">
        <f ca="1">☆入力!AO18</f>
        <v>0</v>
      </c>
      <c r="C94" s="456">
        <f>D68</f>
        <v>0</v>
      </c>
      <c r="D94" s="456">
        <v>0</v>
      </c>
      <c r="E94" s="464">
        <f t="shared" ref="E94:O95" ca="1" si="28">(($C94+$D94)*E$75*E$74)+$B94</f>
        <v>0</v>
      </c>
      <c r="F94" s="464">
        <f t="shared" ca="1" si="28"/>
        <v>0</v>
      </c>
      <c r="G94" s="464">
        <f t="shared" ca="1" si="28"/>
        <v>0</v>
      </c>
      <c r="H94" s="464">
        <f t="shared" ca="1" si="28"/>
        <v>0</v>
      </c>
      <c r="I94" s="464">
        <f t="shared" ca="1" si="28"/>
        <v>0</v>
      </c>
      <c r="J94" s="464">
        <f t="shared" ca="1" si="28"/>
        <v>0</v>
      </c>
      <c r="K94" s="464">
        <f t="shared" ca="1" si="28"/>
        <v>0</v>
      </c>
      <c r="L94" s="464">
        <f t="shared" ca="1" si="28"/>
        <v>0</v>
      </c>
      <c r="M94" s="464">
        <f t="shared" ca="1" si="28"/>
        <v>0</v>
      </c>
      <c r="N94" s="464">
        <f t="shared" ca="1" si="28"/>
        <v>0</v>
      </c>
      <c r="O94" s="464">
        <f t="shared" ca="1" si="28"/>
        <v>0</v>
      </c>
      <c r="P94" s="251" t="s">
        <v>93</v>
      </c>
      <c r="Q94" s="251" t="s">
        <v>92</v>
      </c>
    </row>
    <row r="95" spans="1:17" ht="18" customHeight="1">
      <c r="B95" s="453">
        <f ca="1">☆入力!AO18</f>
        <v>0</v>
      </c>
      <c r="C95" s="456">
        <f>D68</f>
        <v>0</v>
      </c>
      <c r="D95" s="456">
        <f>O68</f>
        <v>0</v>
      </c>
      <c r="E95" s="465">
        <f t="shared" ca="1" si="28"/>
        <v>0</v>
      </c>
      <c r="F95" s="465">
        <f t="shared" ca="1" si="28"/>
        <v>0</v>
      </c>
      <c r="G95" s="465">
        <f t="shared" ca="1" si="28"/>
        <v>0</v>
      </c>
      <c r="H95" s="465">
        <f t="shared" ca="1" si="28"/>
        <v>0</v>
      </c>
      <c r="I95" s="465">
        <f t="shared" ca="1" si="28"/>
        <v>0</v>
      </c>
      <c r="J95" s="465">
        <f t="shared" ca="1" si="28"/>
        <v>0</v>
      </c>
      <c r="K95" s="465">
        <f t="shared" ca="1" si="28"/>
        <v>0</v>
      </c>
      <c r="L95" s="465">
        <f t="shared" ca="1" si="28"/>
        <v>0</v>
      </c>
      <c r="M95" s="465">
        <f t="shared" ca="1" si="28"/>
        <v>0</v>
      </c>
      <c r="N95" s="465">
        <f t="shared" ca="1" si="28"/>
        <v>0</v>
      </c>
      <c r="O95" s="465">
        <f t="shared" ca="1" si="28"/>
        <v>0</v>
      </c>
      <c r="P95" s="251" t="s">
        <v>93</v>
      </c>
      <c r="Q95" s="251" t="s">
        <v>77</v>
      </c>
    </row>
    <row r="98" spans="1:17" ht="18" customHeight="1">
      <c r="A98" s="251" t="s">
        <v>87</v>
      </c>
      <c r="B98" s="460">
        <f>B69</f>
        <v>0</v>
      </c>
      <c r="E98" s="251">
        <v>12</v>
      </c>
      <c r="F98" s="251">
        <v>12</v>
      </c>
      <c r="G98" s="251">
        <v>12</v>
      </c>
      <c r="H98" s="251">
        <v>12</v>
      </c>
      <c r="I98" s="251">
        <v>12</v>
      </c>
      <c r="J98" s="251">
        <v>12</v>
      </c>
      <c r="K98" s="251">
        <v>12</v>
      </c>
      <c r="L98" s="251">
        <v>12</v>
      </c>
      <c r="M98" s="251">
        <v>12</v>
      </c>
      <c r="N98" s="251">
        <v>12</v>
      </c>
      <c r="O98" s="251">
        <v>12</v>
      </c>
      <c r="P98" s="251" t="s">
        <v>88</v>
      </c>
    </row>
    <row r="99" spans="1:17" ht="18" customHeight="1">
      <c r="B99" s="251" t="s">
        <v>89</v>
      </c>
      <c r="C99" s="251" t="s">
        <v>90</v>
      </c>
      <c r="D99" s="251" t="s">
        <v>37</v>
      </c>
      <c r="E99" s="461">
        <v>0</v>
      </c>
      <c r="F99" s="461">
        <v>1</v>
      </c>
      <c r="G99" s="461">
        <v>2</v>
      </c>
      <c r="H99" s="461">
        <v>3</v>
      </c>
      <c r="I99" s="461">
        <v>4</v>
      </c>
      <c r="J99" s="461">
        <v>5</v>
      </c>
      <c r="K99" s="461">
        <v>6</v>
      </c>
      <c r="L99" s="461">
        <v>7</v>
      </c>
      <c r="M99" s="461">
        <v>8</v>
      </c>
      <c r="N99" s="461">
        <v>9</v>
      </c>
      <c r="O99" s="461">
        <v>10</v>
      </c>
      <c r="P99" s="251" t="s">
        <v>91</v>
      </c>
    </row>
    <row r="100" spans="1:17" ht="18" customHeight="1">
      <c r="B100" s="462"/>
      <c r="C100" s="456">
        <f>C69</f>
        <v>0</v>
      </c>
      <c r="D100" s="456">
        <f>K69</f>
        <v>0</v>
      </c>
      <c r="E100" s="464">
        <f t="shared" ref="E100:O101" si="29">($C100+$D100)*E$75*E$74</f>
        <v>0</v>
      </c>
      <c r="F100" s="464">
        <f t="shared" si="29"/>
        <v>0</v>
      </c>
      <c r="G100" s="464">
        <f t="shared" si="29"/>
        <v>0</v>
      </c>
      <c r="H100" s="464">
        <f t="shared" si="29"/>
        <v>0</v>
      </c>
      <c r="I100" s="464">
        <f t="shared" si="29"/>
        <v>0</v>
      </c>
      <c r="J100" s="464">
        <f t="shared" si="29"/>
        <v>0</v>
      </c>
      <c r="K100" s="464">
        <f t="shared" si="29"/>
        <v>0</v>
      </c>
      <c r="L100" s="464">
        <f t="shared" si="29"/>
        <v>0</v>
      </c>
      <c r="M100" s="464">
        <f t="shared" si="29"/>
        <v>0</v>
      </c>
      <c r="N100" s="464">
        <f t="shared" si="29"/>
        <v>0</v>
      </c>
      <c r="O100" s="464">
        <f t="shared" si="29"/>
        <v>0</v>
      </c>
      <c r="P100" s="251" t="s">
        <v>7</v>
      </c>
      <c r="Q100" s="251" t="s">
        <v>92</v>
      </c>
    </row>
    <row r="101" spans="1:17" ht="18" customHeight="1">
      <c r="B101" s="462"/>
      <c r="C101" s="456">
        <f>C69</f>
        <v>0</v>
      </c>
      <c r="D101" s="456">
        <f>P69</f>
        <v>0</v>
      </c>
      <c r="E101" s="465">
        <f t="shared" si="29"/>
        <v>0</v>
      </c>
      <c r="F101" s="465">
        <f t="shared" si="29"/>
        <v>0</v>
      </c>
      <c r="G101" s="465">
        <f t="shared" si="29"/>
        <v>0</v>
      </c>
      <c r="H101" s="465">
        <f t="shared" si="29"/>
        <v>0</v>
      </c>
      <c r="I101" s="465">
        <f t="shared" si="29"/>
        <v>0</v>
      </c>
      <c r="J101" s="465">
        <f t="shared" si="29"/>
        <v>0</v>
      </c>
      <c r="K101" s="465">
        <f t="shared" si="29"/>
        <v>0</v>
      </c>
      <c r="L101" s="465">
        <f t="shared" si="29"/>
        <v>0</v>
      </c>
      <c r="M101" s="465">
        <f t="shared" si="29"/>
        <v>0</v>
      </c>
      <c r="N101" s="465">
        <f t="shared" si="29"/>
        <v>0</v>
      </c>
      <c r="O101" s="465">
        <f t="shared" si="29"/>
        <v>0</v>
      </c>
      <c r="P101" s="251" t="s">
        <v>7</v>
      </c>
      <c r="Q101" s="251" t="s">
        <v>77</v>
      </c>
    </row>
    <row r="102" spans="1:17" ht="18" customHeight="1">
      <c r="B102" s="453">
        <f ca="1">☆入力!AO19</f>
        <v>0</v>
      </c>
      <c r="C102" s="456">
        <f>D69</f>
        <v>0</v>
      </c>
      <c r="D102" s="456">
        <v>0</v>
      </c>
      <c r="E102" s="464">
        <f t="shared" ref="E102:O103" ca="1" si="30">(($C102+$D102)*E$75*E$74)+$B102</f>
        <v>0</v>
      </c>
      <c r="F102" s="464">
        <f t="shared" ca="1" si="30"/>
        <v>0</v>
      </c>
      <c r="G102" s="464">
        <f t="shared" ca="1" si="30"/>
        <v>0</v>
      </c>
      <c r="H102" s="464">
        <f t="shared" ca="1" si="30"/>
        <v>0</v>
      </c>
      <c r="I102" s="464">
        <f t="shared" ca="1" si="30"/>
        <v>0</v>
      </c>
      <c r="J102" s="464">
        <f t="shared" ca="1" si="30"/>
        <v>0</v>
      </c>
      <c r="K102" s="464">
        <f t="shared" ca="1" si="30"/>
        <v>0</v>
      </c>
      <c r="L102" s="464">
        <f t="shared" ca="1" si="30"/>
        <v>0</v>
      </c>
      <c r="M102" s="464">
        <f t="shared" ca="1" si="30"/>
        <v>0</v>
      </c>
      <c r="N102" s="464">
        <f t="shared" ca="1" si="30"/>
        <v>0</v>
      </c>
      <c r="O102" s="464">
        <f t="shared" ca="1" si="30"/>
        <v>0</v>
      </c>
      <c r="P102" s="251" t="s">
        <v>93</v>
      </c>
      <c r="Q102" s="251" t="s">
        <v>92</v>
      </c>
    </row>
    <row r="103" spans="1:17" ht="18" customHeight="1">
      <c r="B103" s="453">
        <f ca="1">☆入力!AO19</f>
        <v>0</v>
      </c>
      <c r="C103" s="456">
        <f>D69</f>
        <v>0</v>
      </c>
      <c r="D103" s="456">
        <f>O69</f>
        <v>0</v>
      </c>
      <c r="E103" s="465">
        <f t="shared" ca="1" si="30"/>
        <v>0</v>
      </c>
      <c r="F103" s="465">
        <f t="shared" ca="1" si="30"/>
        <v>0</v>
      </c>
      <c r="G103" s="465">
        <f t="shared" ca="1" si="30"/>
        <v>0</v>
      </c>
      <c r="H103" s="465">
        <f t="shared" ca="1" si="30"/>
        <v>0</v>
      </c>
      <c r="I103" s="465">
        <f t="shared" ca="1" si="30"/>
        <v>0</v>
      </c>
      <c r="J103" s="465">
        <f t="shared" ca="1" si="30"/>
        <v>0</v>
      </c>
      <c r="K103" s="465">
        <f t="shared" ca="1" si="30"/>
        <v>0</v>
      </c>
      <c r="L103" s="465">
        <f t="shared" ca="1" si="30"/>
        <v>0</v>
      </c>
      <c r="M103" s="465">
        <f t="shared" ca="1" si="30"/>
        <v>0</v>
      </c>
      <c r="N103" s="465">
        <f t="shared" ca="1" si="30"/>
        <v>0</v>
      </c>
      <c r="O103" s="465">
        <f t="shared" ca="1" si="30"/>
        <v>0</v>
      </c>
      <c r="P103" s="251" t="s">
        <v>93</v>
      </c>
      <c r="Q103" s="251"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topLeftCell="O1" zoomScale="70" zoomScaleNormal="70" workbookViewId="0">
      <pane ySplit="1" topLeftCell="Y2" activePane="bottomLeft" state="frozen"/>
      <selection pane="bottomLeft" activeCell="A3" sqref="A3:BB3"/>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10"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54" s="535" customFormat="1" ht="35.25" customHeight="1">
      <c r="A1" s="535" t="s">
        <v>94</v>
      </c>
      <c r="B1" s="535" t="s">
        <v>95</v>
      </c>
      <c r="C1" s="535" t="s">
        <v>96</v>
      </c>
      <c r="D1" s="540" t="s">
        <v>97</v>
      </c>
      <c r="E1" s="540" t="s">
        <v>98</v>
      </c>
      <c r="F1" s="541" t="s">
        <v>99</v>
      </c>
      <c r="G1" s="607" t="s">
        <v>100</v>
      </c>
      <c r="H1" s="608" t="s">
        <v>101</v>
      </c>
      <c r="I1" s="609" t="s">
        <v>102</v>
      </c>
      <c r="J1" s="609" t="s">
        <v>103</v>
      </c>
      <c r="K1" s="540" t="s">
        <v>104</v>
      </c>
      <c r="L1" s="540" t="s">
        <v>96</v>
      </c>
      <c r="M1" s="540" t="s">
        <v>105</v>
      </c>
      <c r="N1" s="540" t="s">
        <v>106</v>
      </c>
      <c r="O1" s="536" t="s">
        <v>107</v>
      </c>
      <c r="P1" s="539" t="s">
        <v>108</v>
      </c>
      <c r="Q1" s="554" t="s">
        <v>109</v>
      </c>
      <c r="R1" s="556" t="s">
        <v>110</v>
      </c>
      <c r="S1" s="559" t="s">
        <v>111</v>
      </c>
      <c r="T1" s="560" t="s">
        <v>112</v>
      </c>
      <c r="U1" s="556" t="s">
        <v>113</v>
      </c>
      <c r="V1" s="559" t="s">
        <v>114</v>
      </c>
      <c r="W1" s="560" t="s">
        <v>115</v>
      </c>
      <c r="X1" s="556" t="s">
        <v>116</v>
      </c>
      <c r="Y1" s="559" t="s">
        <v>114</v>
      </c>
      <c r="Z1" s="560" t="s">
        <v>115</v>
      </c>
      <c r="AA1" s="537" t="s">
        <v>117</v>
      </c>
      <c r="AB1" s="537" t="s">
        <v>118</v>
      </c>
      <c r="AC1" s="535" t="s">
        <v>119</v>
      </c>
      <c r="AD1" s="538" t="s">
        <v>120</v>
      </c>
      <c r="AE1" s="538" t="s">
        <v>121</v>
      </c>
      <c r="AF1" s="538" t="s">
        <v>122</v>
      </c>
      <c r="AG1" s="538" t="s">
        <v>123</v>
      </c>
      <c r="AH1" s="535" t="s">
        <v>124</v>
      </c>
      <c r="AI1" s="535" t="s">
        <v>125</v>
      </c>
      <c r="AJ1" s="538" t="s">
        <v>126</v>
      </c>
    </row>
    <row r="2" spans="1:54" ht="18.75">
      <c r="A2" s="4">
        <v>0</v>
      </c>
      <c r="B2" s="4">
        <v>0</v>
      </c>
      <c r="C2" s="4">
        <v>1</v>
      </c>
      <c r="D2" s="208">
        <v>2</v>
      </c>
      <c r="E2" s="542">
        <v>3</v>
      </c>
      <c r="F2" s="542">
        <v>4</v>
      </c>
      <c r="G2" s="610">
        <v>5</v>
      </c>
      <c r="H2" s="610">
        <v>6</v>
      </c>
      <c r="I2" s="610">
        <v>7</v>
      </c>
      <c r="J2" s="610">
        <v>8</v>
      </c>
      <c r="K2" s="208">
        <v>9</v>
      </c>
      <c r="L2" s="208">
        <v>10</v>
      </c>
      <c r="M2" s="208">
        <v>11</v>
      </c>
      <c r="N2" s="208">
        <v>12</v>
      </c>
      <c r="O2" s="557">
        <v>13</v>
      </c>
      <c r="P2" s="551">
        <v>14</v>
      </c>
      <c r="Q2" s="555">
        <v>15</v>
      </c>
      <c r="R2" s="557">
        <v>16</v>
      </c>
      <c r="S2" s="551">
        <v>17</v>
      </c>
      <c r="T2" s="555">
        <v>18</v>
      </c>
      <c r="U2" s="557">
        <v>19</v>
      </c>
      <c r="V2" s="551">
        <v>20</v>
      </c>
      <c r="W2" s="555">
        <v>21</v>
      </c>
      <c r="X2" s="557">
        <v>22</v>
      </c>
      <c r="Y2" s="551">
        <v>23</v>
      </c>
      <c r="Z2" s="555">
        <v>24</v>
      </c>
      <c r="AA2" s="208">
        <v>25</v>
      </c>
      <c r="AB2" s="208">
        <v>26</v>
      </c>
      <c r="AC2" s="4">
        <v>27</v>
      </c>
      <c r="AD2" s="4">
        <v>28</v>
      </c>
      <c r="AE2" s="4">
        <v>29</v>
      </c>
      <c r="AF2" s="4">
        <v>30</v>
      </c>
      <c r="AG2" s="4">
        <v>31</v>
      </c>
      <c r="AH2" s="4">
        <v>32</v>
      </c>
      <c r="AI2" s="4">
        <v>33</v>
      </c>
      <c r="AJ2" s="4">
        <v>34</v>
      </c>
    </row>
    <row r="3" spans="1:54" s="564" customFormat="1" ht="70.150000000000006" customHeight="1">
      <c r="A3" s="755"/>
      <c r="B3" s="755"/>
      <c r="C3" s="755" t="s">
        <v>127</v>
      </c>
      <c r="D3" s="791" t="s">
        <v>128</v>
      </c>
      <c r="E3" s="791" t="s">
        <v>129</v>
      </c>
      <c r="F3" s="791" t="s">
        <v>130</v>
      </c>
      <c r="G3" s="792">
        <v>3.8</v>
      </c>
      <c r="H3" s="792">
        <v>440</v>
      </c>
      <c r="I3" s="793">
        <v>4800</v>
      </c>
      <c r="J3" s="793">
        <v>1200</v>
      </c>
      <c r="K3" s="791" t="s">
        <v>129</v>
      </c>
      <c r="L3" s="791" t="s">
        <v>131</v>
      </c>
      <c r="M3" s="791" t="s">
        <v>132</v>
      </c>
      <c r="N3" s="791" t="s">
        <v>133</v>
      </c>
      <c r="O3" s="794" t="s">
        <v>134</v>
      </c>
      <c r="P3" s="794" t="s">
        <v>134</v>
      </c>
      <c r="Q3" s="794" t="s">
        <v>134</v>
      </c>
      <c r="R3" s="794" t="s">
        <v>134</v>
      </c>
      <c r="S3" s="794" t="s">
        <v>134</v>
      </c>
      <c r="T3" s="794" t="s">
        <v>134</v>
      </c>
      <c r="U3" s="795" t="s">
        <v>134</v>
      </c>
      <c r="V3" s="796" t="s">
        <v>134</v>
      </c>
      <c r="W3" s="797" t="s">
        <v>134</v>
      </c>
      <c r="X3" s="798" t="s">
        <v>135</v>
      </c>
      <c r="Y3" s="799">
        <v>4800</v>
      </c>
      <c r="Z3" s="800">
        <v>1308</v>
      </c>
      <c r="AA3" s="791">
        <v>3.8</v>
      </c>
      <c r="AB3" s="791">
        <v>440</v>
      </c>
      <c r="AC3" s="755" t="s">
        <v>129</v>
      </c>
      <c r="AD3" s="755" t="s">
        <v>129</v>
      </c>
      <c r="AE3" s="755" t="s">
        <v>136</v>
      </c>
      <c r="AF3" s="755">
        <v>40000</v>
      </c>
      <c r="AG3" s="755" t="s">
        <v>137</v>
      </c>
      <c r="AH3" s="755" t="s">
        <v>131</v>
      </c>
      <c r="AI3" s="755">
        <v>1</v>
      </c>
      <c r="AJ3" s="755">
        <v>300</v>
      </c>
      <c r="AK3" s="801" t="s">
        <v>138</v>
      </c>
      <c r="AL3" s="749"/>
      <c r="AM3" s="755" t="s">
        <v>139</v>
      </c>
      <c r="AN3" s="749" t="s">
        <v>135</v>
      </c>
      <c r="AO3" s="755">
        <v>1200</v>
      </c>
      <c r="AP3" s="755"/>
      <c r="AQ3" s="752">
        <v>1189</v>
      </c>
      <c r="AR3" s="802">
        <v>0.25</v>
      </c>
      <c r="AS3" s="754">
        <v>1200</v>
      </c>
      <c r="AT3" s="755"/>
      <c r="AU3" s="755"/>
      <c r="AV3" s="755"/>
      <c r="AW3" s="755"/>
      <c r="AX3" s="755"/>
      <c r="AY3" s="755"/>
      <c r="AZ3" s="755"/>
      <c r="BA3" s="755"/>
      <c r="BB3" s="755"/>
    </row>
    <row r="4" spans="1:54" s="321" customFormat="1" ht="70.349999999999994" customHeight="1">
      <c r="A4" s="734"/>
      <c r="B4" s="734"/>
      <c r="C4" s="734"/>
      <c r="D4" s="736"/>
      <c r="E4" s="736"/>
      <c r="F4" s="736"/>
      <c r="G4" s="737"/>
      <c r="H4" s="737"/>
      <c r="I4" s="738"/>
      <c r="J4" s="738"/>
      <c r="K4" s="736"/>
      <c r="L4" s="736"/>
      <c r="M4" s="736"/>
      <c r="N4" s="736"/>
      <c r="O4" s="741"/>
      <c r="P4" s="758"/>
      <c r="Q4" s="759"/>
      <c r="R4" s="760"/>
      <c r="S4" s="742"/>
      <c r="T4" s="743"/>
      <c r="U4" s="760"/>
      <c r="V4" s="742"/>
      <c r="W4" s="743"/>
      <c r="X4" s="760"/>
      <c r="Y4" s="742"/>
      <c r="Z4" s="743"/>
      <c r="AA4" s="747"/>
      <c r="AB4" s="747"/>
      <c r="AC4" s="750"/>
      <c r="AD4" s="750"/>
      <c r="AE4" s="750"/>
      <c r="AF4" s="761"/>
      <c r="AG4" s="750"/>
      <c r="AH4" s="756"/>
      <c r="AI4" s="749"/>
      <c r="AJ4" s="757"/>
      <c r="AK4" s="751"/>
      <c r="AL4" s="734"/>
      <c r="AM4" s="750"/>
      <c r="AN4" s="734"/>
      <c r="AO4" s="734"/>
      <c r="AP4" s="734"/>
      <c r="AQ4" s="752"/>
      <c r="AR4" s="753"/>
      <c r="AS4" s="754"/>
      <c r="AT4" s="734"/>
      <c r="AU4" s="734"/>
    </row>
    <row r="5" spans="1:54" ht="70.349999999999994" customHeight="1">
      <c r="A5" s="734"/>
      <c r="B5" s="734"/>
      <c r="C5" s="735"/>
      <c r="D5" s="736"/>
      <c r="E5" s="736"/>
      <c r="F5" s="736"/>
      <c r="G5" s="756"/>
      <c r="H5" s="762"/>
      <c r="I5" s="738"/>
      <c r="J5" s="738"/>
      <c r="K5" s="736"/>
      <c r="L5" s="736"/>
      <c r="M5" s="736"/>
      <c r="N5" s="736"/>
      <c r="O5" s="744"/>
      <c r="P5" s="745"/>
      <c r="Q5" s="740"/>
      <c r="R5" s="763"/>
      <c r="S5" s="745"/>
      <c r="T5" s="746"/>
      <c r="U5" s="763"/>
      <c r="V5" s="745"/>
      <c r="W5" s="746"/>
      <c r="X5" s="760"/>
      <c r="Y5" s="742"/>
      <c r="Z5" s="743"/>
      <c r="AA5" s="747"/>
      <c r="AB5" s="747"/>
      <c r="AC5" s="750"/>
      <c r="AD5" s="748"/>
      <c r="AE5" s="750"/>
      <c r="AF5" s="756"/>
      <c r="AG5" s="750"/>
      <c r="AH5" s="750"/>
      <c r="AI5" s="750"/>
      <c r="AJ5" s="757"/>
      <c r="AK5" s="751"/>
      <c r="AL5" s="764"/>
      <c r="AM5" s="734"/>
      <c r="AN5" s="734"/>
      <c r="AO5" s="734"/>
      <c r="AP5" s="734"/>
      <c r="AQ5" s="752"/>
      <c r="AR5" s="753"/>
      <c r="AS5" s="754"/>
      <c r="AT5" s="734"/>
      <c r="AU5" s="734"/>
      <c r="AV5" s="755"/>
      <c r="AW5" s="755"/>
      <c r="AX5" s="755"/>
    </row>
    <row r="6" spans="1:54" ht="69.75" customHeight="1">
      <c r="A6" s="734"/>
      <c r="B6" s="765"/>
      <c r="C6" s="766"/>
      <c r="D6" s="736"/>
      <c r="E6" s="736"/>
      <c r="F6" s="736"/>
      <c r="G6" s="737"/>
      <c r="H6" s="737"/>
      <c r="I6" s="738"/>
      <c r="J6" s="738"/>
      <c r="K6" s="736"/>
      <c r="L6" s="736"/>
      <c r="M6" s="736"/>
      <c r="N6" s="736"/>
      <c r="O6" s="760"/>
      <c r="P6" s="739"/>
      <c r="Q6" s="740"/>
      <c r="R6" s="767"/>
      <c r="S6" s="768"/>
      <c r="T6" s="769"/>
      <c r="U6" s="763"/>
      <c r="V6" s="745"/>
      <c r="W6" s="746"/>
      <c r="X6" s="763"/>
      <c r="Y6" s="745"/>
      <c r="Z6" s="746"/>
      <c r="AA6" s="747"/>
      <c r="AB6" s="747"/>
      <c r="AC6" s="750"/>
      <c r="AD6" s="750"/>
      <c r="AE6" s="750"/>
      <c r="AF6" s="756"/>
      <c r="AG6" s="750"/>
      <c r="AH6" s="750"/>
      <c r="AI6" s="750"/>
      <c r="AJ6" s="757"/>
      <c r="AK6" s="735"/>
      <c r="AL6" s="750"/>
      <c r="AM6" s="750"/>
      <c r="AN6" s="734"/>
      <c r="AO6" s="734"/>
      <c r="AP6" s="734"/>
      <c r="AQ6" s="752"/>
      <c r="AR6" s="753"/>
      <c r="AS6" s="754"/>
      <c r="AT6" s="734"/>
      <c r="AU6" s="734"/>
      <c r="AV6" s="734"/>
      <c r="AW6" s="734"/>
      <c r="AX6" s="734"/>
      <c r="AY6" s="734"/>
      <c r="AZ6" s="734"/>
      <c r="BA6" s="734"/>
    </row>
    <row r="7" spans="1:54" ht="70.349999999999994" customHeight="1">
      <c r="B7" s="321"/>
      <c r="C7" s="4" t="s">
        <v>140</v>
      </c>
      <c r="D7" s="543"/>
      <c r="E7" s="544"/>
      <c r="F7" s="544"/>
      <c r="G7" s="611"/>
      <c r="H7" s="611"/>
      <c r="I7" s="611"/>
      <c r="J7" s="611"/>
      <c r="K7" s="548"/>
      <c r="L7" s="543"/>
      <c r="M7" s="543"/>
      <c r="N7" s="543"/>
      <c r="O7" s="558"/>
      <c r="P7" s="552"/>
      <c r="Q7" s="555"/>
      <c r="R7" s="557"/>
      <c r="S7" s="551"/>
      <c r="T7" s="555"/>
      <c r="U7" s="557"/>
      <c r="V7" s="551"/>
      <c r="W7" s="555"/>
      <c r="X7" s="557"/>
      <c r="Y7" s="551"/>
      <c r="Z7" s="555"/>
      <c r="AA7" s="549"/>
      <c r="AB7" s="208"/>
      <c r="AC7" s="312"/>
      <c r="AE7" s="313"/>
      <c r="AF7" s="313"/>
      <c r="AH7" s="312"/>
      <c r="AI7" s="312"/>
      <c r="AJ7" s="312"/>
      <c r="AK7" s="314"/>
      <c r="AL7" s="312"/>
      <c r="AM7" s="312"/>
      <c r="AN7" s="312"/>
      <c r="AO7" s="312"/>
      <c r="AP7" s="315"/>
    </row>
    <row r="8" spans="1:54" ht="70.349999999999994" customHeight="1">
      <c r="C8" s="4" t="s">
        <v>140</v>
      </c>
      <c r="D8" s="208"/>
      <c r="E8" s="545"/>
      <c r="F8" s="545"/>
      <c r="K8" s="547"/>
      <c r="L8" s="208"/>
      <c r="M8" s="208"/>
      <c r="N8" s="208"/>
      <c r="O8" s="557"/>
      <c r="P8" s="551"/>
      <c r="Q8" s="555"/>
      <c r="R8" s="557"/>
      <c r="S8" s="551"/>
      <c r="T8" s="555"/>
      <c r="U8" s="557"/>
      <c r="V8" s="551"/>
      <c r="W8" s="555"/>
      <c r="X8" s="557"/>
      <c r="Y8" s="551"/>
      <c r="Z8" s="555"/>
      <c r="AA8" s="208"/>
      <c r="AB8" s="208"/>
      <c r="AE8" s="295"/>
      <c r="AF8" s="184"/>
      <c r="AK8" s="5"/>
    </row>
    <row r="9" spans="1:54" ht="70.349999999999994" customHeight="1">
      <c r="C9" s="4" t="s">
        <v>140</v>
      </c>
      <c r="D9" s="208"/>
      <c r="E9" s="545"/>
      <c r="F9" s="545"/>
      <c r="G9" s="612"/>
      <c r="K9" s="547"/>
      <c r="L9" s="208"/>
      <c r="M9" s="208"/>
      <c r="N9" s="208"/>
      <c r="O9" s="557"/>
      <c r="P9" s="551"/>
      <c r="Q9" s="555"/>
      <c r="R9" s="557"/>
      <c r="S9" s="551"/>
      <c r="T9" s="555"/>
      <c r="U9" s="557"/>
      <c r="V9" s="551"/>
      <c r="W9" s="555"/>
      <c r="X9" s="557"/>
      <c r="Y9" s="551"/>
      <c r="Z9" s="555"/>
      <c r="AA9" s="208"/>
      <c r="AB9" s="208"/>
    </row>
    <row r="10" spans="1:54" ht="70.150000000000006" customHeight="1">
      <c r="C10" s="4" t="s">
        <v>140</v>
      </c>
      <c r="D10" s="546"/>
      <c r="E10" s="545"/>
      <c r="F10" s="545"/>
      <c r="K10" s="547"/>
      <c r="L10" s="208"/>
      <c r="M10" s="208"/>
      <c r="N10" s="208"/>
      <c r="O10" s="557"/>
      <c r="P10" s="551"/>
      <c r="Q10" s="555"/>
      <c r="R10" s="557"/>
      <c r="S10" s="551"/>
      <c r="T10" s="555"/>
      <c r="U10" s="557"/>
      <c r="V10" s="551"/>
      <c r="W10" s="555"/>
      <c r="X10" s="557"/>
      <c r="Y10" s="551"/>
      <c r="Z10" s="555"/>
      <c r="AA10" s="208"/>
      <c r="AB10" s="208"/>
    </row>
    <row r="11" spans="1:54" ht="70.349999999999994" customHeight="1">
      <c r="C11" s="4" t="s">
        <v>140</v>
      </c>
      <c r="D11" s="208"/>
      <c r="E11" s="545"/>
      <c r="F11" s="545"/>
      <c r="G11" s="612"/>
      <c r="K11" s="547"/>
      <c r="L11" s="208"/>
      <c r="M11" s="208"/>
      <c r="N11" s="208"/>
      <c r="O11" s="557"/>
      <c r="P11" s="551"/>
      <c r="Q11" s="555"/>
      <c r="R11" s="557"/>
      <c r="S11" s="551"/>
      <c r="T11" s="555"/>
      <c r="U11" s="557"/>
      <c r="V11" s="551"/>
      <c r="W11" s="555"/>
      <c r="X11" s="557"/>
      <c r="Y11" s="551"/>
      <c r="Z11" s="555"/>
      <c r="AA11" s="208"/>
      <c r="AB11" s="208"/>
    </row>
    <row r="12" spans="1:54" ht="70.349999999999994" customHeight="1">
      <c r="C12" s="4" t="s">
        <v>140</v>
      </c>
      <c r="D12" s="208"/>
      <c r="E12" s="545"/>
      <c r="F12" s="545"/>
      <c r="K12" s="547"/>
      <c r="L12" s="208"/>
      <c r="M12" s="208"/>
      <c r="N12" s="208"/>
      <c r="O12" s="557"/>
      <c r="P12" s="551"/>
      <c r="Q12" s="555"/>
      <c r="R12" s="557"/>
      <c r="S12" s="551"/>
      <c r="T12" s="555"/>
      <c r="U12" s="557"/>
      <c r="V12" s="551"/>
      <c r="W12" s="555"/>
      <c r="X12" s="557"/>
      <c r="Y12" s="551"/>
      <c r="Z12" s="555"/>
      <c r="AA12" s="208"/>
      <c r="AB12" s="208"/>
    </row>
    <row r="13" spans="1:54" ht="69.75" customHeight="1">
      <c r="C13" s="4" t="s">
        <v>140</v>
      </c>
      <c r="D13" s="208"/>
      <c r="E13" s="545"/>
      <c r="F13" s="545"/>
      <c r="K13" s="547"/>
      <c r="L13" s="208"/>
      <c r="M13" s="208"/>
      <c r="N13" s="208"/>
      <c r="O13" s="557"/>
      <c r="P13" s="553"/>
      <c r="Q13" s="555"/>
      <c r="R13" s="557"/>
      <c r="S13" s="551"/>
      <c r="T13" s="555"/>
      <c r="U13" s="561"/>
      <c r="V13" s="562"/>
      <c r="W13" s="563"/>
      <c r="X13" s="561"/>
      <c r="Y13" s="562"/>
      <c r="Z13" s="563"/>
      <c r="AA13" s="550"/>
      <c r="AB13" s="550"/>
      <c r="AC13" s="358"/>
    </row>
    <row r="14" spans="1:54" ht="70.349999999999994" customHeight="1">
      <c r="C14" s="4" t="s">
        <v>140</v>
      </c>
      <c r="D14" s="208"/>
      <c r="E14" s="545"/>
      <c r="F14" s="545"/>
      <c r="K14" s="547"/>
      <c r="L14" s="208"/>
      <c r="M14" s="208"/>
      <c r="N14" s="208"/>
      <c r="O14" s="557"/>
      <c r="P14" s="551"/>
      <c r="Q14" s="555"/>
      <c r="R14" s="557"/>
      <c r="S14" s="551"/>
      <c r="T14" s="555"/>
      <c r="U14" s="557"/>
      <c r="V14" s="551"/>
      <c r="W14" s="555"/>
      <c r="X14" s="557"/>
      <c r="Y14" s="551"/>
      <c r="Z14" s="555"/>
      <c r="AA14" s="208"/>
      <c r="AB14" s="208"/>
    </row>
    <row r="15" spans="1:54" ht="70.349999999999994" customHeight="1">
      <c r="C15" s="4" t="s">
        <v>140</v>
      </c>
      <c r="D15" s="208"/>
      <c r="E15" s="208"/>
      <c r="F15" s="208"/>
      <c r="K15" s="547"/>
      <c r="L15" s="208"/>
      <c r="M15" s="208"/>
      <c r="N15" s="208"/>
      <c r="O15" s="557"/>
      <c r="P15" s="551"/>
      <c r="Q15" s="555"/>
      <c r="R15" s="557"/>
      <c r="S15" s="551"/>
      <c r="T15" s="555"/>
      <c r="U15" s="557"/>
      <c r="V15" s="551"/>
      <c r="W15" s="555"/>
      <c r="X15" s="557"/>
      <c r="Y15" s="551"/>
      <c r="Z15" s="555"/>
      <c r="AA15" s="208"/>
      <c r="AB15" s="208"/>
    </row>
    <row r="16" spans="1:54" ht="70.349999999999994" customHeight="1">
      <c r="C16" s="4" t="s">
        <v>140</v>
      </c>
      <c r="D16" s="208"/>
      <c r="E16" s="542"/>
      <c r="F16" s="542"/>
      <c r="K16" s="547"/>
      <c r="L16" s="208"/>
      <c r="M16" s="208"/>
      <c r="N16" s="208"/>
      <c r="O16" s="557"/>
      <c r="P16" s="551"/>
      <c r="Q16" s="555"/>
      <c r="R16" s="557"/>
      <c r="S16" s="551"/>
      <c r="T16" s="555"/>
      <c r="U16" s="557"/>
      <c r="V16" s="551"/>
      <c r="W16" s="555"/>
      <c r="X16" s="557"/>
      <c r="Y16" s="551"/>
      <c r="Z16" s="555"/>
      <c r="AA16" s="208"/>
      <c r="AB16" s="208"/>
    </row>
    <row r="17" spans="3:28" ht="70.349999999999994" customHeight="1">
      <c r="C17" s="4" t="s">
        <v>140</v>
      </c>
      <c r="D17" s="208"/>
      <c r="E17" s="542"/>
      <c r="F17" s="542"/>
      <c r="K17" s="547"/>
      <c r="L17" s="208"/>
      <c r="M17" s="208"/>
      <c r="N17" s="208"/>
      <c r="O17" s="557"/>
      <c r="P17" s="551"/>
      <c r="Q17" s="555"/>
      <c r="R17" s="557"/>
      <c r="S17" s="551"/>
      <c r="T17" s="555"/>
      <c r="U17" s="557"/>
      <c r="V17" s="551"/>
      <c r="W17" s="555"/>
      <c r="X17" s="557"/>
      <c r="Y17" s="551"/>
      <c r="Z17" s="555"/>
      <c r="AA17" s="208"/>
      <c r="AB17" s="208"/>
    </row>
    <row r="18" spans="3:28" ht="70.349999999999994" customHeight="1">
      <c r="C18" s="4" t="s">
        <v>140</v>
      </c>
      <c r="D18" s="208"/>
      <c r="E18" s="542"/>
      <c r="F18" s="542"/>
      <c r="K18" s="547"/>
      <c r="L18" s="208"/>
      <c r="M18" s="208"/>
      <c r="N18" s="208"/>
      <c r="O18" s="557"/>
      <c r="P18" s="551"/>
      <c r="Q18" s="555"/>
      <c r="R18" s="557"/>
      <c r="S18" s="551"/>
      <c r="T18" s="555"/>
      <c r="U18" s="557"/>
      <c r="V18" s="551"/>
      <c r="W18" s="555"/>
      <c r="X18" s="557"/>
      <c r="Y18" s="551"/>
      <c r="Z18" s="555"/>
      <c r="AA18" s="208"/>
      <c r="AB18" s="208"/>
    </row>
    <row r="19" spans="3:28" ht="70.349999999999994" customHeight="1">
      <c r="C19" s="4" t="s">
        <v>140</v>
      </c>
      <c r="D19" s="208"/>
      <c r="E19" s="542"/>
      <c r="F19" s="542"/>
      <c r="K19" s="547"/>
      <c r="L19" s="208"/>
      <c r="M19" s="208"/>
      <c r="N19" s="208"/>
      <c r="O19" s="557"/>
      <c r="P19" s="551"/>
      <c r="Q19" s="555"/>
      <c r="R19" s="557"/>
      <c r="S19" s="551"/>
      <c r="T19" s="555"/>
      <c r="U19" s="557"/>
      <c r="V19" s="551"/>
      <c r="W19" s="555"/>
      <c r="X19" s="557"/>
      <c r="Y19" s="551"/>
      <c r="Z19" s="555"/>
      <c r="AA19" s="208"/>
      <c r="AB19" s="208"/>
    </row>
    <row r="20" spans="3:28" ht="70.349999999999994" customHeight="1">
      <c r="C20" s="4" t="s">
        <v>140</v>
      </c>
      <c r="D20" s="208"/>
      <c r="E20" s="542"/>
      <c r="F20" s="542"/>
      <c r="K20" s="547"/>
      <c r="L20" s="208"/>
      <c r="M20" s="208"/>
      <c r="N20" s="208"/>
      <c r="O20" s="557"/>
      <c r="P20" s="551"/>
      <c r="Q20" s="555"/>
      <c r="R20" s="557"/>
      <c r="S20" s="551"/>
      <c r="T20" s="555"/>
      <c r="U20" s="557"/>
      <c r="V20" s="551"/>
      <c r="W20" s="555"/>
      <c r="X20" s="557"/>
      <c r="Y20" s="551"/>
      <c r="Z20" s="555"/>
      <c r="AA20" s="208"/>
      <c r="AB20" s="208"/>
    </row>
    <row r="21" spans="3:28" ht="70.349999999999994" customHeight="1">
      <c r="C21" s="4" t="s">
        <v>140</v>
      </c>
      <c r="D21" s="208"/>
      <c r="E21" s="542"/>
      <c r="F21" s="542"/>
      <c r="K21" s="547"/>
      <c r="L21" s="208"/>
      <c r="M21" s="208"/>
      <c r="N21" s="208"/>
      <c r="O21" s="557"/>
      <c r="P21" s="551"/>
      <c r="Q21" s="555"/>
      <c r="R21" s="557"/>
      <c r="S21" s="551"/>
      <c r="T21" s="555"/>
      <c r="U21" s="557"/>
      <c r="V21" s="551"/>
      <c r="W21" s="555"/>
      <c r="X21" s="557"/>
      <c r="Y21" s="551"/>
      <c r="Z21" s="555"/>
      <c r="AA21" s="208"/>
      <c r="AB21" s="208"/>
    </row>
    <row r="22" spans="3:28" ht="70.349999999999994" customHeight="1">
      <c r="C22" s="4" t="s">
        <v>140</v>
      </c>
      <c r="D22" s="208"/>
      <c r="E22" s="542"/>
      <c r="F22" s="542"/>
      <c r="K22" s="547"/>
      <c r="L22" s="208"/>
      <c r="M22" s="208"/>
      <c r="N22" s="208"/>
      <c r="O22" s="557"/>
      <c r="P22" s="551"/>
      <c r="Q22" s="555"/>
      <c r="R22" s="557"/>
      <c r="S22" s="551"/>
      <c r="T22" s="555"/>
      <c r="U22" s="557"/>
      <c r="V22" s="551"/>
      <c r="W22" s="555"/>
      <c r="X22" s="557"/>
      <c r="Y22" s="551"/>
      <c r="Z22" s="555"/>
      <c r="AA22" s="208"/>
      <c r="AB22" s="208"/>
    </row>
    <row r="23" spans="3:28" ht="70.349999999999994" customHeight="1">
      <c r="C23" s="4" t="s">
        <v>140</v>
      </c>
      <c r="D23" s="208"/>
      <c r="E23" s="542"/>
      <c r="F23" s="542"/>
      <c r="K23" s="547"/>
      <c r="L23" s="208"/>
      <c r="M23" s="208"/>
      <c r="N23" s="208"/>
      <c r="O23" s="557"/>
      <c r="P23" s="551"/>
      <c r="Q23" s="555"/>
      <c r="R23" s="557"/>
      <c r="S23" s="551"/>
      <c r="T23" s="555"/>
      <c r="U23" s="557"/>
      <c r="V23" s="551"/>
      <c r="W23" s="555"/>
      <c r="X23" s="557"/>
      <c r="Y23" s="551"/>
      <c r="Z23" s="555"/>
      <c r="AA23" s="208"/>
      <c r="AB23" s="208"/>
    </row>
    <row r="24" spans="3:28" ht="70.349999999999994" customHeight="1">
      <c r="C24" s="4" t="s">
        <v>140</v>
      </c>
      <c r="D24" s="208"/>
      <c r="E24" s="542"/>
      <c r="F24" s="542"/>
      <c r="K24" s="547"/>
      <c r="L24" s="208"/>
      <c r="M24" s="208"/>
      <c r="N24" s="208"/>
      <c r="O24" s="557"/>
      <c r="P24" s="551"/>
      <c r="Q24" s="555"/>
      <c r="R24" s="557"/>
      <c r="S24" s="551"/>
      <c r="T24" s="555"/>
      <c r="U24" s="557"/>
      <c r="V24" s="551"/>
      <c r="W24" s="555"/>
      <c r="X24" s="557"/>
      <c r="Y24" s="551"/>
      <c r="Z24" s="555"/>
      <c r="AA24" s="208"/>
      <c r="AB24" s="208"/>
    </row>
    <row r="25" spans="3:28" ht="70.349999999999994" customHeight="1">
      <c r="C25" s="4" t="s">
        <v>140</v>
      </c>
      <c r="D25" s="208"/>
      <c r="E25" s="542"/>
      <c r="F25" s="542"/>
      <c r="K25" s="547"/>
      <c r="L25" s="208"/>
      <c r="M25" s="208"/>
      <c r="N25" s="208"/>
      <c r="O25" s="557"/>
      <c r="P25" s="551"/>
      <c r="Q25" s="555"/>
      <c r="R25" s="557"/>
      <c r="S25" s="551"/>
      <c r="T25" s="555"/>
      <c r="U25" s="557"/>
      <c r="V25" s="551"/>
      <c r="W25" s="555"/>
      <c r="X25" s="557"/>
      <c r="Y25" s="551"/>
      <c r="Z25" s="555"/>
      <c r="AA25" s="208"/>
      <c r="AB25" s="208"/>
    </row>
    <row r="26" spans="3:28" ht="70.349999999999994" customHeight="1">
      <c r="C26" s="4" t="s">
        <v>140</v>
      </c>
      <c r="D26" s="208"/>
      <c r="E26" s="542"/>
      <c r="F26" s="542"/>
      <c r="K26" s="547"/>
      <c r="L26" s="208"/>
      <c r="M26" s="208"/>
      <c r="N26" s="208"/>
      <c r="O26" s="557"/>
      <c r="P26" s="551"/>
      <c r="Q26" s="555"/>
      <c r="R26" s="557"/>
      <c r="S26" s="551"/>
      <c r="T26" s="555"/>
      <c r="U26" s="557"/>
      <c r="V26" s="551"/>
      <c r="W26" s="555"/>
      <c r="X26" s="557"/>
      <c r="Y26" s="551"/>
      <c r="Z26" s="555"/>
      <c r="AA26" s="208"/>
      <c r="AB26" s="208"/>
    </row>
    <row r="27" spans="3:28" ht="70.349999999999994" customHeight="1">
      <c r="C27" s="4" t="s">
        <v>140</v>
      </c>
      <c r="D27" s="208"/>
      <c r="E27" s="542"/>
      <c r="F27" s="542"/>
      <c r="K27" s="547"/>
      <c r="L27" s="208"/>
      <c r="M27" s="208"/>
      <c r="N27" s="208"/>
      <c r="O27" s="557"/>
      <c r="P27" s="551"/>
      <c r="Q27" s="555"/>
      <c r="R27" s="557"/>
      <c r="S27" s="551"/>
      <c r="T27" s="555"/>
      <c r="U27" s="557"/>
      <c r="V27" s="551"/>
      <c r="W27" s="555"/>
      <c r="X27" s="557"/>
      <c r="Y27" s="551"/>
      <c r="Z27" s="555"/>
      <c r="AA27" s="208"/>
      <c r="AB27" s="208"/>
    </row>
    <row r="28" spans="3:28" ht="70.349999999999994" customHeight="1">
      <c r="C28" s="4" t="s">
        <v>140</v>
      </c>
      <c r="D28" s="208"/>
      <c r="E28" s="542"/>
      <c r="F28" s="542"/>
      <c r="K28" s="547"/>
      <c r="L28" s="208"/>
      <c r="M28" s="208"/>
      <c r="N28" s="208"/>
      <c r="O28" s="557"/>
      <c r="P28" s="551"/>
      <c r="Q28" s="555"/>
      <c r="R28" s="557"/>
      <c r="S28" s="551"/>
      <c r="T28" s="555"/>
      <c r="U28" s="557"/>
      <c r="V28" s="551"/>
      <c r="W28" s="555"/>
      <c r="X28" s="557"/>
      <c r="Y28" s="551"/>
      <c r="Z28" s="555"/>
      <c r="AA28" s="208"/>
      <c r="AB28" s="208"/>
    </row>
    <row r="29" spans="3:28" ht="70.349999999999994" customHeight="1">
      <c r="C29" s="4" t="s">
        <v>140</v>
      </c>
      <c r="D29" s="208"/>
      <c r="E29" s="542"/>
      <c r="F29" s="542"/>
      <c r="K29" s="547"/>
      <c r="L29" s="208"/>
      <c r="M29" s="208"/>
      <c r="N29" s="208"/>
      <c r="O29" s="557"/>
      <c r="P29" s="551"/>
      <c r="Q29" s="555"/>
      <c r="R29" s="557"/>
      <c r="S29" s="551"/>
      <c r="T29" s="555"/>
      <c r="U29" s="557"/>
      <c r="V29" s="551"/>
      <c r="W29" s="555"/>
      <c r="X29" s="557"/>
      <c r="Y29" s="551"/>
      <c r="Z29" s="555"/>
      <c r="AA29" s="208"/>
      <c r="AB29" s="208"/>
    </row>
    <row r="30" spans="3:28" ht="70.349999999999994" customHeight="1">
      <c r="C30" s="4" t="s">
        <v>140</v>
      </c>
      <c r="D30" s="208"/>
      <c r="E30" s="542"/>
      <c r="F30" s="542"/>
      <c r="K30" s="547"/>
      <c r="L30" s="208"/>
      <c r="M30" s="208"/>
      <c r="N30" s="208"/>
      <c r="O30" s="557"/>
      <c r="P30" s="551"/>
      <c r="Q30" s="555"/>
      <c r="R30" s="557"/>
      <c r="S30" s="551"/>
      <c r="T30" s="555"/>
      <c r="U30" s="557"/>
      <c r="V30" s="551"/>
      <c r="W30" s="555"/>
      <c r="X30" s="557"/>
      <c r="Y30" s="551"/>
      <c r="Z30" s="555"/>
      <c r="AA30" s="208"/>
      <c r="AB30" s="208"/>
    </row>
    <row r="31" spans="3:28" ht="70.349999999999994" customHeight="1">
      <c r="C31" s="4" t="s">
        <v>140</v>
      </c>
      <c r="D31" s="208"/>
      <c r="E31" s="542"/>
      <c r="F31" s="542"/>
      <c r="K31" s="547"/>
      <c r="L31" s="208"/>
      <c r="M31" s="208"/>
      <c r="N31" s="208"/>
      <c r="O31" s="557"/>
      <c r="P31" s="551"/>
      <c r="Q31" s="555"/>
      <c r="R31" s="557"/>
      <c r="S31" s="551"/>
      <c r="T31" s="555"/>
      <c r="U31" s="557"/>
      <c r="V31" s="551"/>
      <c r="W31" s="555"/>
      <c r="X31" s="557"/>
      <c r="Y31" s="551"/>
      <c r="Z31" s="555"/>
      <c r="AA31" s="208"/>
      <c r="AB31" s="208"/>
    </row>
    <row r="32" spans="3:28" ht="70.349999999999994" customHeight="1">
      <c r="C32" s="4" t="s">
        <v>140</v>
      </c>
      <c r="D32" s="208"/>
      <c r="E32" s="542"/>
      <c r="F32" s="542"/>
      <c r="K32" s="547"/>
      <c r="L32" s="208"/>
      <c r="M32" s="208"/>
      <c r="N32" s="208"/>
      <c r="O32" s="557"/>
      <c r="P32" s="551"/>
      <c r="Q32" s="555"/>
      <c r="R32" s="557"/>
      <c r="S32" s="551"/>
      <c r="T32" s="555"/>
      <c r="U32" s="557"/>
      <c r="V32" s="551"/>
      <c r="W32" s="555"/>
      <c r="X32" s="557"/>
      <c r="Y32" s="551"/>
      <c r="Z32" s="555"/>
      <c r="AA32" s="208"/>
      <c r="AB32" s="208"/>
    </row>
    <row r="33" spans="3:28" ht="70.349999999999994" customHeight="1">
      <c r="C33" s="4" t="s">
        <v>140</v>
      </c>
      <c r="D33" s="208"/>
      <c r="E33" s="542"/>
      <c r="F33" s="542"/>
      <c r="K33" s="547"/>
      <c r="L33" s="208"/>
      <c r="M33" s="208"/>
      <c r="N33" s="208"/>
      <c r="O33" s="557"/>
      <c r="P33" s="551"/>
      <c r="Q33" s="555"/>
      <c r="R33" s="557"/>
      <c r="S33" s="551"/>
      <c r="T33" s="555"/>
      <c r="U33" s="557"/>
      <c r="V33" s="551"/>
      <c r="W33" s="555"/>
      <c r="X33" s="557"/>
      <c r="Y33" s="551"/>
      <c r="Z33" s="555"/>
      <c r="AA33" s="208"/>
      <c r="AB33" s="208"/>
    </row>
    <row r="34" spans="3:28" ht="70.349999999999994" customHeight="1">
      <c r="C34" s="4" t="s">
        <v>140</v>
      </c>
      <c r="D34" s="208"/>
      <c r="E34" s="542"/>
      <c r="F34" s="542"/>
      <c r="K34" s="547"/>
      <c r="L34" s="208"/>
      <c r="M34" s="208"/>
      <c r="N34" s="208"/>
      <c r="O34" s="557"/>
      <c r="P34" s="551"/>
      <c r="Q34" s="555"/>
      <c r="R34" s="557"/>
      <c r="S34" s="551"/>
      <c r="T34" s="555"/>
      <c r="U34" s="557"/>
      <c r="V34" s="551"/>
      <c r="W34" s="555"/>
      <c r="X34" s="557"/>
      <c r="Y34" s="551"/>
      <c r="Z34" s="555"/>
      <c r="AA34" s="208"/>
      <c r="AB34" s="208"/>
    </row>
    <row r="35" spans="3:28" ht="70.349999999999994" customHeight="1">
      <c r="C35" s="4" t="s">
        <v>140</v>
      </c>
      <c r="D35" s="208"/>
      <c r="E35" s="542"/>
      <c r="F35" s="542"/>
      <c r="K35" s="547"/>
      <c r="L35" s="208"/>
      <c r="M35" s="208"/>
      <c r="N35" s="208"/>
      <c r="O35" s="557"/>
      <c r="P35" s="551"/>
      <c r="Q35" s="555"/>
      <c r="R35" s="557"/>
      <c r="S35" s="551"/>
      <c r="T35" s="555"/>
      <c r="U35" s="557"/>
      <c r="V35" s="551"/>
      <c r="W35" s="555"/>
      <c r="X35" s="557"/>
      <c r="Y35" s="551"/>
      <c r="Z35" s="555"/>
      <c r="AA35" s="208"/>
      <c r="AB35" s="208"/>
    </row>
    <row r="36" spans="3:28" ht="70.349999999999994" customHeight="1">
      <c r="C36" s="4" t="s">
        <v>140</v>
      </c>
      <c r="D36" s="208"/>
      <c r="E36" s="542"/>
      <c r="F36" s="542"/>
      <c r="K36" s="547"/>
      <c r="L36" s="208"/>
      <c r="M36" s="208"/>
      <c r="N36" s="208"/>
      <c r="O36" s="557"/>
      <c r="P36" s="551"/>
      <c r="Q36" s="555"/>
      <c r="R36" s="557"/>
      <c r="S36" s="551"/>
      <c r="T36" s="555"/>
      <c r="U36" s="557"/>
      <c r="V36" s="551"/>
      <c r="W36" s="555"/>
      <c r="X36" s="557"/>
      <c r="Y36" s="551"/>
      <c r="Z36" s="555"/>
      <c r="AA36" s="208"/>
      <c r="AB36" s="208"/>
    </row>
    <row r="37" spans="3:28" ht="70.349999999999994" customHeight="1">
      <c r="C37" s="4" t="s">
        <v>140</v>
      </c>
      <c r="D37" s="208"/>
      <c r="E37" s="542"/>
      <c r="F37" s="542"/>
      <c r="K37" s="547"/>
      <c r="L37" s="208"/>
      <c r="M37" s="208"/>
      <c r="N37" s="208"/>
      <c r="O37" s="557"/>
      <c r="P37" s="551"/>
      <c r="Q37" s="555"/>
      <c r="R37" s="557"/>
      <c r="S37" s="551"/>
      <c r="T37" s="555"/>
      <c r="U37" s="557"/>
      <c r="V37" s="551"/>
      <c r="W37" s="555"/>
      <c r="X37" s="557"/>
      <c r="Y37" s="551"/>
      <c r="Z37" s="555"/>
      <c r="AA37" s="208"/>
      <c r="AB37" s="208"/>
    </row>
    <row r="38" spans="3:28" ht="70.349999999999994" customHeight="1">
      <c r="C38" s="4" t="s">
        <v>140</v>
      </c>
      <c r="D38" s="208"/>
      <c r="E38" s="542"/>
      <c r="F38" s="542"/>
      <c r="K38" s="547"/>
      <c r="L38" s="208"/>
      <c r="M38" s="208"/>
      <c r="N38" s="208"/>
      <c r="O38" s="557"/>
      <c r="P38" s="551"/>
      <c r="Q38" s="555"/>
      <c r="R38" s="557"/>
      <c r="S38" s="551"/>
      <c r="T38" s="555"/>
      <c r="U38" s="557"/>
      <c r="V38" s="551"/>
      <c r="W38" s="555"/>
      <c r="X38" s="557"/>
      <c r="Y38" s="551"/>
      <c r="Z38" s="555"/>
      <c r="AA38" s="208"/>
      <c r="AB38" s="208"/>
    </row>
    <row r="39" spans="3:28" ht="70.349999999999994" customHeight="1">
      <c r="C39" s="4" t="s">
        <v>140</v>
      </c>
      <c r="D39" s="208"/>
      <c r="E39" s="542"/>
      <c r="F39" s="542"/>
      <c r="K39" s="547"/>
      <c r="L39" s="208"/>
      <c r="M39" s="208"/>
      <c r="N39" s="208"/>
      <c r="O39" s="557"/>
      <c r="P39" s="551"/>
      <c r="Q39" s="555"/>
      <c r="R39" s="557"/>
      <c r="S39" s="551"/>
      <c r="T39" s="555"/>
      <c r="U39" s="557"/>
      <c r="V39" s="551"/>
      <c r="W39" s="555"/>
      <c r="X39" s="557"/>
      <c r="Y39" s="551"/>
      <c r="Z39" s="555"/>
      <c r="AA39" s="208"/>
      <c r="AB39" s="208"/>
    </row>
    <row r="40" spans="3:28" ht="70.349999999999994" customHeight="1">
      <c r="C40" s="4" t="s">
        <v>140</v>
      </c>
      <c r="D40" s="208"/>
      <c r="E40" s="542"/>
      <c r="F40" s="542"/>
      <c r="K40" s="547"/>
      <c r="L40" s="208"/>
      <c r="M40" s="208"/>
      <c r="N40" s="208"/>
      <c r="O40" s="557"/>
      <c r="P40" s="551"/>
      <c r="Q40" s="555"/>
      <c r="R40" s="557"/>
      <c r="S40" s="551"/>
      <c r="T40" s="555"/>
      <c r="U40" s="557"/>
      <c r="V40" s="551"/>
      <c r="W40" s="555"/>
      <c r="X40" s="557"/>
      <c r="Y40" s="551"/>
      <c r="Z40" s="555"/>
      <c r="AA40" s="208"/>
      <c r="AB40" s="208"/>
    </row>
    <row r="41" spans="3:28" ht="70.349999999999994" customHeight="1">
      <c r="E41" s="295"/>
      <c r="K41" s="5"/>
    </row>
    <row r="42" spans="3:28" ht="70.349999999999994" customHeight="1">
      <c r="E42" s="295"/>
      <c r="K42" s="5"/>
    </row>
    <row r="43" spans="3:28" ht="70.349999999999994" customHeight="1">
      <c r="E43" s="295"/>
      <c r="K43" s="5"/>
    </row>
    <row r="44" spans="3:28" ht="70.349999999999994" customHeight="1">
      <c r="E44" s="295"/>
      <c r="K44" s="5"/>
    </row>
    <row r="45" spans="3:28" ht="70.349999999999994" customHeight="1">
      <c r="E45" s="295"/>
      <c r="K45" s="5"/>
    </row>
    <row r="46" spans="3:28" ht="70.349999999999994" customHeight="1">
      <c r="E46" s="295"/>
      <c r="K46" s="5"/>
    </row>
    <row r="47" spans="3:28" ht="70.349999999999994" customHeight="1">
      <c r="E47" s="295"/>
      <c r="K47" s="5"/>
    </row>
    <row r="48" spans="3:28" ht="70.349999999999994" customHeight="1">
      <c r="E48" s="295"/>
      <c r="K48" s="5"/>
    </row>
    <row r="49" spans="5:11" ht="70.349999999999994" customHeight="1">
      <c r="E49" s="295"/>
      <c r="K49" s="5"/>
    </row>
    <row r="50" spans="5:11" ht="70.349999999999994" customHeight="1">
      <c r="E50" s="295"/>
      <c r="K50" s="5"/>
    </row>
    <row r="51" spans="5:11" ht="70.349999999999994" customHeight="1">
      <c r="E51" s="295"/>
      <c r="K51" s="5"/>
    </row>
    <row r="52" spans="5:11" ht="70.349999999999994" customHeight="1">
      <c r="E52" s="295"/>
      <c r="K52" s="5"/>
    </row>
    <row r="53" spans="5:11" ht="70.349999999999994" customHeight="1">
      <c r="E53" s="295"/>
      <c r="K53" s="5"/>
    </row>
    <row r="54" spans="5:11" ht="70.349999999999994" customHeight="1">
      <c r="E54" s="295"/>
      <c r="K54" s="5"/>
    </row>
    <row r="55" spans="5:11" ht="70.349999999999994" customHeight="1">
      <c r="E55" s="295"/>
      <c r="K55" s="5"/>
    </row>
    <row r="56" spans="5:11" ht="70.349999999999994" customHeight="1">
      <c r="E56" s="295"/>
      <c r="K56" s="5"/>
    </row>
    <row r="57" spans="5:11" ht="70.349999999999994" customHeight="1">
      <c r="E57" s="295"/>
      <c r="K57" s="5"/>
    </row>
    <row r="58" spans="5:11" ht="70.349999999999994" customHeight="1">
      <c r="E58" s="295"/>
      <c r="K58" s="5"/>
    </row>
    <row r="59" spans="5:11" ht="70.349999999999994" customHeight="1">
      <c r="E59" s="295"/>
      <c r="K59" s="5"/>
    </row>
    <row r="60" spans="5:11" ht="70.349999999999994" customHeight="1">
      <c r="E60" s="295"/>
      <c r="K60" s="5"/>
    </row>
    <row r="61" spans="5:11" ht="70.349999999999994" customHeight="1">
      <c r="E61" s="295"/>
      <c r="K61" s="5"/>
    </row>
    <row r="62" spans="5:11" ht="70.349999999999994" customHeight="1">
      <c r="E62" s="295"/>
      <c r="K62" s="5"/>
    </row>
    <row r="63" spans="5:11" ht="70.349999999999994" customHeight="1">
      <c r="E63" s="295"/>
      <c r="K63" s="5"/>
    </row>
    <row r="64" spans="5:11" ht="70.349999999999994" customHeight="1">
      <c r="E64" s="295"/>
      <c r="K64" s="5"/>
    </row>
    <row r="65" spans="5:11" ht="70.349999999999994" customHeight="1">
      <c r="E65" s="295"/>
      <c r="K65" s="5"/>
    </row>
  </sheetData>
  <phoneticPr fontId="2"/>
  <hyperlinks>
    <hyperlink ref="AK3" r:id="rId1" xr:uid="{88545D8D-A864-4538-B811-CCDC85078F4C}"/>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tabSelected="1" zoomScale="85" zoomScaleNormal="85" workbookViewId="0">
      <pane xSplit="8" ySplit="15" topLeftCell="I16" activePane="bottomRight" state="frozen"/>
      <selection pane="bottomRight" activeCell="H8" sqref="H7:H8"/>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25" style="37" customWidth="1"/>
    <col min="13" max="22" width="4.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75" style="37" customWidth="1"/>
    <col min="42" max="43" width="9" style="37"/>
    <col min="44" max="44" width="10.125" style="37" customWidth="1"/>
    <col min="45" max="45" width="10.125" style="268"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0" t="s">
        <v>141</v>
      </c>
      <c r="C1" s="260" t="s">
        <v>142</v>
      </c>
      <c r="D1" s="260" t="s">
        <v>143</v>
      </c>
      <c r="E1" s="260" t="s">
        <v>35</v>
      </c>
      <c r="F1" s="260" t="s">
        <v>144</v>
      </c>
      <c r="G1" s="260" t="s">
        <v>145</v>
      </c>
      <c r="I1" s="300" t="s">
        <v>146</v>
      </c>
      <c r="X1" s="304" t="s">
        <v>147</v>
      </c>
      <c r="AG1" s="271"/>
      <c r="AS1" s="37"/>
    </row>
    <row r="2" spans="1:59" ht="13.5" customHeight="1" outlineLevel="1">
      <c r="B2" s="261">
        <f t="shared" ref="B2:G2" ca="1" si="0">AO14</f>
        <v>0</v>
      </c>
      <c r="C2" s="261">
        <f t="shared" ca="1" si="0"/>
        <v>0</v>
      </c>
      <c r="D2" s="261">
        <f t="shared" ca="1" si="0"/>
        <v>0</v>
      </c>
      <c r="E2" s="261">
        <f t="shared" ca="1" si="0"/>
        <v>0</v>
      </c>
      <c r="F2" s="261">
        <f t="shared" ca="1" si="0"/>
        <v>0</v>
      </c>
      <c r="G2" s="338">
        <f t="shared" ca="1" si="0"/>
        <v>0</v>
      </c>
      <c r="J2" s="262"/>
      <c r="K2" s="262"/>
      <c r="L2" s="262"/>
      <c r="M2" s="368" t="s">
        <v>148</v>
      </c>
      <c r="N2" s="369"/>
      <c r="O2" s="369"/>
      <c r="P2" s="370"/>
      <c r="Q2" s="370"/>
      <c r="R2" s="370"/>
      <c r="S2" s="370"/>
      <c r="T2" s="370"/>
      <c r="U2" s="371"/>
      <c r="V2" s="303"/>
      <c r="X2" s="1533"/>
      <c r="Y2" s="1534"/>
      <c r="Z2" s="1534"/>
      <c r="AA2" s="1534"/>
      <c r="AB2" s="1534"/>
      <c r="AC2" s="1534"/>
      <c r="AD2" s="1534"/>
      <c r="AE2" s="1534"/>
      <c r="AF2" s="1535"/>
      <c r="AG2" s="272"/>
      <c r="AH2" s="305" t="s">
        <v>149</v>
      </c>
      <c r="AL2" s="263"/>
    </row>
    <row r="3" spans="1:59" ht="13.5" customHeight="1" outlineLevel="1">
      <c r="A3" s="262" t="s">
        <v>150</v>
      </c>
      <c r="B3" s="264"/>
      <c r="J3" s="262"/>
      <c r="K3" s="262"/>
      <c r="L3" s="262"/>
      <c r="M3" s="372"/>
      <c r="N3" s="366"/>
      <c r="O3" s="366"/>
      <c r="P3" s="367"/>
      <c r="Q3" s="367"/>
      <c r="R3" s="367"/>
      <c r="S3" s="367"/>
      <c r="T3" s="367"/>
      <c r="U3" s="373"/>
      <c r="V3" s="303"/>
      <c r="X3" s="1536"/>
      <c r="Y3" s="1537"/>
      <c r="Z3" s="1537"/>
      <c r="AA3" s="1537"/>
      <c r="AB3" s="1537"/>
      <c r="AC3" s="1537"/>
      <c r="AD3" s="1537"/>
      <c r="AE3" s="1537"/>
      <c r="AF3" s="1538"/>
      <c r="AH3" s="262" t="s">
        <v>151</v>
      </c>
    </row>
    <row r="4" spans="1:59" ht="13.5" customHeight="1" outlineLevel="1">
      <c r="K4" s="262"/>
      <c r="L4" s="262"/>
      <c r="M4" s="374" t="s">
        <v>152</v>
      </c>
      <c r="N4" s="366"/>
      <c r="O4" s="366"/>
      <c r="P4" s="367"/>
      <c r="Q4" s="367"/>
      <c r="R4" s="367"/>
      <c r="S4" s="367"/>
      <c r="T4" s="367"/>
      <c r="U4" s="373"/>
      <c r="V4" s="303"/>
      <c r="X4" s="1536"/>
      <c r="Y4" s="1537"/>
      <c r="Z4" s="1537"/>
      <c r="AA4" s="1537"/>
      <c r="AB4" s="1537"/>
      <c r="AC4" s="1537"/>
      <c r="AD4" s="1537"/>
      <c r="AE4" s="1537"/>
      <c r="AF4" s="1538"/>
      <c r="AH4" s="819" t="s">
        <v>153</v>
      </c>
      <c r="AI4" s="820"/>
      <c r="AJ4" s="820"/>
      <c r="AK4" s="820"/>
      <c r="AL4" s="820"/>
      <c r="AM4" s="820"/>
      <c r="AN4" s="821"/>
    </row>
    <row r="5" spans="1:59" ht="13.5" customHeight="1" outlineLevel="1">
      <c r="A5" s="828" t="s">
        <v>154</v>
      </c>
      <c r="B5" s="829"/>
      <c r="C5" s="830"/>
      <c r="D5" s="831"/>
      <c r="E5" s="831"/>
      <c r="F5" s="832"/>
      <c r="G5" s="262"/>
      <c r="H5" s="262"/>
      <c r="K5" s="262"/>
      <c r="L5" s="262"/>
      <c r="M5" s="374" t="s">
        <v>155</v>
      </c>
      <c r="N5" s="366"/>
      <c r="O5" s="366"/>
      <c r="P5" s="367"/>
      <c r="Q5" s="367"/>
      <c r="R5" s="367"/>
      <c r="S5" s="367"/>
      <c r="T5" s="367"/>
      <c r="U5" s="373"/>
      <c r="V5" s="303"/>
      <c r="X5" s="1536"/>
      <c r="Y5" s="1537"/>
      <c r="Z5" s="1537"/>
      <c r="AA5" s="1537"/>
      <c r="AB5" s="1537"/>
      <c r="AC5" s="1537"/>
      <c r="AD5" s="1537"/>
      <c r="AE5" s="1537"/>
      <c r="AF5" s="1538"/>
      <c r="AH5" s="804"/>
      <c r="AI5" s="805"/>
      <c r="AJ5" s="805"/>
      <c r="AK5" s="805"/>
      <c r="AL5" s="805"/>
      <c r="AM5" s="805"/>
      <c r="AN5" s="806"/>
    </row>
    <row r="6" spans="1:59" ht="13.5" customHeight="1" outlineLevel="1">
      <c r="A6" s="828" t="s">
        <v>156</v>
      </c>
      <c r="B6" s="829"/>
      <c r="C6" s="830"/>
      <c r="D6" s="831"/>
      <c r="E6" s="831"/>
      <c r="F6" s="832"/>
      <c r="G6" s="262"/>
      <c r="H6" s="262"/>
      <c r="K6" s="262"/>
      <c r="L6" s="262"/>
      <c r="M6" s="374" t="s">
        <v>157</v>
      </c>
      <c r="N6" s="366"/>
      <c r="O6" s="366"/>
      <c r="P6" s="367"/>
      <c r="Q6" s="367"/>
      <c r="R6" s="367"/>
      <c r="S6" s="367"/>
      <c r="T6" s="367"/>
      <c r="U6" s="373"/>
      <c r="V6" s="303"/>
      <c r="X6" s="1536"/>
      <c r="Y6" s="1537"/>
      <c r="Z6" s="1537"/>
      <c r="AA6" s="1537"/>
      <c r="AB6" s="1537"/>
      <c r="AC6" s="1537"/>
      <c r="AD6" s="1537"/>
      <c r="AE6" s="1537"/>
      <c r="AF6" s="1538"/>
      <c r="AH6" s="807"/>
      <c r="AI6" s="808"/>
      <c r="AJ6" s="808"/>
      <c r="AK6" s="808"/>
      <c r="AL6" s="808"/>
      <c r="AM6" s="808"/>
      <c r="AN6" s="809"/>
    </row>
    <row r="7" spans="1:59" ht="13.5" customHeight="1" outlineLevel="1">
      <c r="A7" s="828" t="s">
        <v>158</v>
      </c>
      <c r="B7" s="829"/>
      <c r="C7" s="830"/>
      <c r="D7" s="831"/>
      <c r="E7" s="831"/>
      <c r="F7" s="832"/>
      <c r="K7" s="262"/>
      <c r="L7" s="262"/>
      <c r="M7" s="374" t="s">
        <v>159</v>
      </c>
      <c r="N7" s="366"/>
      <c r="O7" s="366"/>
      <c r="P7" s="367"/>
      <c r="Q7" s="367"/>
      <c r="R7" s="367"/>
      <c r="S7" s="367"/>
      <c r="T7" s="367"/>
      <c r="U7" s="373"/>
      <c r="V7" s="303"/>
      <c r="X7" s="1536"/>
      <c r="Y7" s="1537"/>
      <c r="Z7" s="1537"/>
      <c r="AA7" s="1537"/>
      <c r="AB7" s="1537"/>
      <c r="AC7" s="1537"/>
      <c r="AD7" s="1537"/>
      <c r="AE7" s="1537"/>
      <c r="AF7" s="1538"/>
    </row>
    <row r="8" spans="1:59" ht="13.5" customHeight="1" outlineLevel="1">
      <c r="A8" s="828" t="s">
        <v>160</v>
      </c>
      <c r="B8" s="829"/>
      <c r="C8" s="831"/>
      <c r="D8" s="831"/>
      <c r="E8" s="831"/>
      <c r="F8" s="832"/>
      <c r="J8" s="262"/>
      <c r="K8" s="262"/>
      <c r="L8" s="262"/>
      <c r="M8" s="374" t="s">
        <v>161</v>
      </c>
      <c r="N8" s="366"/>
      <c r="O8" s="366"/>
      <c r="P8" s="367"/>
      <c r="Q8" s="367"/>
      <c r="R8" s="367"/>
      <c r="S8" s="367"/>
      <c r="T8" s="367"/>
      <c r="U8" s="373"/>
      <c r="V8" s="303"/>
      <c r="X8" s="1536"/>
      <c r="Y8" s="1537"/>
      <c r="Z8" s="1537"/>
      <c r="AA8" s="1537"/>
      <c r="AB8" s="1537"/>
      <c r="AC8" s="1537"/>
      <c r="AD8" s="1537"/>
      <c r="AE8" s="1537"/>
      <c r="AF8" s="1538"/>
      <c r="AR8" s="300" t="s">
        <v>162</v>
      </c>
    </row>
    <row r="9" spans="1:59" ht="13.5" customHeight="1" outlineLevel="1">
      <c r="A9" s="262" t="s">
        <v>163</v>
      </c>
      <c r="M9" s="375" t="s">
        <v>164</v>
      </c>
      <c r="N9" s="376"/>
      <c r="O9" s="376"/>
      <c r="P9" s="377"/>
      <c r="Q9" s="377"/>
      <c r="R9" s="377"/>
      <c r="S9" s="377"/>
      <c r="T9" s="377"/>
      <c r="U9" s="378"/>
      <c r="V9" s="303"/>
      <c r="X9" s="1536"/>
      <c r="Y9" s="1537"/>
      <c r="Z9" s="1537"/>
      <c r="AA9" s="1537"/>
      <c r="AB9" s="1537"/>
      <c r="AC9" s="1537"/>
      <c r="AD9" s="1537"/>
      <c r="AE9" s="1537"/>
      <c r="AF9" s="1538"/>
      <c r="AN9" s="262"/>
      <c r="AQ9" s="299" t="s">
        <v>165</v>
      </c>
      <c r="AR9" s="516">
        <f>代理店入力用!D8</f>
        <v>2000</v>
      </c>
    </row>
    <row r="10" spans="1:59" ht="13.5" customHeight="1">
      <c r="A10" s="819"/>
      <c r="B10" s="820"/>
      <c r="C10" s="820"/>
      <c r="D10" s="820"/>
      <c r="E10" s="820"/>
      <c r="F10" s="820"/>
      <c r="G10" s="821"/>
      <c r="M10" s="262"/>
      <c r="N10" s="262"/>
      <c r="O10" s="262"/>
      <c r="P10" s="303"/>
      <c r="Q10" s="303"/>
      <c r="R10" s="303"/>
      <c r="S10" s="303"/>
      <c r="T10" s="303"/>
      <c r="U10" s="303"/>
      <c r="V10" s="303"/>
      <c r="X10" s="1536"/>
      <c r="Y10" s="1537"/>
      <c r="Z10" s="1537"/>
      <c r="AA10" s="1537"/>
      <c r="AB10" s="1537"/>
      <c r="AC10" s="1537"/>
      <c r="AD10" s="1537"/>
      <c r="AE10" s="1537"/>
      <c r="AF10" s="1538"/>
      <c r="AL10" s="827" t="s">
        <v>166</v>
      </c>
      <c r="AM10" s="827"/>
      <c r="AN10" s="827"/>
      <c r="AO10" s="297"/>
    </row>
    <row r="11" spans="1:59" ht="13.5" customHeight="1">
      <c r="A11" s="804"/>
      <c r="B11" s="805"/>
      <c r="C11" s="805"/>
      <c r="D11" s="805"/>
      <c r="E11" s="805"/>
      <c r="F11" s="805"/>
      <c r="G11" s="806"/>
      <c r="L11" s="262"/>
      <c r="M11" s="387" t="s">
        <v>74</v>
      </c>
      <c r="N11" s="387" t="s">
        <v>75</v>
      </c>
      <c r="O11" s="387" t="s">
        <v>76</v>
      </c>
      <c r="P11" s="387" t="s">
        <v>167</v>
      </c>
      <c r="Q11" s="386" t="s">
        <v>168</v>
      </c>
      <c r="R11" s="303"/>
      <c r="S11" s="303"/>
      <c r="T11" s="303"/>
      <c r="U11" s="303"/>
      <c r="V11" s="303"/>
      <c r="X11" s="1539"/>
      <c r="Y11" s="1540"/>
      <c r="Z11" s="1540"/>
      <c r="AA11" s="1540"/>
      <c r="AB11" s="1540"/>
      <c r="AC11" s="1540"/>
      <c r="AD11" s="1540"/>
      <c r="AE11" s="1540"/>
      <c r="AF11" s="1541"/>
      <c r="AH11" s="826" t="s">
        <v>169</v>
      </c>
      <c r="AI11" s="826"/>
      <c r="AJ11" s="339" t="s">
        <v>170</v>
      </c>
      <c r="AL11" s="501" t="s">
        <v>171</v>
      </c>
      <c r="AM11" s="501" t="s">
        <v>172</v>
      </c>
      <c r="AN11" s="501" t="s">
        <v>173</v>
      </c>
      <c r="AQ11" s="37" t="s">
        <v>174</v>
      </c>
      <c r="AR11" s="267"/>
      <c r="AS11" s="301" t="s">
        <v>175</v>
      </c>
      <c r="AT11" s="269">
        <v>0.2</v>
      </c>
    </row>
    <row r="12" spans="1:59" ht="13.5" customHeight="1" thickBot="1">
      <c r="A12" s="804"/>
      <c r="B12" s="805"/>
      <c r="C12" s="805"/>
      <c r="D12" s="805"/>
      <c r="E12" s="805"/>
      <c r="F12" s="805"/>
      <c r="G12" s="806"/>
      <c r="J12" s="839" t="s">
        <v>176</v>
      </c>
      <c r="K12" s="840"/>
      <c r="L12" s="466">
        <f>SUM(M12:P12)</f>
        <v>0</v>
      </c>
      <c r="M12" s="439"/>
      <c r="N12" s="439"/>
      <c r="O12" s="439"/>
      <c r="P12" s="439"/>
      <c r="Q12" s="386" t="s">
        <v>177</v>
      </c>
      <c r="R12" s="303"/>
      <c r="S12" s="303"/>
      <c r="T12" s="303"/>
      <c r="U12" s="303"/>
      <c r="V12" s="303"/>
      <c r="X12" s="1542"/>
      <c r="Y12" s="1542"/>
      <c r="Z12" s="1542"/>
      <c r="AA12" s="1542"/>
      <c r="AB12" s="1542"/>
      <c r="AC12" s="1542"/>
      <c r="AD12" s="1542"/>
      <c r="AE12" s="1542"/>
      <c r="AF12" s="1542"/>
      <c r="AH12" s="841"/>
      <c r="AI12" s="841"/>
      <c r="AJ12" s="340"/>
      <c r="AL12" s="502" t="str">
        <f ca="1">IFERROR(AO14/AH14,"0")</f>
        <v>0</v>
      </c>
      <c r="AM12" s="502" t="str">
        <f ca="1">IFERROR(AQ14/AH14,"0")</f>
        <v>0</v>
      </c>
      <c r="AN12" s="503" t="str">
        <f ca="1">⑨シミュレーション!AQ32</f>
        <v>0</v>
      </c>
      <c r="AQ12" s="37" t="s">
        <v>178</v>
      </c>
      <c r="AR12" s="265">
        <v>0.05</v>
      </c>
      <c r="AS12" s="301" t="s">
        <v>179</v>
      </c>
      <c r="AT12" s="269">
        <v>0.03</v>
      </c>
    </row>
    <row r="13" spans="1:59" ht="13.5" customHeight="1" thickBot="1">
      <c r="A13" s="807"/>
      <c r="B13" s="825"/>
      <c r="C13" s="808"/>
      <c r="D13" s="808"/>
      <c r="E13" s="808"/>
      <c r="F13" s="808"/>
      <c r="G13" s="809"/>
      <c r="X13" s="357"/>
      <c r="AG13" s="262"/>
      <c r="AH13" s="268"/>
      <c r="AK13" s="268"/>
      <c r="AL13" s="273"/>
      <c r="AM13" s="270"/>
      <c r="AN13" s="270"/>
      <c r="AO13" s="270"/>
      <c r="AP13" s="270"/>
      <c r="AS13" s="37"/>
      <c r="AY13" s="833" t="s">
        <v>180</v>
      </c>
      <c r="AZ13" s="834"/>
      <c r="BA13" s="834"/>
      <c r="BB13" s="834"/>
      <c r="BC13" s="834"/>
      <c r="BD13" s="834"/>
      <c r="BE13" s="834"/>
      <c r="BF13" s="834"/>
      <c r="BG13" s="835"/>
    </row>
    <row r="14" spans="1:59" ht="13.5" customHeight="1" thickBot="1">
      <c r="B14" s="597" t="s">
        <v>55</v>
      </c>
      <c r="C14" s="22" t="s">
        <v>181</v>
      </c>
      <c r="G14" s="37" t="s">
        <v>182</v>
      </c>
      <c r="L14" s="37">
        <f>SUM(L16:L45)</f>
        <v>0</v>
      </c>
      <c r="W14" s="274">
        <f>SUM(W16:W45)</f>
        <v>0</v>
      </c>
      <c r="Y14" s="275">
        <f>SUM(Y16:Y45)</f>
        <v>0</v>
      </c>
      <c r="AB14" s="274">
        <f>SUM(AB16:AB45)</f>
        <v>0</v>
      </c>
      <c r="AC14" s="275">
        <f>SUM(AC16:AC45)</f>
        <v>0</v>
      </c>
      <c r="AD14" s="270"/>
      <c r="AE14" s="22" t="s">
        <v>183</v>
      </c>
      <c r="AF14" s="273"/>
      <c r="AH14" s="276">
        <f>SUM(AH16:AH45)</f>
        <v>0</v>
      </c>
      <c r="AI14" s="277">
        <f>SUM(AI16:AI45)</f>
        <v>0</v>
      </c>
      <c r="AJ14" s="277">
        <f ca="1">SUM(AJ16:AJ45)+AJ12</f>
        <v>0</v>
      </c>
      <c r="AK14" s="278">
        <f ca="1">AL14/54</f>
        <v>0</v>
      </c>
      <c r="AL14" s="278">
        <f ca="1">SUM(AL16:AL45)+AJ12</f>
        <v>0</v>
      </c>
      <c r="AM14" s="278">
        <f ca="1">SUM(AM16:AM45)</f>
        <v>0</v>
      </c>
      <c r="AN14" s="270"/>
      <c r="AO14" s="278">
        <f t="shared" ref="AO14:AT14" ca="1" si="1">SUM(AO16:AO45)</f>
        <v>0</v>
      </c>
      <c r="AP14" s="278">
        <f t="shared" ca="1" si="1"/>
        <v>0</v>
      </c>
      <c r="AQ14" s="324">
        <f t="shared" ca="1" si="1"/>
        <v>0</v>
      </c>
      <c r="AR14" s="325">
        <f t="shared" ca="1" si="1"/>
        <v>0</v>
      </c>
      <c r="AS14" s="278">
        <f t="shared" ca="1" si="1"/>
        <v>0</v>
      </c>
      <c r="AT14" s="325">
        <f t="shared" ca="1" si="1"/>
        <v>0</v>
      </c>
      <c r="AU14" s="300" t="s">
        <v>184</v>
      </c>
      <c r="AY14" s="836"/>
      <c r="AZ14" s="837"/>
      <c r="BA14" s="837"/>
      <c r="BB14" s="837"/>
      <c r="BC14" s="837"/>
      <c r="BD14" s="837"/>
      <c r="BE14" s="837"/>
      <c r="BF14" s="837"/>
      <c r="BG14" s="838"/>
    </row>
    <row r="15" spans="1:59" s="280" customFormat="1" ht="13.5" customHeight="1">
      <c r="A15" s="279"/>
      <c r="B15" s="596" t="s">
        <v>87</v>
      </c>
      <c r="C15" s="279" t="s">
        <v>185</v>
      </c>
      <c r="D15" s="279" t="s">
        <v>186</v>
      </c>
      <c r="E15" s="279" t="s">
        <v>187</v>
      </c>
      <c r="F15" s="279" t="s">
        <v>188</v>
      </c>
      <c r="G15" s="279" t="s">
        <v>189</v>
      </c>
      <c r="H15" s="279" t="s">
        <v>190</v>
      </c>
      <c r="I15" s="279" t="s">
        <v>191</v>
      </c>
      <c r="J15" s="279" t="s">
        <v>192</v>
      </c>
      <c r="K15" s="279" t="s">
        <v>193</v>
      </c>
      <c r="L15" s="279" t="s">
        <v>194</v>
      </c>
      <c r="M15" s="279" t="s">
        <v>195</v>
      </c>
      <c r="N15" s="279" t="s">
        <v>196</v>
      </c>
      <c r="O15" s="279" t="s">
        <v>197</v>
      </c>
      <c r="P15" s="279" t="s">
        <v>198</v>
      </c>
      <c r="Q15" s="279" t="s">
        <v>199</v>
      </c>
      <c r="R15" s="279" t="s">
        <v>200</v>
      </c>
      <c r="S15" s="279" t="s">
        <v>201</v>
      </c>
      <c r="T15" s="279" t="s">
        <v>202</v>
      </c>
      <c r="U15" s="279" t="s">
        <v>203</v>
      </c>
      <c r="V15" s="279" t="s">
        <v>204</v>
      </c>
      <c r="W15" s="279" t="s">
        <v>205</v>
      </c>
      <c r="X15" s="279" t="s">
        <v>206</v>
      </c>
      <c r="Y15" s="279" t="s">
        <v>207</v>
      </c>
      <c r="Z15" s="280" t="s">
        <v>208</v>
      </c>
      <c r="AA15" s="279" t="s">
        <v>193</v>
      </c>
      <c r="AB15" s="279" t="s">
        <v>205</v>
      </c>
      <c r="AC15" s="279" t="s">
        <v>207</v>
      </c>
      <c r="AD15" s="733" t="s">
        <v>209</v>
      </c>
      <c r="AE15" s="296" t="s">
        <v>210</v>
      </c>
      <c r="AG15" s="279" t="s">
        <v>87</v>
      </c>
      <c r="AH15" s="281" t="s">
        <v>211</v>
      </c>
      <c r="AI15" s="279" t="s">
        <v>212</v>
      </c>
      <c r="AJ15" s="326" t="s">
        <v>5</v>
      </c>
      <c r="AK15" s="334" t="s">
        <v>35</v>
      </c>
      <c r="AL15" s="296" t="s">
        <v>213</v>
      </c>
      <c r="AM15" s="361" t="s">
        <v>214</v>
      </c>
      <c r="AN15" s="296" t="s">
        <v>215</v>
      </c>
      <c r="AO15" s="331" t="s">
        <v>216</v>
      </c>
      <c r="AP15" s="332" t="s">
        <v>217</v>
      </c>
      <c r="AQ15" s="332" t="s">
        <v>218</v>
      </c>
      <c r="AR15" s="332" t="s">
        <v>219</v>
      </c>
      <c r="AS15" s="332" t="s">
        <v>220</v>
      </c>
      <c r="AT15" s="333" t="s">
        <v>221</v>
      </c>
      <c r="AU15" s="279" t="s">
        <v>222</v>
      </c>
      <c r="AV15" s="360" t="s">
        <v>223</v>
      </c>
      <c r="AW15" s="280" t="s">
        <v>224</v>
      </c>
      <c r="AY15" s="532" t="s">
        <v>225</v>
      </c>
      <c r="AZ15" s="533" t="s">
        <v>226</v>
      </c>
      <c r="BA15" s="533" t="s">
        <v>227</v>
      </c>
      <c r="BB15" s="533" t="s">
        <v>105</v>
      </c>
      <c r="BC15" s="533" t="s">
        <v>228</v>
      </c>
      <c r="BD15" s="533" t="s">
        <v>229</v>
      </c>
      <c r="BE15" s="533" t="s">
        <v>230</v>
      </c>
      <c r="BF15" s="533" t="s">
        <v>231</v>
      </c>
      <c r="BG15" s="534" t="s">
        <v>211</v>
      </c>
    </row>
    <row r="16" spans="1:59" ht="13.5" customHeight="1">
      <c r="A16" s="656" t="s">
        <v>232</v>
      </c>
      <c r="B16" s="770">
        <f>IF(C16="","",$C$5)</f>
        <v>0</v>
      </c>
      <c r="C16" s="283" t="s">
        <v>233</v>
      </c>
      <c r="D16" s="283"/>
      <c r="E16" s="284"/>
      <c r="F16" s="284"/>
      <c r="G16" s="442"/>
      <c r="H16" s="285">
        <f>PRODUCT(I16,J16)</f>
        <v>0</v>
      </c>
      <c r="I16" s="283"/>
      <c r="J16" s="282" t="str">
        <f>IF(I16&lt;&gt;"",30,"")</f>
        <v/>
      </c>
      <c r="K16" s="283"/>
      <c r="L16" s="282">
        <f t="shared" ref="L16:L32" si="2">SUM(M16:V16)</f>
        <v>0</v>
      </c>
      <c r="M16" s="283"/>
      <c r="N16" s="283"/>
      <c r="O16" s="283"/>
      <c r="P16" s="283"/>
      <c r="Q16" s="283"/>
      <c r="R16" s="283"/>
      <c r="S16" s="283"/>
      <c r="T16" s="283"/>
      <c r="U16" s="283"/>
      <c r="V16" s="283"/>
      <c r="W16" s="282">
        <f>($L16*$K16*$H16)/1000</f>
        <v>0</v>
      </c>
      <c r="X16" s="283">
        <v>30</v>
      </c>
      <c r="Y16" s="286">
        <f>ROUNDDOWN($W16*$X16,0)</f>
        <v>0</v>
      </c>
      <c r="AA16" s="287">
        <f>IFERROR(VLOOKUP($G16,選定!$C$3:$AG$100,5,FALSE),0)</f>
        <v>0</v>
      </c>
      <c r="AB16" s="282">
        <f t="shared" ref="AB16:AB45" si="3">($AA16*$L16*$H16)/1000</f>
        <v>0</v>
      </c>
      <c r="AC16" s="286">
        <f>ROUNDDOWN($AB16*$AD16,0)</f>
        <v>0</v>
      </c>
      <c r="AD16" s="283">
        <v>30</v>
      </c>
      <c r="AE16" s="613">
        <v>3000</v>
      </c>
      <c r="AF16" s="289">
        <v>1</v>
      </c>
      <c r="AG16" s="670">
        <f>C5</f>
        <v>0</v>
      </c>
      <c r="AH16" s="290">
        <f>SUMIF($B$16:$B$45,$AG16,$L$16:$L$45)</f>
        <v>0</v>
      </c>
      <c r="AI16" s="291">
        <f>SUMIF($B$16:$B$45,$AG16,LED計算式!$T$4:$T$33)</f>
        <v>0</v>
      </c>
      <c r="AJ16" s="291">
        <f ca="1">SUMIF($B$16:$B$45,$AG16,LED計算式!$U$4)</f>
        <v>0</v>
      </c>
      <c r="AK16" s="329">
        <f ca="1">IFERROR(AL16*LED計算式!$AC$2,"")</f>
        <v>0</v>
      </c>
      <c r="AL16" s="329">
        <f ca="1">ROUNDDOWN((AI16+AJ16)/(100%-$AN16),-3)</f>
        <v>0</v>
      </c>
      <c r="AM16" s="330">
        <f t="shared" ref="AM16:AM45" ca="1" si="4">IFERROR($AL16-$AI16-$AJ16,"")</f>
        <v>0</v>
      </c>
      <c r="AN16" s="499">
        <v>0.4</v>
      </c>
      <c r="AO16" s="327">
        <f ca="1">IFERROR(ROUNDDOWN($AL16*(100%-($AR$11+AU16)),-3),"")</f>
        <v>0</v>
      </c>
      <c r="AP16" s="328">
        <f t="shared" ref="AP16:AP45" ca="1" si="5">AI16+AJ16</f>
        <v>0</v>
      </c>
      <c r="AQ16" s="328">
        <f t="shared" ref="AQ16:AQ45" ca="1" si="6">IFERROR(AO16-AI16-AJ16-AS16-AT16,"")</f>
        <v>0</v>
      </c>
      <c r="AR16" s="327">
        <f ca="1">ROUNDDOWN(AO16*LED計算式!$AC$2,0)</f>
        <v>0</v>
      </c>
      <c r="AS16" s="327">
        <f t="shared" ref="AS16:AS45" ca="1" si="7">IFERROR(AO16*$AT$11,"")</f>
        <v>0</v>
      </c>
      <c r="AT16" s="327">
        <f t="shared" ref="AT16:AT45" ca="1" si="8">AO16*$AT$12</f>
        <v>0</v>
      </c>
      <c r="AU16" s="337"/>
      <c r="AV16" s="359">
        <f t="shared" ref="AV16:AV45" ca="1" si="9">IFERROR(AO16/AH16,0)</f>
        <v>0</v>
      </c>
      <c r="AW16" s="359">
        <f t="shared" ref="AW16:AW45" ca="1" si="10">IFERROR(AQ16/AH16,0)</f>
        <v>0</v>
      </c>
      <c r="AY16" s="527" t="str">
        <f>IFERROR(VLOOKUP(G16,選定!$C$3:$AG$100,28,FALSE),"0")</f>
        <v>0</v>
      </c>
      <c r="AZ16" s="37" t="str">
        <f>C16</f>
        <v>あいえうお</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28">
        <f>L16</f>
        <v>0</v>
      </c>
    </row>
    <row r="17" spans="1:59" ht="13.5" customHeight="1">
      <c r="A17" s="656" t="s">
        <v>30</v>
      </c>
      <c r="B17" s="770">
        <f t="shared" ref="B17:B45" si="11">IF(C17="","",$C$5)</f>
        <v>0</v>
      </c>
      <c r="C17" s="283" t="s">
        <v>234</v>
      </c>
      <c r="D17" s="283"/>
      <c r="E17" s="284"/>
      <c r="F17" s="284"/>
      <c r="G17" s="442"/>
      <c r="H17" s="285">
        <f>PRODUCT(I17,J17)</f>
        <v>0</v>
      </c>
      <c r="I17" s="283"/>
      <c r="J17" s="282" t="str">
        <f t="shared" ref="J17:J45" si="12">IF(I17&lt;&gt;"",30,"")</f>
        <v/>
      </c>
      <c r="K17" s="283"/>
      <c r="L17" s="282">
        <f t="shared" si="2"/>
        <v>0</v>
      </c>
      <c r="M17" s="283"/>
      <c r="N17" s="283"/>
      <c r="O17" s="283"/>
      <c r="P17" s="283"/>
      <c r="Q17" s="283"/>
      <c r="R17" s="283"/>
      <c r="S17" s="283"/>
      <c r="T17" s="283"/>
      <c r="U17" s="283"/>
      <c r="V17" s="283"/>
      <c r="W17" s="282">
        <f t="shared" ref="W17:W32" si="13">($L17*$K17*$H17)/1000</f>
        <v>0</v>
      </c>
      <c r="X17" s="282">
        <f t="shared" ref="X17:X36" si="14">$X$16</f>
        <v>30</v>
      </c>
      <c r="Y17" s="286">
        <f t="shared" ref="Y17:Y45" si="15">ROUNDDOWN($W17*$X17,0)</f>
        <v>0</v>
      </c>
      <c r="AA17" s="287">
        <f>IFERROR(VLOOKUP($G17,選定!$C$3:$AG$100,5,FALSE),0)</f>
        <v>0</v>
      </c>
      <c r="AB17" s="282">
        <f t="shared" si="3"/>
        <v>0</v>
      </c>
      <c r="AC17" s="286">
        <f t="shared" ref="AC17:AC45" si="16">ROUNDDOWN($AB17*$AD17,0)</f>
        <v>0</v>
      </c>
      <c r="AD17" s="282">
        <f>$AD$16</f>
        <v>30</v>
      </c>
      <c r="AE17" s="614">
        <v>3000</v>
      </c>
      <c r="AF17" s="289">
        <v>2</v>
      </c>
      <c r="AG17" s="670"/>
      <c r="AH17" s="290">
        <f>SUMIF($B$16:$B$45,$AG17,$L$16:$L$45)</f>
        <v>0</v>
      </c>
      <c r="AI17" s="291">
        <f>SUMIF($B$16:$B$45,$AG17,LED計算式!$T$4:$T$33)</f>
        <v>0</v>
      </c>
      <c r="AJ17" s="291">
        <f ca="1">SUMIF($B$16:$B$45,$AG17,LED計算式!$U$4)</f>
        <v>0</v>
      </c>
      <c r="AK17" s="329">
        <f ca="1">IFERROR(AL17*LED計算式!$AC$2,"")</f>
        <v>0</v>
      </c>
      <c r="AL17" s="292">
        <f t="shared" ref="AL17:AL19" ca="1" si="17">ROUNDDOWN((AI17+AJ17)/(100%-$AN17),-3)</f>
        <v>0</v>
      </c>
      <c r="AM17" s="362">
        <f t="shared" ca="1" si="4"/>
        <v>0</v>
      </c>
      <c r="AN17" s="500">
        <f t="shared" ref="AN17:AN29" si="18">$AN$16</f>
        <v>0.4</v>
      </c>
      <c r="AO17" s="322">
        <f t="shared" ref="AO17:AO19" ca="1" si="19">IFERROR(ROUNDDOWN($AL17*(100%-($AR$11+AU17)),-3),"")</f>
        <v>0</v>
      </c>
      <c r="AP17" s="323">
        <f t="shared" ca="1" si="5"/>
        <v>0</v>
      </c>
      <c r="AQ17" s="323">
        <f t="shared" ca="1" si="6"/>
        <v>0</v>
      </c>
      <c r="AR17" s="327">
        <f ca="1">ROUNDDOWN(AO17*LED計算式!$AC$2,0)</f>
        <v>0</v>
      </c>
      <c r="AS17" s="322">
        <f t="shared" ca="1" si="7"/>
        <v>0</v>
      </c>
      <c r="AT17" s="322">
        <f t="shared" ca="1" si="8"/>
        <v>0</v>
      </c>
      <c r="AU17" s="337"/>
      <c r="AV17" s="359">
        <f t="shared" ca="1" si="9"/>
        <v>0</v>
      </c>
      <c r="AW17" s="359">
        <f t="shared" ca="1" si="10"/>
        <v>0</v>
      </c>
      <c r="AY17" s="527" t="str">
        <f>IFERROR(VLOOKUP(G17,選定!$C$3:$AG$100,28,FALSE),"0")</f>
        <v>0</v>
      </c>
      <c r="AZ17" s="37" t="str">
        <f t="shared" ref="AZ17:AZ45" si="20">C17</f>
        <v>あいえうお</v>
      </c>
      <c r="BA17" s="37">
        <f t="shared" ref="BA17:BA45" si="21">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28">
        <f t="shared" ref="BG17:BG45" si="22">L17</f>
        <v>0</v>
      </c>
    </row>
    <row r="18" spans="1:59" ht="13.5" customHeight="1">
      <c r="A18" s="656" t="s">
        <v>235</v>
      </c>
      <c r="B18" s="770">
        <f t="shared" si="11"/>
        <v>0</v>
      </c>
      <c r="C18" s="283" t="s">
        <v>234</v>
      </c>
      <c r="D18" s="283"/>
      <c r="E18" s="284"/>
      <c r="F18" s="284"/>
      <c r="G18" s="442"/>
      <c r="H18" s="285">
        <f>PRODUCT(I18,J18)</f>
        <v>0</v>
      </c>
      <c r="I18" s="283"/>
      <c r="J18" s="282" t="str">
        <f t="shared" ref="J18:J19" si="23">IF(I18&lt;&gt;"",30,"")</f>
        <v/>
      </c>
      <c r="K18" s="283"/>
      <c r="L18" s="282">
        <f t="shared" ref="L18:L19" si="24">SUM(M18:V18)</f>
        <v>0</v>
      </c>
      <c r="M18" s="283"/>
      <c r="N18" s="283"/>
      <c r="O18" s="283"/>
      <c r="P18" s="283"/>
      <c r="Q18" s="283"/>
      <c r="R18" s="283"/>
      <c r="S18" s="283"/>
      <c r="T18" s="283"/>
      <c r="U18" s="283"/>
      <c r="V18" s="283"/>
      <c r="W18" s="282">
        <f t="shared" si="13"/>
        <v>0</v>
      </c>
      <c r="X18" s="282">
        <f t="shared" si="14"/>
        <v>30</v>
      </c>
      <c r="Y18" s="286">
        <f t="shared" si="15"/>
        <v>0</v>
      </c>
      <c r="AA18" s="287">
        <f>IFERROR(VLOOKUP($G18,選定!$C$3:$AG$100,5,FALSE),0)</f>
        <v>0</v>
      </c>
      <c r="AB18" s="282">
        <f t="shared" si="3"/>
        <v>0</v>
      </c>
      <c r="AC18" s="286">
        <f t="shared" si="16"/>
        <v>0</v>
      </c>
      <c r="AD18" s="282">
        <f t="shared" ref="AD18:AD45" si="25">$AD$16</f>
        <v>30</v>
      </c>
      <c r="AE18" s="614">
        <v>3000</v>
      </c>
      <c r="AF18" s="289">
        <v>3</v>
      </c>
      <c r="AG18" s="772"/>
      <c r="AH18" s="290">
        <f>SUMIF($B$16:$B$45,$AG18,$L$16:$L$45)</f>
        <v>0</v>
      </c>
      <c r="AI18" s="291">
        <f>SUMIF($B$16:$B$45,$AG18,LED計算式!$T$4:$T$33)</f>
        <v>0</v>
      </c>
      <c r="AJ18" s="291">
        <f ca="1">SUMIF($B$16:$B$45,$AG18,LED計算式!$U$4)</f>
        <v>0</v>
      </c>
      <c r="AK18" s="329">
        <f ca="1">IFERROR(AL18*LED計算式!$AC$2,"")</f>
        <v>0</v>
      </c>
      <c r="AL18" s="292">
        <f t="shared" ca="1" si="17"/>
        <v>0</v>
      </c>
      <c r="AM18" s="362">
        <f t="shared" ca="1" si="4"/>
        <v>0</v>
      </c>
      <c r="AN18" s="500">
        <f t="shared" si="18"/>
        <v>0.4</v>
      </c>
      <c r="AO18" s="322">
        <f t="shared" ca="1" si="19"/>
        <v>0</v>
      </c>
      <c r="AP18" s="323">
        <f t="shared" ca="1" si="5"/>
        <v>0</v>
      </c>
      <c r="AQ18" s="323">
        <f t="shared" ca="1" si="6"/>
        <v>0</v>
      </c>
      <c r="AR18" s="327">
        <f ca="1">ROUNDDOWN(AO18*LED計算式!$AC$2,0)</f>
        <v>0</v>
      </c>
      <c r="AS18" s="322">
        <f t="shared" ca="1" si="7"/>
        <v>0</v>
      </c>
      <c r="AT18" s="322">
        <f t="shared" ca="1" si="8"/>
        <v>0</v>
      </c>
      <c r="AU18" s="337"/>
      <c r="AV18" s="359">
        <f t="shared" ca="1" si="9"/>
        <v>0</v>
      </c>
      <c r="AW18" s="359">
        <f t="shared" ca="1" si="10"/>
        <v>0</v>
      </c>
      <c r="AY18" s="527" t="str">
        <f>IFERROR(VLOOKUP(G18,選定!$C$3:$AG$100,28,FALSE),"0")</f>
        <v>0</v>
      </c>
      <c r="AZ18" s="37" t="str">
        <f t="shared" si="20"/>
        <v>あいえうお</v>
      </c>
      <c r="BA18" s="37">
        <f t="shared" si="21"/>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28">
        <f t="shared" si="22"/>
        <v>0</v>
      </c>
    </row>
    <row r="19" spans="1:59" ht="13.5" customHeight="1">
      <c r="A19" s="656" t="s">
        <v>236</v>
      </c>
      <c r="B19" s="770">
        <f t="shared" si="11"/>
        <v>0</v>
      </c>
      <c r="C19" s="283" t="s">
        <v>234</v>
      </c>
      <c r="D19" s="283"/>
      <c r="E19" s="284"/>
      <c r="F19" s="284"/>
      <c r="G19" s="442"/>
      <c r="H19" s="285">
        <f>PRODUCT(I19,J19)</f>
        <v>0</v>
      </c>
      <c r="I19" s="283"/>
      <c r="J19" s="282" t="str">
        <f t="shared" si="23"/>
        <v/>
      </c>
      <c r="K19" s="283"/>
      <c r="L19" s="282">
        <f t="shared" si="24"/>
        <v>0</v>
      </c>
      <c r="M19" s="283"/>
      <c r="N19" s="283"/>
      <c r="O19" s="283"/>
      <c r="P19" s="283"/>
      <c r="Q19" s="283"/>
      <c r="R19" s="283"/>
      <c r="S19" s="283"/>
      <c r="T19" s="283"/>
      <c r="U19" s="283"/>
      <c r="V19" s="283"/>
      <c r="W19" s="282">
        <f t="shared" si="13"/>
        <v>0</v>
      </c>
      <c r="X19" s="282">
        <f t="shared" si="14"/>
        <v>30</v>
      </c>
      <c r="Y19" s="286">
        <f t="shared" si="15"/>
        <v>0</v>
      </c>
      <c r="AA19" s="287">
        <f>IFERROR(VLOOKUP($G19,選定!$C$3:$AG$100,5,FALSE),0)</f>
        <v>0</v>
      </c>
      <c r="AB19" s="282">
        <f t="shared" si="3"/>
        <v>0</v>
      </c>
      <c r="AC19" s="286">
        <f t="shared" si="16"/>
        <v>0</v>
      </c>
      <c r="AD19" s="282">
        <f t="shared" si="25"/>
        <v>30</v>
      </c>
      <c r="AE19" s="614">
        <v>3000</v>
      </c>
      <c r="AF19" s="288">
        <v>4</v>
      </c>
      <c r="AG19" s="772"/>
      <c r="AH19" s="290">
        <f>SUMIF($B$16:$B$45,$AG19,$L$16:$L$45)</f>
        <v>0</v>
      </c>
      <c r="AI19" s="291">
        <f>SUMIF($B$16:$B$45,$AG19,LED計算式!$T$4:$T$33)</f>
        <v>0</v>
      </c>
      <c r="AJ19" s="291">
        <f ca="1">SUMIF($B$16:$B$45,$AG19,LED計算式!$U$4)</f>
        <v>0</v>
      </c>
      <c r="AK19" s="329">
        <f ca="1">IFERROR(AL19*LED計算式!$AC$2,"")</f>
        <v>0</v>
      </c>
      <c r="AL19" s="292">
        <f t="shared" ca="1" si="17"/>
        <v>0</v>
      </c>
      <c r="AM19" s="362">
        <f t="shared" ca="1" si="4"/>
        <v>0</v>
      </c>
      <c r="AN19" s="500">
        <f t="shared" si="18"/>
        <v>0.4</v>
      </c>
      <c r="AO19" s="322">
        <f t="shared" ca="1" si="19"/>
        <v>0</v>
      </c>
      <c r="AP19" s="323">
        <f t="shared" ca="1" si="5"/>
        <v>0</v>
      </c>
      <c r="AQ19" s="323">
        <f t="shared" ca="1" si="6"/>
        <v>0</v>
      </c>
      <c r="AR19" s="327">
        <f ca="1">ROUNDDOWN(AO19*LED計算式!$AC$2,0)</f>
        <v>0</v>
      </c>
      <c r="AS19" s="322">
        <f t="shared" ca="1" si="7"/>
        <v>0</v>
      </c>
      <c r="AT19" s="322">
        <f t="shared" ca="1" si="8"/>
        <v>0</v>
      </c>
      <c r="AU19" s="337"/>
      <c r="AV19" s="359">
        <f t="shared" ca="1" si="9"/>
        <v>0</v>
      </c>
      <c r="AW19" s="359">
        <f t="shared" ca="1" si="10"/>
        <v>0</v>
      </c>
      <c r="AY19" s="527" t="str">
        <f>IFERROR(VLOOKUP(G19,選定!$C$3:$AG$100,28,FALSE),"0")</f>
        <v>0</v>
      </c>
      <c r="AZ19" s="37" t="str">
        <f t="shared" si="20"/>
        <v>あいえうお</v>
      </c>
      <c r="BA19" s="37">
        <f t="shared" si="21"/>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28">
        <f t="shared" si="22"/>
        <v>0</v>
      </c>
    </row>
    <row r="20" spans="1:59" ht="13.5" customHeight="1">
      <c r="A20" s="656" t="s">
        <v>237</v>
      </c>
      <c r="B20" s="770">
        <f t="shared" si="11"/>
        <v>0</v>
      </c>
      <c r="C20" s="283" t="s">
        <v>234</v>
      </c>
      <c r="D20" s="283"/>
      <c r="E20" s="284"/>
      <c r="F20" s="284"/>
      <c r="G20" s="442"/>
      <c r="H20" s="285">
        <f t="shared" ref="H20:H32" si="26">PRODUCT(I20,J20)</f>
        <v>0</v>
      </c>
      <c r="I20" s="283"/>
      <c r="J20" s="282" t="str">
        <f t="shared" si="12"/>
        <v/>
      </c>
      <c r="K20" s="283"/>
      <c r="L20" s="282">
        <f t="shared" si="2"/>
        <v>0</v>
      </c>
      <c r="M20" s="283"/>
      <c r="N20" s="283"/>
      <c r="O20" s="283"/>
      <c r="P20" s="283"/>
      <c r="Q20" s="283"/>
      <c r="R20" s="283"/>
      <c r="S20" s="283"/>
      <c r="T20" s="283"/>
      <c r="U20" s="283"/>
      <c r="V20" s="283"/>
      <c r="W20" s="282">
        <f t="shared" si="13"/>
        <v>0</v>
      </c>
      <c r="X20" s="282">
        <f t="shared" si="14"/>
        <v>30</v>
      </c>
      <c r="Y20" s="286">
        <f t="shared" si="15"/>
        <v>0</v>
      </c>
      <c r="AA20" s="287">
        <f>IFERROR(VLOOKUP($G20,選定!$C$3:$AG$100,5,FALSE),0)</f>
        <v>0</v>
      </c>
      <c r="AB20" s="282">
        <f t="shared" si="3"/>
        <v>0</v>
      </c>
      <c r="AC20" s="286">
        <f t="shared" si="16"/>
        <v>0</v>
      </c>
      <c r="AD20" s="282">
        <f t="shared" si="25"/>
        <v>30</v>
      </c>
      <c r="AE20" s="614">
        <v>3000</v>
      </c>
      <c r="AF20" s="288">
        <v>5</v>
      </c>
      <c r="AG20" s="670"/>
      <c r="AH20" s="671">
        <f t="shared" ref="AH20:AH45" si="27">SUMIF($B$16:$B$45,$AG20,$L$16:$L$45)</f>
        <v>0</v>
      </c>
      <c r="AI20" s="395">
        <f>SUMIF($B$16:$B$45,$AG20,LED計算式!$T$4:$T$33)</f>
        <v>0</v>
      </c>
      <c r="AJ20" s="395">
        <f ca="1">SUMIF($B$16:$B$45,$AG20,LED計算式!$U$4)</f>
        <v>0</v>
      </c>
      <c r="AK20" s="395">
        <f t="shared" ref="AK20:AK45" ca="1" si="28">IFERROR(AL20/54,"")</f>
        <v>0</v>
      </c>
      <c r="AL20" s="395">
        <f t="shared" ref="AL20:AL45" ca="1" si="29">ROUNDDOWN((AI20+AJ20)/(100%-$AN20),0)</f>
        <v>0</v>
      </c>
      <c r="AM20" s="672">
        <f t="shared" ca="1" si="4"/>
        <v>0</v>
      </c>
      <c r="AN20" s="673">
        <f t="shared" si="18"/>
        <v>0.4</v>
      </c>
      <c r="AO20" s="395">
        <f t="shared" ref="AO20:AO45" ca="1" si="30">IFERROR(ROUNDDOWN($AL20*(100%-($AR$11+AU20)),0),"")</f>
        <v>0</v>
      </c>
      <c r="AP20" s="674">
        <f t="shared" ca="1" si="5"/>
        <v>0</v>
      </c>
      <c r="AQ20" s="674">
        <f t="shared" ca="1" si="6"/>
        <v>0</v>
      </c>
      <c r="AR20" s="395">
        <f t="shared" ref="AR20:AR45" ca="1" si="31">ROUNDDOWN(AO20/54,0)</f>
        <v>0</v>
      </c>
      <c r="AS20" s="395">
        <f t="shared" ca="1" si="7"/>
        <v>0</v>
      </c>
      <c r="AT20" s="395">
        <f t="shared" ca="1" si="8"/>
        <v>0</v>
      </c>
      <c r="AU20" s="675"/>
      <c r="AV20" s="676">
        <f t="shared" ca="1" si="9"/>
        <v>0</v>
      </c>
      <c r="AW20" s="676">
        <f t="shared" ca="1" si="10"/>
        <v>0</v>
      </c>
      <c r="AY20" s="527" t="str">
        <f>IFERROR(VLOOKUP(G20,選定!$C$3:$AG$100,28,FALSE),"0")</f>
        <v>0</v>
      </c>
      <c r="AZ20" s="37" t="str">
        <f t="shared" si="20"/>
        <v>あいえうお</v>
      </c>
      <c r="BA20" s="37">
        <f t="shared" si="21"/>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28">
        <f t="shared" si="22"/>
        <v>0</v>
      </c>
    </row>
    <row r="21" spans="1:59" ht="13.5" customHeight="1">
      <c r="A21" s="656" t="s">
        <v>238</v>
      </c>
      <c r="B21" s="770">
        <f t="shared" si="11"/>
        <v>0</v>
      </c>
      <c r="C21" s="283" t="s">
        <v>234</v>
      </c>
      <c r="D21" s="283"/>
      <c r="E21" s="284"/>
      <c r="F21" s="284"/>
      <c r="G21" s="442"/>
      <c r="H21" s="285">
        <f t="shared" si="26"/>
        <v>0</v>
      </c>
      <c r="I21" s="283"/>
      <c r="J21" s="282" t="str">
        <f t="shared" si="12"/>
        <v/>
      </c>
      <c r="K21" s="283"/>
      <c r="L21" s="282">
        <f t="shared" si="2"/>
        <v>0</v>
      </c>
      <c r="M21" s="283"/>
      <c r="N21" s="283"/>
      <c r="O21" s="283"/>
      <c r="P21" s="283"/>
      <c r="Q21" s="283"/>
      <c r="R21" s="283"/>
      <c r="S21" s="283"/>
      <c r="T21" s="283"/>
      <c r="U21" s="283"/>
      <c r="V21" s="283"/>
      <c r="W21" s="282">
        <f t="shared" si="13"/>
        <v>0</v>
      </c>
      <c r="X21" s="282">
        <f t="shared" si="14"/>
        <v>30</v>
      </c>
      <c r="Y21" s="286">
        <f t="shared" si="15"/>
        <v>0</v>
      </c>
      <c r="AA21" s="287">
        <f>IFERROR(VLOOKUP($G21,選定!$C$3:$AG$100,5,FALSE),0)</f>
        <v>0</v>
      </c>
      <c r="AB21" s="282">
        <f t="shared" si="3"/>
        <v>0</v>
      </c>
      <c r="AC21" s="286">
        <f t="shared" si="16"/>
        <v>0</v>
      </c>
      <c r="AD21" s="282">
        <f t="shared" si="25"/>
        <v>30</v>
      </c>
      <c r="AE21" s="614">
        <v>3000</v>
      </c>
      <c r="AF21" s="288">
        <v>6</v>
      </c>
      <c r="AG21" s="670"/>
      <c r="AH21" s="671">
        <f t="shared" si="27"/>
        <v>0</v>
      </c>
      <c r="AI21" s="395">
        <f>SUMIF($B$16:$B$45,$AG21,LED計算式!$T$4:$T$33)</f>
        <v>0</v>
      </c>
      <c r="AJ21" s="395">
        <f ca="1">SUMIF($B$16:$B$45,$AG21,LED計算式!$U$4)</f>
        <v>0</v>
      </c>
      <c r="AK21" s="395">
        <f t="shared" ca="1" si="28"/>
        <v>0</v>
      </c>
      <c r="AL21" s="395">
        <f t="shared" ca="1" si="29"/>
        <v>0</v>
      </c>
      <c r="AM21" s="672">
        <f t="shared" ca="1" si="4"/>
        <v>0</v>
      </c>
      <c r="AN21" s="673">
        <f t="shared" si="18"/>
        <v>0.4</v>
      </c>
      <c r="AO21" s="395">
        <f t="shared" ca="1" si="30"/>
        <v>0</v>
      </c>
      <c r="AP21" s="674">
        <f t="shared" ca="1" si="5"/>
        <v>0</v>
      </c>
      <c r="AQ21" s="674">
        <f t="shared" ca="1" si="6"/>
        <v>0</v>
      </c>
      <c r="AR21" s="395">
        <f t="shared" ca="1" si="31"/>
        <v>0</v>
      </c>
      <c r="AS21" s="395">
        <f t="shared" ca="1" si="7"/>
        <v>0</v>
      </c>
      <c r="AT21" s="395">
        <f t="shared" ca="1" si="8"/>
        <v>0</v>
      </c>
      <c r="AU21" s="675"/>
      <c r="AV21" s="676">
        <f t="shared" ca="1" si="9"/>
        <v>0</v>
      </c>
      <c r="AW21" s="676">
        <f t="shared" ca="1" si="10"/>
        <v>0</v>
      </c>
      <c r="AY21" s="527" t="str">
        <f>IFERROR(VLOOKUP(G21,選定!$C$3:$AG$100,28,FALSE),"0")</f>
        <v>0</v>
      </c>
      <c r="AZ21" s="37" t="str">
        <f t="shared" si="20"/>
        <v>あいえうお</v>
      </c>
      <c r="BA21" s="37">
        <f t="shared" si="21"/>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28">
        <f t="shared" si="22"/>
        <v>0</v>
      </c>
    </row>
    <row r="22" spans="1:59" ht="13.5" customHeight="1">
      <c r="A22" s="656" t="s">
        <v>239</v>
      </c>
      <c r="B22" s="770" t="str">
        <f t="shared" si="11"/>
        <v/>
      </c>
      <c r="C22" s="283"/>
      <c r="D22" s="283"/>
      <c r="E22" s="284"/>
      <c r="F22" s="284"/>
      <c r="G22" s="442"/>
      <c r="H22" s="285">
        <f t="shared" si="26"/>
        <v>0</v>
      </c>
      <c r="I22" s="283"/>
      <c r="J22" s="282" t="str">
        <f t="shared" si="12"/>
        <v/>
      </c>
      <c r="K22" s="283"/>
      <c r="L22" s="282">
        <f t="shared" si="2"/>
        <v>0</v>
      </c>
      <c r="M22" s="283"/>
      <c r="N22" s="283"/>
      <c r="O22" s="283"/>
      <c r="P22" s="283"/>
      <c r="Q22" s="283"/>
      <c r="R22" s="283"/>
      <c r="S22" s="283"/>
      <c r="T22" s="283"/>
      <c r="U22" s="283"/>
      <c r="V22" s="283"/>
      <c r="W22" s="282">
        <f t="shared" si="13"/>
        <v>0</v>
      </c>
      <c r="X22" s="282">
        <f t="shared" si="14"/>
        <v>30</v>
      </c>
      <c r="Y22" s="286">
        <f t="shared" si="15"/>
        <v>0</v>
      </c>
      <c r="AA22" s="287">
        <f>IFERROR(VLOOKUP($G22,選定!$C$3:$AG$100,5,FALSE),0)</f>
        <v>0</v>
      </c>
      <c r="AB22" s="282">
        <f t="shared" si="3"/>
        <v>0</v>
      </c>
      <c r="AC22" s="286">
        <f t="shared" si="16"/>
        <v>0</v>
      </c>
      <c r="AD22" s="282">
        <f t="shared" si="25"/>
        <v>30</v>
      </c>
      <c r="AE22" s="614">
        <v>3000</v>
      </c>
      <c r="AF22" s="288">
        <v>7</v>
      </c>
      <c r="AG22" s="670"/>
      <c r="AH22" s="671">
        <f t="shared" si="27"/>
        <v>0</v>
      </c>
      <c r="AI22" s="395">
        <f>SUMIF($B$16:$B$45,$AG22,LED計算式!$T$4:$T$33)</f>
        <v>0</v>
      </c>
      <c r="AJ22" s="395">
        <f ca="1">SUMIF($B$16:$B$45,$AG22,LED計算式!$U$4)</f>
        <v>0</v>
      </c>
      <c r="AK22" s="395">
        <f t="shared" ca="1" si="28"/>
        <v>0</v>
      </c>
      <c r="AL22" s="395">
        <f t="shared" ca="1" si="29"/>
        <v>0</v>
      </c>
      <c r="AM22" s="672">
        <f t="shared" ca="1" si="4"/>
        <v>0</v>
      </c>
      <c r="AN22" s="673">
        <f t="shared" si="18"/>
        <v>0.4</v>
      </c>
      <c r="AO22" s="395">
        <f t="shared" ca="1" si="30"/>
        <v>0</v>
      </c>
      <c r="AP22" s="674">
        <f t="shared" ca="1" si="5"/>
        <v>0</v>
      </c>
      <c r="AQ22" s="674">
        <f t="shared" ca="1" si="6"/>
        <v>0</v>
      </c>
      <c r="AR22" s="395">
        <f t="shared" ca="1" si="31"/>
        <v>0</v>
      </c>
      <c r="AS22" s="395">
        <f t="shared" ca="1" si="7"/>
        <v>0</v>
      </c>
      <c r="AT22" s="395">
        <f t="shared" ca="1" si="8"/>
        <v>0</v>
      </c>
      <c r="AU22" s="675"/>
      <c r="AV22" s="676">
        <f t="shared" ca="1" si="9"/>
        <v>0</v>
      </c>
      <c r="AW22" s="676">
        <f t="shared" ca="1" si="10"/>
        <v>0</v>
      </c>
      <c r="AY22" s="527" t="str">
        <f>IFERROR(VLOOKUP(G22,選定!$C$3:$AG$100,28,FALSE),"0")</f>
        <v>0</v>
      </c>
      <c r="AZ22" s="37">
        <f t="shared" si="20"/>
        <v>0</v>
      </c>
      <c r="BA22" s="37">
        <f t="shared" si="21"/>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28">
        <f t="shared" si="22"/>
        <v>0</v>
      </c>
    </row>
    <row r="23" spans="1:59" ht="13.5" customHeight="1">
      <c r="A23" s="656" t="s">
        <v>240</v>
      </c>
      <c r="B23" s="770" t="str">
        <f t="shared" si="11"/>
        <v/>
      </c>
      <c r="C23" s="283"/>
      <c r="D23" s="283"/>
      <c r="E23" s="284"/>
      <c r="F23" s="284"/>
      <c r="G23" s="442"/>
      <c r="H23" s="285">
        <f t="shared" si="26"/>
        <v>0</v>
      </c>
      <c r="I23" s="283"/>
      <c r="J23" s="282" t="str">
        <f t="shared" si="12"/>
        <v/>
      </c>
      <c r="K23" s="283"/>
      <c r="L23" s="282">
        <f t="shared" si="2"/>
        <v>0</v>
      </c>
      <c r="M23" s="283"/>
      <c r="N23" s="283"/>
      <c r="O23" s="283"/>
      <c r="P23" s="283"/>
      <c r="Q23" s="283"/>
      <c r="R23" s="283"/>
      <c r="S23" s="283"/>
      <c r="T23" s="283"/>
      <c r="U23" s="283"/>
      <c r="V23" s="283"/>
      <c r="W23" s="282">
        <f t="shared" si="13"/>
        <v>0</v>
      </c>
      <c r="X23" s="282">
        <f t="shared" si="14"/>
        <v>30</v>
      </c>
      <c r="Y23" s="286">
        <f t="shared" si="15"/>
        <v>0</v>
      </c>
      <c r="AA23" s="287">
        <f>IFERROR(VLOOKUP($G23,選定!$C$3:$AG$100,5,FALSE),0)</f>
        <v>0</v>
      </c>
      <c r="AB23" s="282">
        <f t="shared" si="3"/>
        <v>0</v>
      </c>
      <c r="AC23" s="286">
        <f t="shared" si="16"/>
        <v>0</v>
      </c>
      <c r="AD23" s="282">
        <f t="shared" si="25"/>
        <v>30</v>
      </c>
      <c r="AE23" s="614">
        <v>3000</v>
      </c>
      <c r="AF23" s="288">
        <v>8</v>
      </c>
      <c r="AG23" s="670"/>
      <c r="AH23" s="671">
        <f t="shared" si="27"/>
        <v>0</v>
      </c>
      <c r="AI23" s="395">
        <f>SUMIF($B$16:$B$45,$AG23,LED計算式!$T$4:$T$33)</f>
        <v>0</v>
      </c>
      <c r="AJ23" s="395">
        <f ca="1">SUMIF($B$16:$B$45,$AG23,LED計算式!$U$4)</f>
        <v>0</v>
      </c>
      <c r="AK23" s="395">
        <f t="shared" ca="1" si="28"/>
        <v>0</v>
      </c>
      <c r="AL23" s="395">
        <f t="shared" ca="1" si="29"/>
        <v>0</v>
      </c>
      <c r="AM23" s="672">
        <f t="shared" ca="1" si="4"/>
        <v>0</v>
      </c>
      <c r="AN23" s="673">
        <f t="shared" si="18"/>
        <v>0.4</v>
      </c>
      <c r="AO23" s="395">
        <f t="shared" ca="1" si="30"/>
        <v>0</v>
      </c>
      <c r="AP23" s="674">
        <f t="shared" ca="1" si="5"/>
        <v>0</v>
      </c>
      <c r="AQ23" s="674">
        <f t="shared" ca="1" si="6"/>
        <v>0</v>
      </c>
      <c r="AR23" s="395">
        <f t="shared" ca="1" si="31"/>
        <v>0</v>
      </c>
      <c r="AS23" s="395">
        <f t="shared" ca="1" si="7"/>
        <v>0</v>
      </c>
      <c r="AT23" s="395">
        <f t="shared" ca="1" si="8"/>
        <v>0</v>
      </c>
      <c r="AU23" s="675"/>
      <c r="AV23" s="676">
        <f t="shared" ca="1" si="9"/>
        <v>0</v>
      </c>
      <c r="AW23" s="676">
        <f t="shared" ca="1" si="10"/>
        <v>0</v>
      </c>
      <c r="AY23" s="527" t="str">
        <f>IFERROR(VLOOKUP(G23,選定!$C$3:$AG$100,28,FALSE),"0")</f>
        <v>0</v>
      </c>
      <c r="AZ23" s="37">
        <f t="shared" si="20"/>
        <v>0</v>
      </c>
      <c r="BA23" s="37">
        <f t="shared" si="21"/>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28">
        <f t="shared" si="22"/>
        <v>0</v>
      </c>
    </row>
    <row r="24" spans="1:59" ht="13.5" customHeight="1">
      <c r="A24" s="656" t="s">
        <v>241</v>
      </c>
      <c r="B24" s="770" t="str">
        <f t="shared" si="11"/>
        <v/>
      </c>
      <c r="C24" s="283"/>
      <c r="D24" s="283"/>
      <c r="E24" s="284"/>
      <c r="F24" s="284"/>
      <c r="G24" s="442"/>
      <c r="H24" s="285">
        <f t="shared" si="26"/>
        <v>0</v>
      </c>
      <c r="I24" s="283"/>
      <c r="J24" s="282" t="str">
        <f t="shared" si="12"/>
        <v/>
      </c>
      <c r="K24" s="283"/>
      <c r="L24" s="282">
        <f t="shared" si="2"/>
        <v>0</v>
      </c>
      <c r="M24" s="283"/>
      <c r="N24" s="283"/>
      <c r="O24" s="283"/>
      <c r="P24" s="283"/>
      <c r="Q24" s="283"/>
      <c r="R24" s="283"/>
      <c r="S24" s="283"/>
      <c r="T24" s="283"/>
      <c r="U24" s="283"/>
      <c r="V24" s="283"/>
      <c r="W24" s="282">
        <f t="shared" si="13"/>
        <v>0</v>
      </c>
      <c r="X24" s="282">
        <f t="shared" si="14"/>
        <v>30</v>
      </c>
      <c r="Y24" s="286">
        <f t="shared" si="15"/>
        <v>0</v>
      </c>
      <c r="AA24" s="287">
        <f>IFERROR(VLOOKUP($G24,選定!$C$3:$AG$100,5,FALSE),0)</f>
        <v>0</v>
      </c>
      <c r="AB24" s="282">
        <f t="shared" si="3"/>
        <v>0</v>
      </c>
      <c r="AC24" s="286">
        <f t="shared" si="16"/>
        <v>0</v>
      </c>
      <c r="AD24" s="282">
        <f t="shared" si="25"/>
        <v>30</v>
      </c>
      <c r="AE24" s="614">
        <v>3000</v>
      </c>
      <c r="AF24" s="288">
        <v>9</v>
      </c>
      <c r="AG24" s="670"/>
      <c r="AH24" s="671">
        <f t="shared" si="27"/>
        <v>0</v>
      </c>
      <c r="AI24" s="395">
        <f>SUMIF($B$16:$B$45,$AG24,LED計算式!$T$4:$T$33)</f>
        <v>0</v>
      </c>
      <c r="AJ24" s="395">
        <f ca="1">SUMIF($B$16:$B$45,$AG24,LED計算式!$U$4)</f>
        <v>0</v>
      </c>
      <c r="AK24" s="395">
        <f t="shared" ca="1" si="28"/>
        <v>0</v>
      </c>
      <c r="AL24" s="395">
        <f t="shared" ca="1" si="29"/>
        <v>0</v>
      </c>
      <c r="AM24" s="672">
        <f t="shared" ca="1" si="4"/>
        <v>0</v>
      </c>
      <c r="AN24" s="673">
        <f t="shared" si="18"/>
        <v>0.4</v>
      </c>
      <c r="AO24" s="395">
        <f t="shared" ca="1" si="30"/>
        <v>0</v>
      </c>
      <c r="AP24" s="674">
        <f t="shared" ca="1" si="5"/>
        <v>0</v>
      </c>
      <c r="AQ24" s="674">
        <f t="shared" ca="1" si="6"/>
        <v>0</v>
      </c>
      <c r="AR24" s="395">
        <f t="shared" ca="1" si="31"/>
        <v>0</v>
      </c>
      <c r="AS24" s="395">
        <f t="shared" ca="1" si="7"/>
        <v>0</v>
      </c>
      <c r="AT24" s="395">
        <f t="shared" ca="1" si="8"/>
        <v>0</v>
      </c>
      <c r="AU24" s="675"/>
      <c r="AV24" s="676">
        <f t="shared" ca="1" si="9"/>
        <v>0</v>
      </c>
      <c r="AW24" s="676">
        <f t="shared" ca="1" si="10"/>
        <v>0</v>
      </c>
      <c r="AY24" s="527" t="str">
        <f>IFERROR(VLOOKUP(G24,選定!$C$3:$AG$100,28,FALSE),"0")</f>
        <v>0</v>
      </c>
      <c r="AZ24" s="37">
        <f t="shared" si="20"/>
        <v>0</v>
      </c>
      <c r="BA24" s="37">
        <f t="shared" si="21"/>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28">
        <f t="shared" si="22"/>
        <v>0</v>
      </c>
    </row>
    <row r="25" spans="1:59" ht="13.5" customHeight="1">
      <c r="A25" s="656" t="s">
        <v>242</v>
      </c>
      <c r="B25" s="770" t="str">
        <f t="shared" si="11"/>
        <v/>
      </c>
      <c r="C25" s="283"/>
      <c r="D25" s="283"/>
      <c r="E25" s="284"/>
      <c r="F25" s="284"/>
      <c r="G25" s="442"/>
      <c r="H25" s="285">
        <f t="shared" si="26"/>
        <v>0</v>
      </c>
      <c r="I25" s="283"/>
      <c r="J25" s="282" t="str">
        <f t="shared" si="12"/>
        <v/>
      </c>
      <c r="K25" s="283"/>
      <c r="L25" s="282">
        <f t="shared" si="2"/>
        <v>0</v>
      </c>
      <c r="M25" s="283"/>
      <c r="N25" s="283"/>
      <c r="O25" s="283"/>
      <c r="P25" s="283"/>
      <c r="Q25" s="283"/>
      <c r="R25" s="283"/>
      <c r="S25" s="283"/>
      <c r="T25" s="283"/>
      <c r="U25" s="283"/>
      <c r="V25" s="283"/>
      <c r="W25" s="282">
        <f t="shared" si="13"/>
        <v>0</v>
      </c>
      <c r="X25" s="282">
        <f t="shared" si="14"/>
        <v>30</v>
      </c>
      <c r="Y25" s="286">
        <f t="shared" si="15"/>
        <v>0</v>
      </c>
      <c r="AA25" s="287">
        <f>IFERROR(VLOOKUP($G25,選定!$C$3:$AG$100,5,FALSE),0)</f>
        <v>0</v>
      </c>
      <c r="AB25" s="282">
        <f t="shared" si="3"/>
        <v>0</v>
      </c>
      <c r="AC25" s="286">
        <f t="shared" si="16"/>
        <v>0</v>
      </c>
      <c r="AD25" s="282">
        <f t="shared" si="25"/>
        <v>30</v>
      </c>
      <c r="AE25" s="614">
        <v>3000</v>
      </c>
      <c r="AF25" s="288">
        <v>10</v>
      </c>
      <c r="AG25" s="670"/>
      <c r="AH25" s="671">
        <f t="shared" si="27"/>
        <v>0</v>
      </c>
      <c r="AI25" s="395">
        <f>SUMIF($B$16:$B$45,$AG25,LED計算式!$T$4:$T$33)</f>
        <v>0</v>
      </c>
      <c r="AJ25" s="395">
        <f ca="1">SUMIF($B$16:$B$45,$AG25,LED計算式!$U$4)</f>
        <v>0</v>
      </c>
      <c r="AK25" s="395">
        <f t="shared" ca="1" si="28"/>
        <v>0</v>
      </c>
      <c r="AL25" s="395">
        <f t="shared" ca="1" si="29"/>
        <v>0</v>
      </c>
      <c r="AM25" s="672">
        <f t="shared" ca="1" si="4"/>
        <v>0</v>
      </c>
      <c r="AN25" s="673">
        <f t="shared" si="18"/>
        <v>0.4</v>
      </c>
      <c r="AO25" s="395">
        <f t="shared" ca="1" si="30"/>
        <v>0</v>
      </c>
      <c r="AP25" s="674">
        <f t="shared" ca="1" si="5"/>
        <v>0</v>
      </c>
      <c r="AQ25" s="674">
        <f t="shared" ca="1" si="6"/>
        <v>0</v>
      </c>
      <c r="AR25" s="395">
        <f t="shared" ca="1" si="31"/>
        <v>0</v>
      </c>
      <c r="AS25" s="395">
        <f t="shared" ca="1" si="7"/>
        <v>0</v>
      </c>
      <c r="AT25" s="395">
        <f t="shared" ca="1" si="8"/>
        <v>0</v>
      </c>
      <c r="AU25" s="675"/>
      <c r="AV25" s="676">
        <f t="shared" ca="1" si="9"/>
        <v>0</v>
      </c>
      <c r="AW25" s="676">
        <f t="shared" ca="1" si="10"/>
        <v>0</v>
      </c>
      <c r="AY25" s="527" t="str">
        <f>IFERROR(VLOOKUP(G25,選定!$C$3:$AG$100,28,FALSE),"0")</f>
        <v>0</v>
      </c>
      <c r="AZ25" s="37">
        <f t="shared" si="20"/>
        <v>0</v>
      </c>
      <c r="BA25" s="37">
        <f t="shared" si="21"/>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28">
        <f t="shared" si="22"/>
        <v>0</v>
      </c>
    </row>
    <row r="26" spans="1:59" ht="13.5" customHeight="1">
      <c r="A26" s="656" t="s">
        <v>243</v>
      </c>
      <c r="B26" s="670" t="str">
        <f t="shared" si="11"/>
        <v/>
      </c>
      <c r="C26" s="283"/>
      <c r="D26" s="283"/>
      <c r="E26" s="284"/>
      <c r="F26" s="284"/>
      <c r="G26" s="442"/>
      <c r="H26" s="285">
        <f t="shared" si="26"/>
        <v>0</v>
      </c>
      <c r="I26" s="283"/>
      <c r="J26" s="282" t="str">
        <f t="shared" si="12"/>
        <v/>
      </c>
      <c r="K26" s="283"/>
      <c r="L26" s="282">
        <f t="shared" si="2"/>
        <v>0</v>
      </c>
      <c r="M26" s="283"/>
      <c r="N26" s="283"/>
      <c r="O26" s="283"/>
      <c r="P26" s="283"/>
      <c r="Q26" s="283"/>
      <c r="R26" s="283"/>
      <c r="S26" s="283"/>
      <c r="T26" s="283"/>
      <c r="U26" s="283"/>
      <c r="V26" s="283"/>
      <c r="W26" s="282">
        <f t="shared" si="13"/>
        <v>0</v>
      </c>
      <c r="X26" s="282">
        <f t="shared" si="14"/>
        <v>30</v>
      </c>
      <c r="Y26" s="286">
        <f t="shared" si="15"/>
        <v>0</v>
      </c>
      <c r="AA26" s="287">
        <f>IFERROR(VLOOKUP($G26,選定!$C$3:$AG$100,5,FALSE),0)</f>
        <v>0</v>
      </c>
      <c r="AB26" s="282">
        <f t="shared" si="3"/>
        <v>0</v>
      </c>
      <c r="AC26" s="286">
        <f t="shared" si="16"/>
        <v>0</v>
      </c>
      <c r="AD26" s="282">
        <f t="shared" si="25"/>
        <v>30</v>
      </c>
      <c r="AE26" s="614">
        <v>3000</v>
      </c>
      <c r="AF26" s="288">
        <v>11</v>
      </c>
      <c r="AG26" s="670"/>
      <c r="AH26" s="671">
        <f t="shared" si="27"/>
        <v>0</v>
      </c>
      <c r="AI26" s="395">
        <f>SUMIF($B$16:$B$45,$AG26,LED計算式!$T$4:$T$33)</f>
        <v>0</v>
      </c>
      <c r="AJ26" s="395">
        <f ca="1">SUMIF($B$16:$B$45,$AG26,LED計算式!$U$4)</f>
        <v>0</v>
      </c>
      <c r="AK26" s="395">
        <f t="shared" ca="1" si="28"/>
        <v>0</v>
      </c>
      <c r="AL26" s="395">
        <f t="shared" ca="1" si="29"/>
        <v>0</v>
      </c>
      <c r="AM26" s="672">
        <f t="shared" ca="1" si="4"/>
        <v>0</v>
      </c>
      <c r="AN26" s="673">
        <f t="shared" si="18"/>
        <v>0.4</v>
      </c>
      <c r="AO26" s="395">
        <f t="shared" ca="1" si="30"/>
        <v>0</v>
      </c>
      <c r="AP26" s="674">
        <f t="shared" ca="1" si="5"/>
        <v>0</v>
      </c>
      <c r="AQ26" s="674">
        <f t="shared" ca="1" si="6"/>
        <v>0</v>
      </c>
      <c r="AR26" s="395">
        <f t="shared" ca="1" si="31"/>
        <v>0</v>
      </c>
      <c r="AS26" s="395">
        <f t="shared" ca="1" si="7"/>
        <v>0</v>
      </c>
      <c r="AT26" s="395">
        <f t="shared" ca="1" si="8"/>
        <v>0</v>
      </c>
      <c r="AU26" s="675"/>
      <c r="AV26" s="676">
        <f t="shared" ca="1" si="9"/>
        <v>0</v>
      </c>
      <c r="AW26" s="676">
        <f t="shared" ca="1" si="10"/>
        <v>0</v>
      </c>
      <c r="AY26" s="527" t="str">
        <f>IFERROR(VLOOKUP(G26,選定!$C$3:$AG$100,28,FALSE),"0")</f>
        <v>0</v>
      </c>
      <c r="AZ26" s="37">
        <f t="shared" si="20"/>
        <v>0</v>
      </c>
      <c r="BA26" s="37">
        <f t="shared" si="21"/>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28">
        <f t="shared" si="22"/>
        <v>0</v>
      </c>
    </row>
    <row r="27" spans="1:59" ht="13.5" customHeight="1">
      <c r="A27" s="656" t="s">
        <v>244</v>
      </c>
      <c r="B27" s="670" t="str">
        <f t="shared" si="11"/>
        <v/>
      </c>
      <c r="C27" s="283"/>
      <c r="D27" s="283"/>
      <c r="E27" s="284"/>
      <c r="F27" s="284"/>
      <c r="G27" s="442"/>
      <c r="H27" s="285">
        <f t="shared" si="26"/>
        <v>0</v>
      </c>
      <c r="I27" s="283"/>
      <c r="J27" s="282" t="str">
        <f t="shared" si="12"/>
        <v/>
      </c>
      <c r="K27" s="283"/>
      <c r="L27" s="282">
        <f t="shared" si="2"/>
        <v>0</v>
      </c>
      <c r="M27" s="283"/>
      <c r="N27" s="283"/>
      <c r="O27" s="283"/>
      <c r="P27" s="283"/>
      <c r="Q27" s="283"/>
      <c r="R27" s="283"/>
      <c r="S27" s="283"/>
      <c r="T27" s="283"/>
      <c r="U27" s="283"/>
      <c r="V27" s="283"/>
      <c r="W27" s="282">
        <f t="shared" si="13"/>
        <v>0</v>
      </c>
      <c r="X27" s="282">
        <f t="shared" si="14"/>
        <v>30</v>
      </c>
      <c r="Y27" s="286">
        <f t="shared" si="15"/>
        <v>0</v>
      </c>
      <c r="AA27" s="287">
        <f>IFERROR(VLOOKUP($G27,選定!$C$3:$AG$100,5,FALSE),0)</f>
        <v>0</v>
      </c>
      <c r="AB27" s="282">
        <f t="shared" si="3"/>
        <v>0</v>
      </c>
      <c r="AC27" s="286">
        <f t="shared" si="16"/>
        <v>0</v>
      </c>
      <c r="AD27" s="282">
        <f t="shared" si="25"/>
        <v>30</v>
      </c>
      <c r="AE27" s="614">
        <v>3000</v>
      </c>
      <c r="AF27" s="288">
        <v>12</v>
      </c>
      <c r="AG27" s="670"/>
      <c r="AH27" s="671">
        <f t="shared" si="27"/>
        <v>0</v>
      </c>
      <c r="AI27" s="395">
        <f>SUMIF($B$16:$B$45,$AG27,LED計算式!$T$4:$T$33)</f>
        <v>0</v>
      </c>
      <c r="AJ27" s="395">
        <f ca="1">SUMIF($B$16:$B$45,$AG27,LED計算式!$U$4)</f>
        <v>0</v>
      </c>
      <c r="AK27" s="395">
        <f t="shared" ca="1" si="28"/>
        <v>0</v>
      </c>
      <c r="AL27" s="395">
        <f t="shared" ca="1" si="29"/>
        <v>0</v>
      </c>
      <c r="AM27" s="672">
        <f t="shared" ca="1" si="4"/>
        <v>0</v>
      </c>
      <c r="AN27" s="673">
        <f t="shared" si="18"/>
        <v>0.4</v>
      </c>
      <c r="AO27" s="395">
        <f t="shared" ca="1" si="30"/>
        <v>0</v>
      </c>
      <c r="AP27" s="674">
        <f t="shared" ca="1" si="5"/>
        <v>0</v>
      </c>
      <c r="AQ27" s="674">
        <f t="shared" ca="1" si="6"/>
        <v>0</v>
      </c>
      <c r="AR27" s="395">
        <f t="shared" ca="1" si="31"/>
        <v>0</v>
      </c>
      <c r="AS27" s="395">
        <f t="shared" ca="1" si="7"/>
        <v>0</v>
      </c>
      <c r="AT27" s="395">
        <f t="shared" ca="1" si="8"/>
        <v>0</v>
      </c>
      <c r="AU27" s="675"/>
      <c r="AV27" s="676">
        <f t="shared" ca="1" si="9"/>
        <v>0</v>
      </c>
      <c r="AW27" s="676">
        <f t="shared" ca="1" si="10"/>
        <v>0</v>
      </c>
      <c r="AY27" s="527" t="str">
        <f>IFERROR(VLOOKUP(G27,選定!$C$3:$AG$100,28,FALSE),"0")</f>
        <v>0</v>
      </c>
      <c r="AZ27" s="37">
        <f t="shared" si="20"/>
        <v>0</v>
      </c>
      <c r="BA27" s="37">
        <f t="shared" si="21"/>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28">
        <f t="shared" si="22"/>
        <v>0</v>
      </c>
    </row>
    <row r="28" spans="1:59" ht="13.5" customHeight="1">
      <c r="A28" s="656" t="s">
        <v>245</v>
      </c>
      <c r="B28" s="670" t="str">
        <f t="shared" si="11"/>
        <v/>
      </c>
      <c r="C28" s="441"/>
      <c r="D28" s="283"/>
      <c r="E28" s="284"/>
      <c r="F28" s="284"/>
      <c r="G28" s="442"/>
      <c r="H28" s="285">
        <f t="shared" si="26"/>
        <v>0</v>
      </c>
      <c r="I28" s="283"/>
      <c r="J28" s="282" t="str">
        <f t="shared" si="12"/>
        <v/>
      </c>
      <c r="K28" s="283"/>
      <c r="L28" s="282">
        <f t="shared" si="2"/>
        <v>0</v>
      </c>
      <c r="M28" s="283"/>
      <c r="N28" s="283"/>
      <c r="O28" s="283"/>
      <c r="P28" s="283"/>
      <c r="Q28" s="283"/>
      <c r="R28" s="283"/>
      <c r="S28" s="283"/>
      <c r="T28" s="283"/>
      <c r="U28" s="283"/>
      <c r="V28" s="283"/>
      <c r="W28" s="282">
        <f t="shared" si="13"/>
        <v>0</v>
      </c>
      <c r="X28" s="282">
        <f t="shared" si="14"/>
        <v>30</v>
      </c>
      <c r="Y28" s="286">
        <f t="shared" si="15"/>
        <v>0</v>
      </c>
      <c r="AA28" s="287">
        <f>IFERROR(VLOOKUP($G28,選定!$C$3:$AG$100,5,FALSE),0)</f>
        <v>0</v>
      </c>
      <c r="AB28" s="282">
        <f t="shared" si="3"/>
        <v>0</v>
      </c>
      <c r="AC28" s="286">
        <f t="shared" si="16"/>
        <v>0</v>
      </c>
      <c r="AD28" s="282">
        <f t="shared" si="25"/>
        <v>30</v>
      </c>
      <c r="AE28" s="614">
        <v>3000</v>
      </c>
      <c r="AF28" s="288">
        <v>13</v>
      </c>
      <c r="AG28" s="670"/>
      <c r="AH28" s="671">
        <f t="shared" si="27"/>
        <v>0</v>
      </c>
      <c r="AI28" s="395">
        <f>SUMIF($B$16:$B$45,$AG28,LED計算式!$T$4:$T$33)</f>
        <v>0</v>
      </c>
      <c r="AJ28" s="395">
        <f ca="1">SUMIF($B$16:$B$45,$AG28,LED計算式!$U$4)</f>
        <v>0</v>
      </c>
      <c r="AK28" s="395">
        <f t="shared" ca="1" si="28"/>
        <v>0</v>
      </c>
      <c r="AL28" s="395">
        <f t="shared" ca="1" si="29"/>
        <v>0</v>
      </c>
      <c r="AM28" s="672">
        <f t="shared" ca="1" si="4"/>
        <v>0</v>
      </c>
      <c r="AN28" s="673">
        <f t="shared" si="18"/>
        <v>0.4</v>
      </c>
      <c r="AO28" s="395">
        <f t="shared" ca="1" si="30"/>
        <v>0</v>
      </c>
      <c r="AP28" s="674">
        <f t="shared" ca="1" si="5"/>
        <v>0</v>
      </c>
      <c r="AQ28" s="674">
        <f t="shared" ca="1" si="6"/>
        <v>0</v>
      </c>
      <c r="AR28" s="395">
        <f t="shared" ca="1" si="31"/>
        <v>0</v>
      </c>
      <c r="AS28" s="395">
        <f t="shared" ca="1" si="7"/>
        <v>0</v>
      </c>
      <c r="AT28" s="395">
        <f t="shared" ca="1" si="8"/>
        <v>0</v>
      </c>
      <c r="AU28" s="675"/>
      <c r="AV28" s="676">
        <f t="shared" ca="1" si="9"/>
        <v>0</v>
      </c>
      <c r="AW28" s="676">
        <f t="shared" ca="1" si="10"/>
        <v>0</v>
      </c>
      <c r="AY28" s="527" t="str">
        <f>IFERROR(VLOOKUP(G28,選定!$C$3:$AG$100,28,FALSE),"0")</f>
        <v>0</v>
      </c>
      <c r="AZ28" s="37">
        <f t="shared" si="20"/>
        <v>0</v>
      </c>
      <c r="BA28" s="37">
        <f t="shared" si="21"/>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28">
        <f t="shared" si="22"/>
        <v>0</v>
      </c>
    </row>
    <row r="29" spans="1:59" ht="13.5" customHeight="1">
      <c r="A29" s="656" t="s">
        <v>246</v>
      </c>
      <c r="B29" s="770" t="str">
        <f t="shared" si="11"/>
        <v/>
      </c>
      <c r="C29" s="283"/>
      <c r="D29" s="283"/>
      <c r="E29" s="284"/>
      <c r="F29" s="284"/>
      <c r="G29" s="442"/>
      <c r="H29" s="285">
        <f t="shared" si="26"/>
        <v>0</v>
      </c>
      <c r="I29" s="283"/>
      <c r="J29" s="282" t="str">
        <f t="shared" si="12"/>
        <v/>
      </c>
      <c r="K29" s="283"/>
      <c r="L29" s="282">
        <f t="shared" si="2"/>
        <v>0</v>
      </c>
      <c r="M29" s="283"/>
      <c r="N29" s="283"/>
      <c r="O29" s="283"/>
      <c r="P29" s="283"/>
      <c r="Q29" s="283"/>
      <c r="R29" s="283"/>
      <c r="S29" s="283"/>
      <c r="T29" s="283"/>
      <c r="U29" s="283"/>
      <c r="V29" s="283"/>
      <c r="W29" s="282">
        <f t="shared" si="13"/>
        <v>0</v>
      </c>
      <c r="X29" s="282">
        <f t="shared" si="14"/>
        <v>30</v>
      </c>
      <c r="Y29" s="286">
        <f t="shared" si="15"/>
        <v>0</v>
      </c>
      <c r="AA29" s="287">
        <f>IFERROR(VLOOKUP($G29,選定!$C$3:$AG$100,5,FALSE),0)</f>
        <v>0</v>
      </c>
      <c r="AB29" s="282">
        <f t="shared" si="3"/>
        <v>0</v>
      </c>
      <c r="AC29" s="286">
        <f t="shared" si="16"/>
        <v>0</v>
      </c>
      <c r="AD29" s="282">
        <f t="shared" si="25"/>
        <v>30</v>
      </c>
      <c r="AE29" s="614">
        <v>3000</v>
      </c>
      <c r="AF29" s="288">
        <v>14</v>
      </c>
      <c r="AG29" s="670"/>
      <c r="AH29" s="671">
        <f t="shared" si="27"/>
        <v>0</v>
      </c>
      <c r="AI29" s="395">
        <f>SUMIF($B$16:$B$45,$AG29,LED計算式!$T$4:$T$33)</f>
        <v>0</v>
      </c>
      <c r="AJ29" s="395">
        <f ca="1">SUMIF($B$16:$B$45,$AG29,LED計算式!$U$4)</f>
        <v>0</v>
      </c>
      <c r="AK29" s="395">
        <f t="shared" ca="1" si="28"/>
        <v>0</v>
      </c>
      <c r="AL29" s="395">
        <f t="shared" ca="1" si="29"/>
        <v>0</v>
      </c>
      <c r="AM29" s="672">
        <f t="shared" ca="1" si="4"/>
        <v>0</v>
      </c>
      <c r="AN29" s="673">
        <f t="shared" si="18"/>
        <v>0.4</v>
      </c>
      <c r="AO29" s="395">
        <f t="shared" ca="1" si="30"/>
        <v>0</v>
      </c>
      <c r="AP29" s="674">
        <f t="shared" ca="1" si="5"/>
        <v>0</v>
      </c>
      <c r="AQ29" s="674">
        <f t="shared" ca="1" si="6"/>
        <v>0</v>
      </c>
      <c r="AR29" s="395">
        <f t="shared" ca="1" si="31"/>
        <v>0</v>
      </c>
      <c r="AS29" s="395">
        <f t="shared" ca="1" si="7"/>
        <v>0</v>
      </c>
      <c r="AT29" s="395">
        <f t="shared" ca="1" si="8"/>
        <v>0</v>
      </c>
      <c r="AU29" s="675"/>
      <c r="AV29" s="676">
        <f t="shared" ca="1" si="9"/>
        <v>0</v>
      </c>
      <c r="AW29" s="676">
        <f t="shared" ca="1" si="10"/>
        <v>0</v>
      </c>
      <c r="AY29" s="527" t="str">
        <f>IFERROR(VLOOKUP(G29,選定!$C$3:$AG$100,28,FALSE),"0")</f>
        <v>0</v>
      </c>
      <c r="AZ29" s="37">
        <f t="shared" si="20"/>
        <v>0</v>
      </c>
      <c r="BA29" s="37">
        <f t="shared" si="21"/>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28">
        <f t="shared" si="22"/>
        <v>0</v>
      </c>
    </row>
    <row r="30" spans="1:59" ht="13.5" customHeight="1">
      <c r="A30" s="656" t="s">
        <v>247</v>
      </c>
      <c r="B30" s="670" t="str">
        <f t="shared" si="11"/>
        <v/>
      </c>
      <c r="C30" s="283"/>
      <c r="D30" s="283"/>
      <c r="E30" s="284"/>
      <c r="F30" s="284"/>
      <c r="G30" s="442"/>
      <c r="H30" s="285">
        <f t="shared" si="26"/>
        <v>0</v>
      </c>
      <c r="I30" s="283"/>
      <c r="J30" s="282" t="str">
        <f t="shared" si="12"/>
        <v/>
      </c>
      <c r="K30" s="283"/>
      <c r="L30" s="282">
        <f t="shared" si="2"/>
        <v>0</v>
      </c>
      <c r="M30" s="283"/>
      <c r="N30" s="283"/>
      <c r="O30" s="283"/>
      <c r="P30" s="283"/>
      <c r="Q30" s="283"/>
      <c r="R30" s="283"/>
      <c r="S30" s="283"/>
      <c r="T30" s="283"/>
      <c r="U30" s="283"/>
      <c r="V30" s="283"/>
      <c r="W30" s="282">
        <f t="shared" si="13"/>
        <v>0</v>
      </c>
      <c r="X30" s="282">
        <f t="shared" si="14"/>
        <v>30</v>
      </c>
      <c r="Y30" s="286">
        <f t="shared" si="15"/>
        <v>0</v>
      </c>
      <c r="AA30" s="287">
        <f>IFERROR(VLOOKUP($G30,選定!$C$3:$AG$100,5,FALSE),0)</f>
        <v>0</v>
      </c>
      <c r="AB30" s="282">
        <f t="shared" si="3"/>
        <v>0</v>
      </c>
      <c r="AC30" s="286">
        <f t="shared" si="16"/>
        <v>0</v>
      </c>
      <c r="AD30" s="282">
        <f t="shared" si="25"/>
        <v>30</v>
      </c>
      <c r="AE30" s="614">
        <v>3000</v>
      </c>
      <c r="AF30" s="288">
        <v>15</v>
      </c>
      <c r="AG30" s="670"/>
      <c r="AH30" s="671">
        <f t="shared" si="27"/>
        <v>0</v>
      </c>
      <c r="AI30" s="395">
        <f>SUMIF($B$16:$B$45,$AG30,LED計算式!$T$4:$T$33)</f>
        <v>0</v>
      </c>
      <c r="AJ30" s="395">
        <f ca="1">SUMIF($B$16:$B$45,$AG30,LED計算式!$U$4)</f>
        <v>0</v>
      </c>
      <c r="AK30" s="395">
        <f t="shared" ca="1" si="28"/>
        <v>0</v>
      </c>
      <c r="AL30" s="395">
        <f t="shared" ca="1" si="29"/>
        <v>0</v>
      </c>
      <c r="AM30" s="672">
        <f t="shared" ca="1" si="4"/>
        <v>0</v>
      </c>
      <c r="AN30" s="673">
        <f>$AN$16</f>
        <v>0.4</v>
      </c>
      <c r="AO30" s="395">
        <f t="shared" ca="1" si="30"/>
        <v>0</v>
      </c>
      <c r="AP30" s="674">
        <f t="shared" ca="1" si="5"/>
        <v>0</v>
      </c>
      <c r="AQ30" s="674">
        <f t="shared" ca="1" si="6"/>
        <v>0</v>
      </c>
      <c r="AR30" s="395">
        <f t="shared" ca="1" si="31"/>
        <v>0</v>
      </c>
      <c r="AS30" s="395">
        <f t="shared" ca="1" si="7"/>
        <v>0</v>
      </c>
      <c r="AT30" s="395">
        <f t="shared" ca="1" si="8"/>
        <v>0</v>
      </c>
      <c r="AU30" s="675"/>
      <c r="AV30" s="676">
        <f t="shared" ca="1" si="9"/>
        <v>0</v>
      </c>
      <c r="AW30" s="676">
        <f t="shared" ca="1" si="10"/>
        <v>0</v>
      </c>
      <c r="AY30" s="527" t="str">
        <f>IFERROR(VLOOKUP(G30,選定!$C$3:$AG$100,28,FALSE),"0")</f>
        <v>0</v>
      </c>
      <c r="AZ30" s="37">
        <f t="shared" si="20"/>
        <v>0</v>
      </c>
      <c r="BA30" s="37">
        <f t="shared" si="21"/>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28">
        <f t="shared" si="22"/>
        <v>0</v>
      </c>
    </row>
    <row r="31" spans="1:59" ht="13.5" customHeight="1">
      <c r="A31" s="656" t="s">
        <v>248</v>
      </c>
      <c r="B31" s="670" t="str">
        <f t="shared" si="11"/>
        <v/>
      </c>
      <c r="C31" s="283"/>
      <c r="D31" s="283"/>
      <c r="E31" s="284"/>
      <c r="F31" s="284"/>
      <c r="G31" s="442"/>
      <c r="H31" s="285">
        <f t="shared" si="26"/>
        <v>0</v>
      </c>
      <c r="I31" s="283"/>
      <c r="J31" s="282" t="str">
        <f t="shared" si="12"/>
        <v/>
      </c>
      <c r="K31" s="283"/>
      <c r="L31" s="282">
        <f t="shared" si="2"/>
        <v>0</v>
      </c>
      <c r="M31" s="283"/>
      <c r="N31" s="283"/>
      <c r="O31" s="283"/>
      <c r="P31" s="283"/>
      <c r="Q31" s="283"/>
      <c r="R31" s="283"/>
      <c r="S31" s="283"/>
      <c r="T31" s="283"/>
      <c r="U31" s="283"/>
      <c r="V31" s="283"/>
      <c r="W31" s="282">
        <f t="shared" si="13"/>
        <v>0</v>
      </c>
      <c r="X31" s="282">
        <f t="shared" si="14"/>
        <v>30</v>
      </c>
      <c r="Y31" s="293">
        <f t="shared" si="15"/>
        <v>0</v>
      </c>
      <c r="AA31" s="287">
        <f>IFERROR(VLOOKUP($G31,選定!$C$3:$AG$100,5,FALSE),0)</f>
        <v>0</v>
      </c>
      <c r="AB31" s="282">
        <f t="shared" si="3"/>
        <v>0</v>
      </c>
      <c r="AC31" s="293">
        <f t="shared" si="16"/>
        <v>0</v>
      </c>
      <c r="AD31" s="282">
        <f t="shared" si="25"/>
        <v>30</v>
      </c>
      <c r="AE31" s="614">
        <v>3000</v>
      </c>
      <c r="AF31" s="289">
        <v>16</v>
      </c>
      <c r="AG31" s="670"/>
      <c r="AH31" s="671">
        <f t="shared" si="27"/>
        <v>0</v>
      </c>
      <c r="AI31" s="395">
        <f>SUMIF($B$16:$B$45,$AG31,LED計算式!$T$4:$T$33)</f>
        <v>0</v>
      </c>
      <c r="AJ31" s="395">
        <f ca="1">SUMIF($B$16:$B$45,$AG31,LED計算式!$U$4)</f>
        <v>0</v>
      </c>
      <c r="AK31" s="395">
        <f t="shared" ca="1" si="28"/>
        <v>0</v>
      </c>
      <c r="AL31" s="395">
        <f t="shared" ca="1" si="29"/>
        <v>0</v>
      </c>
      <c r="AM31" s="672">
        <f t="shared" ca="1" si="4"/>
        <v>0</v>
      </c>
      <c r="AN31" s="673">
        <f t="shared" ref="AN31:AN40" si="32">$AN$16</f>
        <v>0.4</v>
      </c>
      <c r="AO31" s="395">
        <f t="shared" ca="1" si="30"/>
        <v>0</v>
      </c>
      <c r="AP31" s="674">
        <f t="shared" ca="1" si="5"/>
        <v>0</v>
      </c>
      <c r="AQ31" s="674">
        <f t="shared" ca="1" si="6"/>
        <v>0</v>
      </c>
      <c r="AR31" s="395">
        <f t="shared" ca="1" si="31"/>
        <v>0</v>
      </c>
      <c r="AS31" s="395">
        <f t="shared" ca="1" si="7"/>
        <v>0</v>
      </c>
      <c r="AT31" s="395">
        <f t="shared" ca="1" si="8"/>
        <v>0</v>
      </c>
      <c r="AU31" s="675"/>
      <c r="AV31" s="676">
        <f t="shared" ca="1" si="9"/>
        <v>0</v>
      </c>
      <c r="AW31" s="676">
        <f t="shared" ca="1" si="10"/>
        <v>0</v>
      </c>
      <c r="AY31" s="527" t="str">
        <f>IFERROR(VLOOKUP(G31,選定!$C$3:$AG$100,28,FALSE),"0")</f>
        <v>0</v>
      </c>
      <c r="AZ31" s="37">
        <f t="shared" si="20"/>
        <v>0</v>
      </c>
      <c r="BA31" s="37">
        <f t="shared" si="21"/>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28">
        <f t="shared" si="22"/>
        <v>0</v>
      </c>
    </row>
    <row r="32" spans="1:59" ht="13.5" customHeight="1">
      <c r="A32" s="656" t="s">
        <v>249</v>
      </c>
      <c r="B32" s="770" t="str">
        <f t="shared" si="11"/>
        <v/>
      </c>
      <c r="C32" s="283"/>
      <c r="D32" s="283"/>
      <c r="E32" s="284"/>
      <c r="F32" s="284"/>
      <c r="G32" s="442"/>
      <c r="H32" s="285">
        <f t="shared" si="26"/>
        <v>0</v>
      </c>
      <c r="I32" s="283"/>
      <c r="J32" s="282" t="str">
        <f t="shared" si="12"/>
        <v/>
      </c>
      <c r="K32" s="283"/>
      <c r="L32" s="282">
        <f t="shared" si="2"/>
        <v>0</v>
      </c>
      <c r="M32" s="283"/>
      <c r="N32" s="283"/>
      <c r="O32" s="283"/>
      <c r="P32" s="283"/>
      <c r="Q32" s="283"/>
      <c r="R32" s="283"/>
      <c r="S32" s="283"/>
      <c r="T32" s="283"/>
      <c r="U32" s="283"/>
      <c r="V32" s="283"/>
      <c r="W32" s="282">
        <f t="shared" si="13"/>
        <v>0</v>
      </c>
      <c r="X32" s="282">
        <f t="shared" si="14"/>
        <v>30</v>
      </c>
      <c r="Y32" s="293">
        <f t="shared" si="15"/>
        <v>0</v>
      </c>
      <c r="AA32" s="287">
        <f>IFERROR(VLOOKUP($G32,選定!$C$3:$AG$100,5,FALSE),0)</f>
        <v>0</v>
      </c>
      <c r="AB32" s="282">
        <f t="shared" si="3"/>
        <v>0</v>
      </c>
      <c r="AC32" s="293">
        <f t="shared" si="16"/>
        <v>0</v>
      </c>
      <c r="AD32" s="282">
        <f t="shared" si="25"/>
        <v>30</v>
      </c>
      <c r="AE32" s="614">
        <v>3000</v>
      </c>
      <c r="AF32" s="289">
        <v>17</v>
      </c>
      <c r="AG32" s="670"/>
      <c r="AH32" s="671">
        <f t="shared" si="27"/>
        <v>0</v>
      </c>
      <c r="AI32" s="395">
        <f>SUMIF($B$16:$B$45,$AG32,LED計算式!$T$4:$T$33)</f>
        <v>0</v>
      </c>
      <c r="AJ32" s="395">
        <f ca="1">SUMIF($B$16:$B$45,$AG32,LED計算式!$U$4)</f>
        <v>0</v>
      </c>
      <c r="AK32" s="395">
        <f t="shared" ca="1" si="28"/>
        <v>0</v>
      </c>
      <c r="AL32" s="395">
        <f t="shared" ca="1" si="29"/>
        <v>0</v>
      </c>
      <c r="AM32" s="672">
        <f t="shared" ca="1" si="4"/>
        <v>0</v>
      </c>
      <c r="AN32" s="673">
        <f t="shared" si="32"/>
        <v>0.4</v>
      </c>
      <c r="AO32" s="395">
        <f t="shared" ca="1" si="30"/>
        <v>0</v>
      </c>
      <c r="AP32" s="674">
        <f t="shared" ca="1" si="5"/>
        <v>0</v>
      </c>
      <c r="AQ32" s="674">
        <f t="shared" ca="1" si="6"/>
        <v>0</v>
      </c>
      <c r="AR32" s="395">
        <f t="shared" ca="1" si="31"/>
        <v>0</v>
      </c>
      <c r="AS32" s="395">
        <f t="shared" ca="1" si="7"/>
        <v>0</v>
      </c>
      <c r="AT32" s="395">
        <f t="shared" ca="1" si="8"/>
        <v>0</v>
      </c>
      <c r="AU32" s="675"/>
      <c r="AV32" s="676">
        <f t="shared" ca="1" si="9"/>
        <v>0</v>
      </c>
      <c r="AW32" s="676">
        <f t="shared" ca="1" si="10"/>
        <v>0</v>
      </c>
      <c r="AY32" s="527" t="str">
        <f>IFERROR(VLOOKUP(G32,選定!$C$3:$AG$100,28,FALSE),"0")</f>
        <v>0</v>
      </c>
      <c r="AZ32" s="37">
        <f t="shared" si="20"/>
        <v>0</v>
      </c>
      <c r="BA32" s="37">
        <f t="shared" si="21"/>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28">
        <f t="shared" si="22"/>
        <v>0</v>
      </c>
    </row>
    <row r="33" spans="1:59" ht="13.5" customHeight="1">
      <c r="A33" s="656" t="s">
        <v>250</v>
      </c>
      <c r="B33" s="670" t="str">
        <f t="shared" si="11"/>
        <v/>
      </c>
      <c r="C33" s="283"/>
      <c r="D33" s="283"/>
      <c r="E33" s="284"/>
      <c r="F33" s="284"/>
      <c r="G33" s="442"/>
      <c r="H33" s="285">
        <f t="shared" ref="H33:H45" si="33">PRODUCT(I33,J33)</f>
        <v>0</v>
      </c>
      <c r="I33" s="283"/>
      <c r="J33" s="282" t="str">
        <f t="shared" si="12"/>
        <v/>
      </c>
      <c r="K33" s="283"/>
      <c r="L33" s="282">
        <f t="shared" ref="L33:L45" si="34">SUM(M33:V33)</f>
        <v>0</v>
      </c>
      <c r="M33" s="283"/>
      <c r="N33" s="283"/>
      <c r="O33" s="283"/>
      <c r="P33" s="283"/>
      <c r="Q33" s="283"/>
      <c r="R33" s="283"/>
      <c r="S33" s="283"/>
      <c r="T33" s="283"/>
      <c r="U33" s="283"/>
      <c r="V33" s="283"/>
      <c r="W33" s="282">
        <f t="shared" ref="W33:W45" si="35">($L33*$K33*$H33)/1000</f>
        <v>0</v>
      </c>
      <c r="X33" s="282">
        <f t="shared" si="14"/>
        <v>30</v>
      </c>
      <c r="Y33" s="293">
        <f t="shared" si="15"/>
        <v>0</v>
      </c>
      <c r="AA33" s="287">
        <f>IFERROR(VLOOKUP($G33,選定!$C$3:$AG$100,5,FALSE),0)</f>
        <v>0</v>
      </c>
      <c r="AB33" s="282">
        <f t="shared" si="3"/>
        <v>0</v>
      </c>
      <c r="AC33" s="293">
        <f t="shared" si="16"/>
        <v>0</v>
      </c>
      <c r="AD33" s="282">
        <f t="shared" si="25"/>
        <v>30</v>
      </c>
      <c r="AE33" s="614">
        <v>3000</v>
      </c>
      <c r="AF33" s="289">
        <v>18</v>
      </c>
      <c r="AG33" s="670"/>
      <c r="AH33" s="671">
        <f t="shared" si="27"/>
        <v>0</v>
      </c>
      <c r="AI33" s="395">
        <f>SUMIF($B$16:$B$45,$AG33,LED計算式!$T$4:$T$33)</f>
        <v>0</v>
      </c>
      <c r="AJ33" s="395">
        <f ca="1">SUMIF($B$16:$B$45,$AG33,LED計算式!$U$4)</f>
        <v>0</v>
      </c>
      <c r="AK33" s="395">
        <f t="shared" ca="1" si="28"/>
        <v>0</v>
      </c>
      <c r="AL33" s="395">
        <f t="shared" ca="1" si="29"/>
        <v>0</v>
      </c>
      <c r="AM33" s="672">
        <f t="shared" ca="1" si="4"/>
        <v>0</v>
      </c>
      <c r="AN33" s="673">
        <f t="shared" si="32"/>
        <v>0.4</v>
      </c>
      <c r="AO33" s="395">
        <f t="shared" ca="1" si="30"/>
        <v>0</v>
      </c>
      <c r="AP33" s="674">
        <f t="shared" ca="1" si="5"/>
        <v>0</v>
      </c>
      <c r="AQ33" s="674">
        <f t="shared" ca="1" si="6"/>
        <v>0</v>
      </c>
      <c r="AR33" s="395">
        <f t="shared" ca="1" si="31"/>
        <v>0</v>
      </c>
      <c r="AS33" s="395">
        <f t="shared" ca="1" si="7"/>
        <v>0</v>
      </c>
      <c r="AT33" s="395">
        <f t="shared" ca="1" si="8"/>
        <v>0</v>
      </c>
      <c r="AU33" s="675"/>
      <c r="AV33" s="676">
        <f t="shared" ca="1" si="9"/>
        <v>0</v>
      </c>
      <c r="AW33" s="676">
        <f t="shared" ca="1" si="10"/>
        <v>0</v>
      </c>
      <c r="AY33" s="527" t="str">
        <f>IFERROR(VLOOKUP(G33,選定!$C$3:$AG$100,28,FALSE),"0")</f>
        <v>0</v>
      </c>
      <c r="AZ33" s="37">
        <f t="shared" si="20"/>
        <v>0</v>
      </c>
      <c r="BA33" s="37">
        <f t="shared" si="21"/>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28">
        <f t="shared" si="22"/>
        <v>0</v>
      </c>
    </row>
    <row r="34" spans="1:59" ht="13.5" customHeight="1">
      <c r="A34" s="656" t="s">
        <v>251</v>
      </c>
      <c r="B34" s="670" t="str">
        <f t="shared" si="11"/>
        <v/>
      </c>
      <c r="C34" s="283"/>
      <c r="D34" s="283"/>
      <c r="E34" s="284"/>
      <c r="F34" s="284"/>
      <c r="G34" s="442"/>
      <c r="H34" s="285">
        <f t="shared" si="33"/>
        <v>0</v>
      </c>
      <c r="I34" s="283"/>
      <c r="J34" s="282" t="str">
        <f t="shared" si="12"/>
        <v/>
      </c>
      <c r="K34" s="283"/>
      <c r="L34" s="282">
        <f t="shared" si="34"/>
        <v>0</v>
      </c>
      <c r="M34" s="283"/>
      <c r="N34" s="283"/>
      <c r="O34" s="283"/>
      <c r="P34" s="283"/>
      <c r="Q34" s="283"/>
      <c r="R34" s="283"/>
      <c r="S34" s="283"/>
      <c r="T34" s="283"/>
      <c r="U34" s="283"/>
      <c r="V34" s="283"/>
      <c r="W34" s="282">
        <f t="shared" si="35"/>
        <v>0</v>
      </c>
      <c r="X34" s="282">
        <f t="shared" si="14"/>
        <v>30</v>
      </c>
      <c r="Y34" s="293">
        <f t="shared" si="15"/>
        <v>0</v>
      </c>
      <c r="AA34" s="287">
        <f>IFERROR(VLOOKUP($G34,選定!$C$3:$AG$100,5,FALSE),0)</f>
        <v>0</v>
      </c>
      <c r="AB34" s="282">
        <f t="shared" si="3"/>
        <v>0</v>
      </c>
      <c r="AC34" s="293">
        <f t="shared" si="16"/>
        <v>0</v>
      </c>
      <c r="AD34" s="282">
        <f t="shared" si="25"/>
        <v>30</v>
      </c>
      <c r="AE34" s="614">
        <v>3000</v>
      </c>
      <c r="AF34" s="289">
        <v>19</v>
      </c>
      <c r="AG34" s="670"/>
      <c r="AH34" s="671">
        <f t="shared" si="27"/>
        <v>0</v>
      </c>
      <c r="AI34" s="395">
        <f>SUMIF($B$16:$B$45,$AG34,LED計算式!$T$4:$T$33)</f>
        <v>0</v>
      </c>
      <c r="AJ34" s="395">
        <f ca="1">SUMIF($B$16:$B$45,$AG34,LED計算式!$U$4)</f>
        <v>0</v>
      </c>
      <c r="AK34" s="395">
        <f t="shared" ca="1" si="28"/>
        <v>0</v>
      </c>
      <c r="AL34" s="395">
        <f t="shared" ca="1" si="29"/>
        <v>0</v>
      </c>
      <c r="AM34" s="672">
        <f t="shared" ca="1" si="4"/>
        <v>0</v>
      </c>
      <c r="AN34" s="673">
        <f t="shared" si="32"/>
        <v>0.4</v>
      </c>
      <c r="AO34" s="395">
        <f t="shared" ca="1" si="30"/>
        <v>0</v>
      </c>
      <c r="AP34" s="674">
        <f t="shared" ca="1" si="5"/>
        <v>0</v>
      </c>
      <c r="AQ34" s="674">
        <f t="shared" ca="1" si="6"/>
        <v>0</v>
      </c>
      <c r="AR34" s="395">
        <f t="shared" ca="1" si="31"/>
        <v>0</v>
      </c>
      <c r="AS34" s="395">
        <f t="shared" ca="1" si="7"/>
        <v>0</v>
      </c>
      <c r="AT34" s="395">
        <f t="shared" ca="1" si="8"/>
        <v>0</v>
      </c>
      <c r="AU34" s="675"/>
      <c r="AV34" s="676">
        <f t="shared" ca="1" si="9"/>
        <v>0</v>
      </c>
      <c r="AW34" s="676">
        <f t="shared" ca="1" si="10"/>
        <v>0</v>
      </c>
      <c r="AY34" s="527" t="str">
        <f>IFERROR(VLOOKUP(G34,選定!$C$3:$AG$100,28,FALSE),"0")</f>
        <v>0</v>
      </c>
      <c r="AZ34" s="37">
        <f t="shared" si="20"/>
        <v>0</v>
      </c>
      <c r="BA34" s="37">
        <f t="shared" si="21"/>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28">
        <f t="shared" si="22"/>
        <v>0</v>
      </c>
    </row>
    <row r="35" spans="1:59" ht="13.5" customHeight="1">
      <c r="A35" s="656" t="s">
        <v>252</v>
      </c>
      <c r="B35" s="670" t="str">
        <f t="shared" si="11"/>
        <v/>
      </c>
      <c r="C35" s="283"/>
      <c r="D35" s="283"/>
      <c r="E35" s="284"/>
      <c r="F35" s="284"/>
      <c r="G35" s="442"/>
      <c r="H35" s="285">
        <f t="shared" si="33"/>
        <v>0</v>
      </c>
      <c r="I35" s="283"/>
      <c r="J35" s="282" t="str">
        <f t="shared" si="12"/>
        <v/>
      </c>
      <c r="K35" s="283"/>
      <c r="L35" s="282">
        <f t="shared" si="34"/>
        <v>0</v>
      </c>
      <c r="M35" s="283"/>
      <c r="N35" s="283"/>
      <c r="O35" s="283"/>
      <c r="P35" s="283"/>
      <c r="Q35" s="283"/>
      <c r="R35" s="283"/>
      <c r="S35" s="283"/>
      <c r="T35" s="283"/>
      <c r="U35" s="283"/>
      <c r="V35" s="283"/>
      <c r="W35" s="282">
        <f t="shared" si="35"/>
        <v>0</v>
      </c>
      <c r="X35" s="282">
        <f t="shared" si="14"/>
        <v>30</v>
      </c>
      <c r="Y35" s="293">
        <f t="shared" si="15"/>
        <v>0</v>
      </c>
      <c r="AA35" s="287">
        <f>IFERROR(VLOOKUP($G35,選定!$C$3:$AG$100,5,FALSE),0)</f>
        <v>0</v>
      </c>
      <c r="AB35" s="282">
        <f t="shared" si="3"/>
        <v>0</v>
      </c>
      <c r="AC35" s="293">
        <f t="shared" si="16"/>
        <v>0</v>
      </c>
      <c r="AD35" s="282">
        <f t="shared" si="25"/>
        <v>30</v>
      </c>
      <c r="AE35" s="614">
        <v>3000</v>
      </c>
      <c r="AF35" s="289">
        <v>20</v>
      </c>
      <c r="AG35" s="670"/>
      <c r="AH35" s="671">
        <f t="shared" si="27"/>
        <v>0</v>
      </c>
      <c r="AI35" s="395">
        <f>SUMIF($B$16:$B$45,$AG35,LED計算式!$T$4:$T$33)</f>
        <v>0</v>
      </c>
      <c r="AJ35" s="395">
        <f ca="1">SUMIF($B$16:$B$45,$AG35,LED計算式!$U$4)</f>
        <v>0</v>
      </c>
      <c r="AK35" s="395">
        <f t="shared" ca="1" si="28"/>
        <v>0</v>
      </c>
      <c r="AL35" s="395">
        <f t="shared" ca="1" si="29"/>
        <v>0</v>
      </c>
      <c r="AM35" s="672">
        <f t="shared" ca="1" si="4"/>
        <v>0</v>
      </c>
      <c r="AN35" s="673">
        <f t="shared" si="32"/>
        <v>0.4</v>
      </c>
      <c r="AO35" s="395">
        <f t="shared" ca="1" si="30"/>
        <v>0</v>
      </c>
      <c r="AP35" s="674">
        <f t="shared" ca="1" si="5"/>
        <v>0</v>
      </c>
      <c r="AQ35" s="674">
        <f t="shared" ca="1" si="6"/>
        <v>0</v>
      </c>
      <c r="AR35" s="395">
        <f t="shared" ca="1" si="31"/>
        <v>0</v>
      </c>
      <c r="AS35" s="395">
        <f t="shared" ca="1" si="7"/>
        <v>0</v>
      </c>
      <c r="AT35" s="395">
        <f t="shared" ca="1" si="8"/>
        <v>0</v>
      </c>
      <c r="AU35" s="675"/>
      <c r="AV35" s="676">
        <f t="shared" ca="1" si="9"/>
        <v>0</v>
      </c>
      <c r="AW35" s="676">
        <f t="shared" ca="1" si="10"/>
        <v>0</v>
      </c>
      <c r="AY35" s="527" t="str">
        <f>IFERROR(VLOOKUP(G35,選定!$C$3:$AG$100,28,FALSE),"0")</f>
        <v>0</v>
      </c>
      <c r="AZ35" s="37">
        <f t="shared" si="20"/>
        <v>0</v>
      </c>
      <c r="BA35" s="37">
        <f t="shared" si="21"/>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28">
        <f t="shared" si="22"/>
        <v>0</v>
      </c>
    </row>
    <row r="36" spans="1:59" ht="13.5" customHeight="1">
      <c r="A36" s="656" t="s">
        <v>253</v>
      </c>
      <c r="B36" s="670" t="str">
        <f t="shared" si="11"/>
        <v/>
      </c>
      <c r="C36" s="283"/>
      <c r="D36" s="283"/>
      <c r="E36" s="284"/>
      <c r="F36" s="284"/>
      <c r="G36" s="442"/>
      <c r="H36" s="285">
        <f t="shared" si="33"/>
        <v>0</v>
      </c>
      <c r="I36" s="283"/>
      <c r="J36" s="282" t="str">
        <f t="shared" si="12"/>
        <v/>
      </c>
      <c r="K36" s="283"/>
      <c r="L36" s="282">
        <f t="shared" si="34"/>
        <v>0</v>
      </c>
      <c r="M36" s="283"/>
      <c r="N36" s="283"/>
      <c r="O36" s="283"/>
      <c r="P36" s="283"/>
      <c r="Q36" s="283"/>
      <c r="R36" s="283"/>
      <c r="S36" s="283"/>
      <c r="T36" s="283"/>
      <c r="U36" s="283"/>
      <c r="V36" s="283"/>
      <c r="W36" s="282">
        <f t="shared" si="35"/>
        <v>0</v>
      </c>
      <c r="X36" s="282">
        <f t="shared" si="14"/>
        <v>30</v>
      </c>
      <c r="Y36" s="293">
        <f t="shared" si="15"/>
        <v>0</v>
      </c>
      <c r="AA36" s="287">
        <f>IFERROR(VLOOKUP($G36,選定!$C$3:$AG$100,5,FALSE),0)</f>
        <v>0</v>
      </c>
      <c r="AB36" s="282">
        <f t="shared" si="3"/>
        <v>0</v>
      </c>
      <c r="AC36" s="293">
        <f t="shared" si="16"/>
        <v>0</v>
      </c>
      <c r="AD36" s="282">
        <f t="shared" si="25"/>
        <v>30</v>
      </c>
      <c r="AE36" s="614">
        <v>3000</v>
      </c>
      <c r="AF36" s="289">
        <v>21</v>
      </c>
      <c r="AG36" s="670"/>
      <c r="AH36" s="671">
        <f t="shared" si="27"/>
        <v>0</v>
      </c>
      <c r="AI36" s="395">
        <f>SUMIF($B$16:$B$45,$AG36,LED計算式!$T$4:$T$33)</f>
        <v>0</v>
      </c>
      <c r="AJ36" s="395">
        <f ca="1">SUMIF($B$16:$B$45,$AG36,LED計算式!$U$4)</f>
        <v>0</v>
      </c>
      <c r="AK36" s="395">
        <f t="shared" ca="1" si="28"/>
        <v>0</v>
      </c>
      <c r="AL36" s="395">
        <f t="shared" ca="1" si="29"/>
        <v>0</v>
      </c>
      <c r="AM36" s="672">
        <f t="shared" ca="1" si="4"/>
        <v>0</v>
      </c>
      <c r="AN36" s="673">
        <f t="shared" si="32"/>
        <v>0.4</v>
      </c>
      <c r="AO36" s="395">
        <f t="shared" ca="1" si="30"/>
        <v>0</v>
      </c>
      <c r="AP36" s="674">
        <f t="shared" ca="1" si="5"/>
        <v>0</v>
      </c>
      <c r="AQ36" s="674">
        <f t="shared" ca="1" si="6"/>
        <v>0</v>
      </c>
      <c r="AR36" s="395">
        <f t="shared" ca="1" si="31"/>
        <v>0</v>
      </c>
      <c r="AS36" s="395">
        <f t="shared" ca="1" si="7"/>
        <v>0</v>
      </c>
      <c r="AT36" s="395">
        <f t="shared" ca="1" si="8"/>
        <v>0</v>
      </c>
      <c r="AU36" s="675"/>
      <c r="AV36" s="676">
        <f t="shared" ca="1" si="9"/>
        <v>0</v>
      </c>
      <c r="AW36" s="676">
        <f t="shared" ca="1" si="10"/>
        <v>0</v>
      </c>
      <c r="AY36" s="527" t="str">
        <f>IFERROR(VLOOKUP(G36,選定!$C$3:$AG$100,28,FALSE),"0")</f>
        <v>0</v>
      </c>
      <c r="AZ36" s="37">
        <f t="shared" si="20"/>
        <v>0</v>
      </c>
      <c r="BA36" s="37">
        <f t="shared" si="21"/>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28">
        <f t="shared" si="22"/>
        <v>0</v>
      </c>
    </row>
    <row r="37" spans="1:59" ht="13.5" customHeight="1">
      <c r="A37" s="656" t="s">
        <v>254</v>
      </c>
      <c r="B37" s="670" t="str">
        <f t="shared" si="11"/>
        <v/>
      </c>
      <c r="C37" s="283"/>
      <c r="D37" s="283"/>
      <c r="E37" s="284"/>
      <c r="F37" s="284"/>
      <c r="G37" s="442"/>
      <c r="H37" s="285">
        <f t="shared" si="33"/>
        <v>0</v>
      </c>
      <c r="I37" s="283"/>
      <c r="J37" s="282" t="str">
        <f t="shared" si="12"/>
        <v/>
      </c>
      <c r="K37" s="283"/>
      <c r="L37" s="282">
        <f t="shared" si="34"/>
        <v>0</v>
      </c>
      <c r="M37" s="283"/>
      <c r="N37" s="283"/>
      <c r="O37" s="283"/>
      <c r="P37" s="283"/>
      <c r="Q37" s="283"/>
      <c r="R37" s="283"/>
      <c r="S37" s="283"/>
      <c r="T37" s="283"/>
      <c r="U37" s="283"/>
      <c r="V37" s="283"/>
      <c r="W37" s="282">
        <f t="shared" si="35"/>
        <v>0</v>
      </c>
      <c r="X37" s="282">
        <f t="shared" ref="X37:X45" si="36">$X$16</f>
        <v>30</v>
      </c>
      <c r="Y37" s="293">
        <f>ROUNDDOWN($W37*$X37,0)</f>
        <v>0</v>
      </c>
      <c r="AA37" s="287">
        <f>IFERROR(VLOOKUP($G37,選定!$C$3:$AG$100,5,FALSE),0)</f>
        <v>0</v>
      </c>
      <c r="AB37" s="282">
        <f t="shared" si="3"/>
        <v>0</v>
      </c>
      <c r="AC37" s="293">
        <f t="shared" si="16"/>
        <v>0</v>
      </c>
      <c r="AD37" s="282">
        <f t="shared" si="25"/>
        <v>30</v>
      </c>
      <c r="AE37" s="614">
        <v>3000</v>
      </c>
      <c r="AF37" s="289">
        <v>22</v>
      </c>
      <c r="AG37" s="670"/>
      <c r="AH37" s="671">
        <f t="shared" si="27"/>
        <v>0</v>
      </c>
      <c r="AI37" s="395">
        <f>SUMIF($B$16:$B$45,$AG37,LED計算式!$T$4:$T$33)</f>
        <v>0</v>
      </c>
      <c r="AJ37" s="395">
        <f ca="1">SUMIF($B$16:$B$45,$AG37,LED計算式!$U$4)</f>
        <v>0</v>
      </c>
      <c r="AK37" s="395">
        <f t="shared" ca="1" si="28"/>
        <v>0</v>
      </c>
      <c r="AL37" s="395">
        <f t="shared" ca="1" si="29"/>
        <v>0</v>
      </c>
      <c r="AM37" s="672">
        <f t="shared" ca="1" si="4"/>
        <v>0</v>
      </c>
      <c r="AN37" s="673">
        <f>$AN$16</f>
        <v>0.4</v>
      </c>
      <c r="AO37" s="395">
        <f t="shared" ca="1" si="30"/>
        <v>0</v>
      </c>
      <c r="AP37" s="674">
        <f t="shared" ca="1" si="5"/>
        <v>0</v>
      </c>
      <c r="AQ37" s="674">
        <f t="shared" ca="1" si="6"/>
        <v>0</v>
      </c>
      <c r="AR37" s="395">
        <f t="shared" ca="1" si="31"/>
        <v>0</v>
      </c>
      <c r="AS37" s="395">
        <f t="shared" ca="1" si="7"/>
        <v>0</v>
      </c>
      <c r="AT37" s="395">
        <f t="shared" ca="1" si="8"/>
        <v>0</v>
      </c>
      <c r="AU37" s="675"/>
      <c r="AV37" s="676">
        <f t="shared" ca="1" si="9"/>
        <v>0</v>
      </c>
      <c r="AW37" s="676">
        <f t="shared" ca="1" si="10"/>
        <v>0</v>
      </c>
      <c r="AY37" s="527" t="str">
        <f>IFERROR(VLOOKUP(G37,選定!$C$3:$AG$100,28,FALSE),"0")</f>
        <v>0</v>
      </c>
      <c r="AZ37" s="37">
        <f t="shared" si="20"/>
        <v>0</v>
      </c>
      <c r="BA37" s="37">
        <f t="shared" si="21"/>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28">
        <f t="shared" si="22"/>
        <v>0</v>
      </c>
    </row>
    <row r="38" spans="1:59" ht="13.5" customHeight="1">
      <c r="A38" s="656" t="s">
        <v>255</v>
      </c>
      <c r="B38" s="670" t="str">
        <f t="shared" si="11"/>
        <v/>
      </c>
      <c r="C38" s="283"/>
      <c r="D38" s="283"/>
      <c r="E38" s="284"/>
      <c r="F38" s="284"/>
      <c r="G38" s="442"/>
      <c r="H38" s="285">
        <f t="shared" si="33"/>
        <v>0</v>
      </c>
      <c r="I38" s="283"/>
      <c r="J38" s="282" t="str">
        <f t="shared" si="12"/>
        <v/>
      </c>
      <c r="K38" s="283"/>
      <c r="L38" s="282">
        <f t="shared" si="34"/>
        <v>0</v>
      </c>
      <c r="M38" s="283"/>
      <c r="N38" s="283"/>
      <c r="O38" s="283"/>
      <c r="P38" s="283"/>
      <c r="Q38" s="283"/>
      <c r="R38" s="283"/>
      <c r="S38" s="283"/>
      <c r="T38" s="283"/>
      <c r="U38" s="283"/>
      <c r="V38" s="283"/>
      <c r="W38" s="282">
        <f t="shared" si="35"/>
        <v>0</v>
      </c>
      <c r="X38" s="282">
        <f t="shared" si="36"/>
        <v>30</v>
      </c>
      <c r="Y38" s="293">
        <f t="shared" si="15"/>
        <v>0</v>
      </c>
      <c r="AA38" s="287">
        <f>IFERROR(VLOOKUP($G38,選定!$C$3:$AG$100,5,FALSE),0)</f>
        <v>0</v>
      </c>
      <c r="AB38" s="282">
        <f t="shared" si="3"/>
        <v>0</v>
      </c>
      <c r="AC38" s="293">
        <f t="shared" si="16"/>
        <v>0</v>
      </c>
      <c r="AD38" s="282">
        <f t="shared" si="25"/>
        <v>30</v>
      </c>
      <c r="AE38" s="614">
        <v>3000</v>
      </c>
      <c r="AF38" s="289">
        <v>23</v>
      </c>
      <c r="AG38" s="670"/>
      <c r="AH38" s="671">
        <f t="shared" si="27"/>
        <v>0</v>
      </c>
      <c r="AI38" s="395">
        <f>SUMIF($B$16:$B$45,$AG38,LED計算式!$T$4:$T$33)</f>
        <v>0</v>
      </c>
      <c r="AJ38" s="395">
        <f ca="1">SUMIF($B$16:$B$45,$AG38,LED計算式!$U$4)</f>
        <v>0</v>
      </c>
      <c r="AK38" s="395">
        <f t="shared" ca="1" si="28"/>
        <v>0</v>
      </c>
      <c r="AL38" s="395">
        <f t="shared" ca="1" si="29"/>
        <v>0</v>
      </c>
      <c r="AM38" s="672">
        <f t="shared" ca="1" si="4"/>
        <v>0</v>
      </c>
      <c r="AN38" s="673">
        <f t="shared" si="32"/>
        <v>0.4</v>
      </c>
      <c r="AO38" s="395">
        <f t="shared" ca="1" si="30"/>
        <v>0</v>
      </c>
      <c r="AP38" s="674">
        <f t="shared" ca="1" si="5"/>
        <v>0</v>
      </c>
      <c r="AQ38" s="674">
        <f t="shared" ca="1" si="6"/>
        <v>0</v>
      </c>
      <c r="AR38" s="395">
        <f t="shared" ca="1" si="31"/>
        <v>0</v>
      </c>
      <c r="AS38" s="395">
        <f t="shared" ca="1" si="7"/>
        <v>0</v>
      </c>
      <c r="AT38" s="395">
        <f t="shared" ca="1" si="8"/>
        <v>0</v>
      </c>
      <c r="AU38" s="675"/>
      <c r="AV38" s="676">
        <f t="shared" ca="1" si="9"/>
        <v>0</v>
      </c>
      <c r="AW38" s="676">
        <f t="shared" ca="1" si="10"/>
        <v>0</v>
      </c>
      <c r="AY38" s="527" t="str">
        <f>IFERROR(VLOOKUP(G38,選定!$C$3:$AG$100,28,FALSE),"0")</f>
        <v>0</v>
      </c>
      <c r="AZ38" s="37">
        <f t="shared" si="20"/>
        <v>0</v>
      </c>
      <c r="BA38" s="37">
        <f t="shared" si="21"/>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28">
        <f t="shared" si="22"/>
        <v>0</v>
      </c>
    </row>
    <row r="39" spans="1:59" ht="13.5" customHeight="1">
      <c r="A39" s="656" t="s">
        <v>256</v>
      </c>
      <c r="B39" s="670" t="str">
        <f t="shared" si="11"/>
        <v/>
      </c>
      <c r="C39" s="283"/>
      <c r="D39" s="283"/>
      <c r="E39" s="284"/>
      <c r="F39" s="284"/>
      <c r="G39" s="442"/>
      <c r="H39" s="285">
        <f t="shared" si="33"/>
        <v>0</v>
      </c>
      <c r="I39" s="283"/>
      <c r="J39" s="282" t="str">
        <f t="shared" si="12"/>
        <v/>
      </c>
      <c r="K39" s="283"/>
      <c r="L39" s="282">
        <f t="shared" si="34"/>
        <v>0</v>
      </c>
      <c r="M39" s="283"/>
      <c r="N39" s="283"/>
      <c r="O39" s="283"/>
      <c r="P39" s="283"/>
      <c r="Q39" s="283"/>
      <c r="R39" s="283"/>
      <c r="S39" s="283"/>
      <c r="T39" s="283"/>
      <c r="U39" s="283"/>
      <c r="V39" s="283"/>
      <c r="W39" s="282">
        <f t="shared" si="35"/>
        <v>0</v>
      </c>
      <c r="X39" s="282">
        <f t="shared" si="36"/>
        <v>30</v>
      </c>
      <c r="Y39" s="293">
        <f t="shared" si="15"/>
        <v>0</v>
      </c>
      <c r="AA39" s="287">
        <f>IFERROR(VLOOKUP($G39,選定!$C$3:$AG$100,5,FALSE),0)</f>
        <v>0</v>
      </c>
      <c r="AB39" s="282">
        <f t="shared" si="3"/>
        <v>0</v>
      </c>
      <c r="AC39" s="293">
        <f t="shared" si="16"/>
        <v>0</v>
      </c>
      <c r="AD39" s="282">
        <f t="shared" si="25"/>
        <v>30</v>
      </c>
      <c r="AE39" s="614">
        <v>3000</v>
      </c>
      <c r="AF39" s="289">
        <v>24</v>
      </c>
      <c r="AG39" s="670"/>
      <c r="AH39" s="671">
        <f t="shared" si="27"/>
        <v>0</v>
      </c>
      <c r="AI39" s="395">
        <f>SUMIF($B$16:$B$45,$AG39,LED計算式!$T$4:$T$33)</f>
        <v>0</v>
      </c>
      <c r="AJ39" s="395">
        <f ca="1">SUMIF($B$16:$B$45,$AG39,LED計算式!$U$4)</f>
        <v>0</v>
      </c>
      <c r="AK39" s="395">
        <f t="shared" ca="1" si="28"/>
        <v>0</v>
      </c>
      <c r="AL39" s="395">
        <f t="shared" ca="1" si="29"/>
        <v>0</v>
      </c>
      <c r="AM39" s="672">
        <f t="shared" ca="1" si="4"/>
        <v>0</v>
      </c>
      <c r="AN39" s="673">
        <f t="shared" si="32"/>
        <v>0.4</v>
      </c>
      <c r="AO39" s="395">
        <f t="shared" ca="1" si="30"/>
        <v>0</v>
      </c>
      <c r="AP39" s="674">
        <f t="shared" ca="1" si="5"/>
        <v>0</v>
      </c>
      <c r="AQ39" s="674">
        <f t="shared" ca="1" si="6"/>
        <v>0</v>
      </c>
      <c r="AR39" s="395">
        <f t="shared" ca="1" si="31"/>
        <v>0</v>
      </c>
      <c r="AS39" s="395">
        <f t="shared" ca="1" si="7"/>
        <v>0</v>
      </c>
      <c r="AT39" s="395">
        <f t="shared" ca="1" si="8"/>
        <v>0</v>
      </c>
      <c r="AU39" s="675"/>
      <c r="AV39" s="676">
        <f t="shared" ca="1" si="9"/>
        <v>0</v>
      </c>
      <c r="AW39" s="676">
        <f t="shared" ca="1" si="10"/>
        <v>0</v>
      </c>
      <c r="AY39" s="527" t="str">
        <f>IFERROR(VLOOKUP(G39,選定!$C$3:$AG$100,28,FALSE),"0")</f>
        <v>0</v>
      </c>
      <c r="AZ39" s="37">
        <f t="shared" si="20"/>
        <v>0</v>
      </c>
      <c r="BA39" s="37">
        <f t="shared" si="21"/>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28">
        <f t="shared" si="22"/>
        <v>0</v>
      </c>
    </row>
    <row r="40" spans="1:59" ht="13.5" customHeight="1">
      <c r="A40" s="656" t="s">
        <v>257</v>
      </c>
      <c r="B40" s="670" t="str">
        <f t="shared" si="11"/>
        <v/>
      </c>
      <c r="C40" s="283"/>
      <c r="D40" s="283"/>
      <c r="E40" s="284"/>
      <c r="F40" s="284"/>
      <c r="G40" s="442"/>
      <c r="H40" s="285">
        <f t="shared" si="33"/>
        <v>0</v>
      </c>
      <c r="I40" s="283"/>
      <c r="J40" s="282" t="str">
        <f t="shared" si="12"/>
        <v/>
      </c>
      <c r="K40" s="283"/>
      <c r="L40" s="282">
        <f t="shared" si="34"/>
        <v>0</v>
      </c>
      <c r="M40" s="283"/>
      <c r="N40" s="283"/>
      <c r="O40" s="283"/>
      <c r="P40" s="283"/>
      <c r="Q40" s="283"/>
      <c r="R40" s="283"/>
      <c r="S40" s="283"/>
      <c r="T40" s="283"/>
      <c r="U40" s="283"/>
      <c r="V40" s="283"/>
      <c r="W40" s="282">
        <f t="shared" si="35"/>
        <v>0</v>
      </c>
      <c r="X40" s="282">
        <f t="shared" si="36"/>
        <v>30</v>
      </c>
      <c r="Y40" s="293">
        <f t="shared" si="15"/>
        <v>0</v>
      </c>
      <c r="AA40" s="287">
        <f>IFERROR(VLOOKUP($G40,選定!$C$3:$AG$100,5,FALSE),0)</f>
        <v>0</v>
      </c>
      <c r="AB40" s="282">
        <f t="shared" si="3"/>
        <v>0</v>
      </c>
      <c r="AC40" s="293">
        <f t="shared" si="16"/>
        <v>0</v>
      </c>
      <c r="AD40" s="282">
        <f t="shared" si="25"/>
        <v>30</v>
      </c>
      <c r="AE40" s="614">
        <v>3000</v>
      </c>
      <c r="AF40" s="289">
        <v>25</v>
      </c>
      <c r="AG40" s="670"/>
      <c r="AH40" s="671">
        <f t="shared" si="27"/>
        <v>0</v>
      </c>
      <c r="AI40" s="395">
        <f>SUMIF($B$16:$B$45,$AG40,LED計算式!$T$4:$T$33)</f>
        <v>0</v>
      </c>
      <c r="AJ40" s="395">
        <f ca="1">SUMIF($B$16:$B$45,$AG40,LED計算式!$U$4)</f>
        <v>0</v>
      </c>
      <c r="AK40" s="395">
        <f t="shared" ca="1" si="28"/>
        <v>0</v>
      </c>
      <c r="AL40" s="395">
        <f t="shared" ca="1" si="29"/>
        <v>0</v>
      </c>
      <c r="AM40" s="672">
        <f t="shared" ca="1" si="4"/>
        <v>0</v>
      </c>
      <c r="AN40" s="673">
        <f t="shared" si="32"/>
        <v>0.4</v>
      </c>
      <c r="AO40" s="395">
        <f t="shared" ca="1" si="30"/>
        <v>0</v>
      </c>
      <c r="AP40" s="674">
        <f t="shared" ca="1" si="5"/>
        <v>0</v>
      </c>
      <c r="AQ40" s="674">
        <f t="shared" ca="1" si="6"/>
        <v>0</v>
      </c>
      <c r="AR40" s="395">
        <f t="shared" ca="1" si="31"/>
        <v>0</v>
      </c>
      <c r="AS40" s="395">
        <f t="shared" ca="1" si="7"/>
        <v>0</v>
      </c>
      <c r="AT40" s="395">
        <f t="shared" ca="1" si="8"/>
        <v>0</v>
      </c>
      <c r="AU40" s="675"/>
      <c r="AV40" s="676">
        <f t="shared" ca="1" si="9"/>
        <v>0</v>
      </c>
      <c r="AW40" s="676">
        <f t="shared" ca="1" si="10"/>
        <v>0</v>
      </c>
      <c r="AY40" s="527" t="str">
        <f>IFERROR(VLOOKUP(G40,選定!$C$3:$AG$100,28,FALSE),"0")</f>
        <v>0</v>
      </c>
      <c r="AZ40" s="37">
        <f t="shared" si="20"/>
        <v>0</v>
      </c>
      <c r="BA40" s="37">
        <f t="shared" si="21"/>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28">
        <f t="shared" si="22"/>
        <v>0</v>
      </c>
    </row>
    <row r="41" spans="1:59" ht="13.5" customHeight="1">
      <c r="A41" s="656" t="s">
        <v>256</v>
      </c>
      <c r="B41" s="670" t="str">
        <f t="shared" si="11"/>
        <v/>
      </c>
      <c r="C41" s="283"/>
      <c r="D41" s="283"/>
      <c r="E41" s="284"/>
      <c r="F41" s="284"/>
      <c r="G41" s="442"/>
      <c r="H41" s="285">
        <f t="shared" si="33"/>
        <v>0</v>
      </c>
      <c r="I41" s="283"/>
      <c r="J41" s="282" t="str">
        <f t="shared" si="12"/>
        <v/>
      </c>
      <c r="K41" s="283"/>
      <c r="L41" s="282">
        <f t="shared" si="34"/>
        <v>0</v>
      </c>
      <c r="M41" s="283"/>
      <c r="N41" s="283"/>
      <c r="O41" s="283"/>
      <c r="P41" s="283"/>
      <c r="Q41" s="283"/>
      <c r="R41" s="283"/>
      <c r="S41" s="283"/>
      <c r="T41" s="283"/>
      <c r="U41" s="283"/>
      <c r="V41" s="283"/>
      <c r="W41" s="282">
        <f t="shared" si="35"/>
        <v>0</v>
      </c>
      <c r="X41" s="282">
        <f t="shared" si="36"/>
        <v>30</v>
      </c>
      <c r="Y41" s="293">
        <f t="shared" si="15"/>
        <v>0</v>
      </c>
      <c r="AA41" s="287">
        <f>IFERROR(VLOOKUP($G41,選定!$C$3:$AG$100,5,FALSE),0)</f>
        <v>0</v>
      </c>
      <c r="AB41" s="282">
        <f t="shared" si="3"/>
        <v>0</v>
      </c>
      <c r="AC41" s="293">
        <f t="shared" si="16"/>
        <v>0</v>
      </c>
      <c r="AD41" s="282">
        <f t="shared" si="25"/>
        <v>30</v>
      </c>
      <c r="AE41" s="614">
        <v>3000</v>
      </c>
      <c r="AF41" s="289">
        <v>26</v>
      </c>
      <c r="AG41" s="670"/>
      <c r="AH41" s="671">
        <f t="shared" si="27"/>
        <v>0</v>
      </c>
      <c r="AI41" s="395">
        <f>SUMIF($B$16:$B$45,$AG41,LED計算式!$T$4:$T$33)</f>
        <v>0</v>
      </c>
      <c r="AJ41" s="395">
        <f ca="1">SUMIF($B$16:$B$45,$AG41,LED計算式!$U$4)</f>
        <v>0</v>
      </c>
      <c r="AK41" s="395">
        <f t="shared" ca="1" si="28"/>
        <v>0</v>
      </c>
      <c r="AL41" s="395">
        <f t="shared" ca="1" si="29"/>
        <v>0</v>
      </c>
      <c r="AM41" s="672">
        <f t="shared" ca="1" si="4"/>
        <v>0</v>
      </c>
      <c r="AN41" s="673">
        <f>$AN$16</f>
        <v>0.4</v>
      </c>
      <c r="AO41" s="395">
        <f t="shared" ca="1" si="30"/>
        <v>0</v>
      </c>
      <c r="AP41" s="674">
        <f t="shared" ca="1" si="5"/>
        <v>0</v>
      </c>
      <c r="AQ41" s="674">
        <f t="shared" ca="1" si="6"/>
        <v>0</v>
      </c>
      <c r="AR41" s="395">
        <f t="shared" ca="1" si="31"/>
        <v>0</v>
      </c>
      <c r="AS41" s="395">
        <f t="shared" ca="1" si="7"/>
        <v>0</v>
      </c>
      <c r="AT41" s="395">
        <f t="shared" ca="1" si="8"/>
        <v>0</v>
      </c>
      <c r="AU41" s="675"/>
      <c r="AV41" s="676">
        <f t="shared" ca="1" si="9"/>
        <v>0</v>
      </c>
      <c r="AW41" s="676">
        <f t="shared" ca="1" si="10"/>
        <v>0</v>
      </c>
      <c r="AY41" s="527" t="str">
        <f>IFERROR(VLOOKUP(G41,選定!$C$3:$AG$100,28,FALSE),"0")</f>
        <v>0</v>
      </c>
      <c r="AZ41" s="37">
        <f t="shared" si="20"/>
        <v>0</v>
      </c>
      <c r="BA41" s="37">
        <f t="shared" si="21"/>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28">
        <f t="shared" si="22"/>
        <v>0</v>
      </c>
    </row>
    <row r="42" spans="1:59" ht="13.5" customHeight="1">
      <c r="A42" s="656" t="s">
        <v>258</v>
      </c>
      <c r="B42" s="670" t="str">
        <f t="shared" si="11"/>
        <v/>
      </c>
      <c r="C42" s="283"/>
      <c r="D42" s="283"/>
      <c r="E42" s="284"/>
      <c r="F42" s="284"/>
      <c r="G42" s="442"/>
      <c r="H42" s="285">
        <f t="shared" si="33"/>
        <v>0</v>
      </c>
      <c r="I42" s="283"/>
      <c r="J42" s="282" t="str">
        <f t="shared" si="12"/>
        <v/>
      </c>
      <c r="K42" s="283"/>
      <c r="L42" s="282">
        <f t="shared" si="34"/>
        <v>0</v>
      </c>
      <c r="M42" s="283"/>
      <c r="N42" s="283"/>
      <c r="O42" s="283"/>
      <c r="P42" s="283"/>
      <c r="Q42" s="283"/>
      <c r="R42" s="283"/>
      <c r="S42" s="283"/>
      <c r="T42" s="283"/>
      <c r="U42" s="283"/>
      <c r="V42" s="283"/>
      <c r="W42" s="282">
        <f t="shared" si="35"/>
        <v>0</v>
      </c>
      <c r="X42" s="282">
        <f t="shared" si="36"/>
        <v>30</v>
      </c>
      <c r="Y42" s="293">
        <f t="shared" si="15"/>
        <v>0</v>
      </c>
      <c r="AA42" s="287">
        <f>IFERROR(VLOOKUP($G42,選定!$C$3:$AG$100,5,FALSE),0)</f>
        <v>0</v>
      </c>
      <c r="AB42" s="282">
        <f t="shared" si="3"/>
        <v>0</v>
      </c>
      <c r="AC42" s="293">
        <f t="shared" si="16"/>
        <v>0</v>
      </c>
      <c r="AD42" s="282">
        <f t="shared" si="25"/>
        <v>30</v>
      </c>
      <c r="AE42" s="614">
        <v>3000</v>
      </c>
      <c r="AF42" s="289">
        <v>27</v>
      </c>
      <c r="AG42" s="670"/>
      <c r="AH42" s="671">
        <f t="shared" si="27"/>
        <v>0</v>
      </c>
      <c r="AI42" s="395">
        <f>SUMIF($B$16:$B$45,$AG42,LED計算式!$T$4:$T$33)</f>
        <v>0</v>
      </c>
      <c r="AJ42" s="395">
        <f ca="1">SUMIF($B$16:$B$45,$AG42,LED計算式!$U$4)</f>
        <v>0</v>
      </c>
      <c r="AK42" s="395">
        <f t="shared" ca="1" si="28"/>
        <v>0</v>
      </c>
      <c r="AL42" s="395">
        <f t="shared" ca="1" si="29"/>
        <v>0</v>
      </c>
      <c r="AM42" s="672">
        <f t="shared" ca="1" si="4"/>
        <v>0</v>
      </c>
      <c r="AN42" s="673">
        <f>$AN$16</f>
        <v>0.4</v>
      </c>
      <c r="AO42" s="395">
        <f t="shared" ca="1" si="30"/>
        <v>0</v>
      </c>
      <c r="AP42" s="674">
        <f t="shared" ca="1" si="5"/>
        <v>0</v>
      </c>
      <c r="AQ42" s="674">
        <f t="shared" ca="1" si="6"/>
        <v>0</v>
      </c>
      <c r="AR42" s="395">
        <f t="shared" ca="1" si="31"/>
        <v>0</v>
      </c>
      <c r="AS42" s="395">
        <f t="shared" ca="1" si="7"/>
        <v>0</v>
      </c>
      <c r="AT42" s="395">
        <f t="shared" ca="1" si="8"/>
        <v>0</v>
      </c>
      <c r="AU42" s="675"/>
      <c r="AV42" s="676">
        <f t="shared" ca="1" si="9"/>
        <v>0</v>
      </c>
      <c r="AW42" s="676">
        <f t="shared" ca="1" si="10"/>
        <v>0</v>
      </c>
      <c r="AY42" s="527" t="str">
        <f>IFERROR(VLOOKUP(G42,選定!$C$3:$AG$100,28,FALSE),"0")</f>
        <v>0</v>
      </c>
      <c r="AZ42" s="37">
        <f t="shared" si="20"/>
        <v>0</v>
      </c>
      <c r="BA42" s="37">
        <f t="shared" si="21"/>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28">
        <f t="shared" si="22"/>
        <v>0</v>
      </c>
    </row>
    <row r="43" spans="1:59" ht="13.5" customHeight="1">
      <c r="A43" s="656" t="s">
        <v>259</v>
      </c>
      <c r="B43" s="670" t="str">
        <f t="shared" si="11"/>
        <v/>
      </c>
      <c r="C43" s="283"/>
      <c r="D43" s="283"/>
      <c r="E43" s="284"/>
      <c r="F43" s="284"/>
      <c r="G43" s="442"/>
      <c r="H43" s="285">
        <f t="shared" si="33"/>
        <v>0</v>
      </c>
      <c r="I43" s="283"/>
      <c r="J43" s="282" t="str">
        <f t="shared" si="12"/>
        <v/>
      </c>
      <c r="K43" s="283"/>
      <c r="L43" s="282">
        <f t="shared" si="34"/>
        <v>0</v>
      </c>
      <c r="M43" s="283"/>
      <c r="N43" s="283"/>
      <c r="O43" s="283"/>
      <c r="P43" s="283"/>
      <c r="Q43" s="283"/>
      <c r="R43" s="283"/>
      <c r="S43" s="283"/>
      <c r="T43" s="283"/>
      <c r="U43" s="283"/>
      <c r="V43" s="283"/>
      <c r="W43" s="282">
        <f t="shared" si="35"/>
        <v>0</v>
      </c>
      <c r="X43" s="282">
        <f t="shared" si="36"/>
        <v>30</v>
      </c>
      <c r="Y43" s="293">
        <f t="shared" si="15"/>
        <v>0</v>
      </c>
      <c r="AA43" s="287">
        <f>IFERROR(VLOOKUP($G43,選定!$C$3:$AG$100,5,FALSE),0)</f>
        <v>0</v>
      </c>
      <c r="AB43" s="282">
        <f t="shared" si="3"/>
        <v>0</v>
      </c>
      <c r="AC43" s="293">
        <f t="shared" si="16"/>
        <v>0</v>
      </c>
      <c r="AD43" s="282">
        <f t="shared" si="25"/>
        <v>30</v>
      </c>
      <c r="AE43" s="614">
        <v>3000</v>
      </c>
      <c r="AF43" s="289">
        <v>28</v>
      </c>
      <c r="AG43" s="670"/>
      <c r="AH43" s="671">
        <f t="shared" si="27"/>
        <v>0</v>
      </c>
      <c r="AI43" s="395">
        <f>SUMIF($B$16:$B$45,$AG43,LED計算式!$T$4:$T$33)</f>
        <v>0</v>
      </c>
      <c r="AJ43" s="395">
        <f ca="1">SUMIF($B$16:$B$45,$AG43,LED計算式!$U$4)</f>
        <v>0</v>
      </c>
      <c r="AK43" s="395">
        <f t="shared" ca="1" si="28"/>
        <v>0</v>
      </c>
      <c r="AL43" s="395">
        <f t="shared" ca="1" si="29"/>
        <v>0</v>
      </c>
      <c r="AM43" s="672">
        <f t="shared" ca="1" si="4"/>
        <v>0</v>
      </c>
      <c r="AN43" s="673">
        <f>$AN$16</f>
        <v>0.4</v>
      </c>
      <c r="AO43" s="395">
        <f t="shared" ca="1" si="30"/>
        <v>0</v>
      </c>
      <c r="AP43" s="674">
        <f t="shared" ca="1" si="5"/>
        <v>0</v>
      </c>
      <c r="AQ43" s="674">
        <f t="shared" ca="1" si="6"/>
        <v>0</v>
      </c>
      <c r="AR43" s="395">
        <f t="shared" ca="1" si="31"/>
        <v>0</v>
      </c>
      <c r="AS43" s="395">
        <f t="shared" ca="1" si="7"/>
        <v>0</v>
      </c>
      <c r="AT43" s="395">
        <f t="shared" ca="1" si="8"/>
        <v>0</v>
      </c>
      <c r="AU43" s="675"/>
      <c r="AV43" s="676">
        <f t="shared" ca="1" si="9"/>
        <v>0</v>
      </c>
      <c r="AW43" s="676">
        <f t="shared" ca="1" si="10"/>
        <v>0</v>
      </c>
      <c r="AY43" s="527" t="str">
        <f>IFERROR(VLOOKUP(G43,選定!$C$3:$AG$100,28,FALSE),"0")</f>
        <v>0</v>
      </c>
      <c r="AZ43" s="37">
        <f t="shared" si="20"/>
        <v>0</v>
      </c>
      <c r="BA43" s="37">
        <f t="shared" si="21"/>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28">
        <f t="shared" si="22"/>
        <v>0</v>
      </c>
    </row>
    <row r="44" spans="1:59" ht="13.5" customHeight="1">
      <c r="A44" s="656" t="s">
        <v>260</v>
      </c>
      <c r="B44" s="670" t="str">
        <f t="shared" si="11"/>
        <v/>
      </c>
      <c r="C44" s="283"/>
      <c r="D44" s="283"/>
      <c r="E44" s="284"/>
      <c r="F44" s="284"/>
      <c r="G44" s="442"/>
      <c r="H44" s="285">
        <f t="shared" si="33"/>
        <v>0</v>
      </c>
      <c r="I44" s="283"/>
      <c r="J44" s="282" t="str">
        <f t="shared" si="12"/>
        <v/>
      </c>
      <c r="K44" s="283"/>
      <c r="L44" s="282">
        <f t="shared" si="34"/>
        <v>0</v>
      </c>
      <c r="M44" s="283"/>
      <c r="N44" s="283"/>
      <c r="O44" s="283"/>
      <c r="P44" s="283"/>
      <c r="Q44" s="283"/>
      <c r="R44" s="283"/>
      <c r="S44" s="283"/>
      <c r="T44" s="283"/>
      <c r="U44" s="283"/>
      <c r="V44" s="283"/>
      <c r="W44" s="282">
        <f t="shared" si="35"/>
        <v>0</v>
      </c>
      <c r="X44" s="282">
        <f t="shared" si="36"/>
        <v>30</v>
      </c>
      <c r="Y44" s="293">
        <f t="shared" si="15"/>
        <v>0</v>
      </c>
      <c r="AA44" s="287">
        <f>IFERROR(VLOOKUP($G44,選定!$C$3:$AG$100,5,FALSE),0)</f>
        <v>0</v>
      </c>
      <c r="AB44" s="282">
        <f t="shared" si="3"/>
        <v>0</v>
      </c>
      <c r="AC44" s="293">
        <f t="shared" si="16"/>
        <v>0</v>
      </c>
      <c r="AD44" s="282">
        <f t="shared" si="25"/>
        <v>30</v>
      </c>
      <c r="AE44" s="614">
        <v>3000</v>
      </c>
      <c r="AF44" s="289">
        <v>29</v>
      </c>
      <c r="AG44" s="670"/>
      <c r="AH44" s="671">
        <f t="shared" si="27"/>
        <v>0</v>
      </c>
      <c r="AI44" s="395">
        <f>SUMIF($B$16:$B$45,$AG44,LED計算式!$T$4:$T$33)</f>
        <v>0</v>
      </c>
      <c r="AJ44" s="395">
        <f ca="1">SUMIF($B$16:$B$45,$AG44,LED計算式!$U$4)</f>
        <v>0</v>
      </c>
      <c r="AK44" s="395">
        <f t="shared" ca="1" si="28"/>
        <v>0</v>
      </c>
      <c r="AL44" s="395">
        <f t="shared" ca="1" si="29"/>
        <v>0</v>
      </c>
      <c r="AM44" s="672">
        <f t="shared" ca="1" si="4"/>
        <v>0</v>
      </c>
      <c r="AN44" s="673">
        <f>$AN$16</f>
        <v>0.4</v>
      </c>
      <c r="AO44" s="395">
        <f t="shared" ca="1" si="30"/>
        <v>0</v>
      </c>
      <c r="AP44" s="674">
        <f t="shared" ca="1" si="5"/>
        <v>0</v>
      </c>
      <c r="AQ44" s="674">
        <f t="shared" ca="1" si="6"/>
        <v>0</v>
      </c>
      <c r="AR44" s="395">
        <f t="shared" ca="1" si="31"/>
        <v>0</v>
      </c>
      <c r="AS44" s="395">
        <f t="shared" ca="1" si="7"/>
        <v>0</v>
      </c>
      <c r="AT44" s="395">
        <f t="shared" ca="1" si="8"/>
        <v>0</v>
      </c>
      <c r="AU44" s="675"/>
      <c r="AV44" s="676">
        <f t="shared" ca="1" si="9"/>
        <v>0</v>
      </c>
      <c r="AW44" s="676">
        <f t="shared" ca="1" si="10"/>
        <v>0</v>
      </c>
      <c r="AY44" s="527" t="str">
        <f>IFERROR(VLOOKUP(G44,選定!$C$3:$AG$100,28,FALSE),"0")</f>
        <v>0</v>
      </c>
      <c r="AZ44" s="37">
        <f t="shared" si="20"/>
        <v>0</v>
      </c>
      <c r="BA44" s="37">
        <f t="shared" si="21"/>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28">
        <f t="shared" si="22"/>
        <v>0</v>
      </c>
    </row>
    <row r="45" spans="1:59" ht="13.5" customHeight="1" thickBot="1">
      <c r="A45" s="657" t="s">
        <v>261</v>
      </c>
      <c r="B45" s="677" t="str">
        <f t="shared" si="11"/>
        <v/>
      </c>
      <c r="C45" s="504"/>
      <c r="D45" s="504"/>
      <c r="E45" s="508"/>
      <c r="F45" s="508"/>
      <c r="G45" s="587"/>
      <c r="H45" s="509">
        <f t="shared" si="33"/>
        <v>0</v>
      </c>
      <c r="I45" s="504"/>
      <c r="J45" s="506" t="str">
        <f t="shared" si="12"/>
        <v/>
      </c>
      <c r="K45" s="504"/>
      <c r="L45" s="506">
        <f t="shared" si="34"/>
        <v>0</v>
      </c>
      <c r="M45" s="504"/>
      <c r="N45" s="504"/>
      <c r="O45" s="504"/>
      <c r="P45" s="504"/>
      <c r="Q45" s="504"/>
      <c r="R45" s="504"/>
      <c r="S45" s="504"/>
      <c r="T45" s="504"/>
      <c r="U45" s="504"/>
      <c r="V45" s="504"/>
      <c r="W45" s="506">
        <f t="shared" si="35"/>
        <v>0</v>
      </c>
      <c r="X45" s="506">
        <f t="shared" si="36"/>
        <v>30</v>
      </c>
      <c r="Y45" s="507">
        <f t="shared" si="15"/>
        <v>0</v>
      </c>
      <c r="AA45" s="505">
        <f>IFERROR(VLOOKUP($G45,選定!$C$3:$AG$100,5,FALSE),0)</f>
        <v>0</v>
      </c>
      <c r="AB45" s="506">
        <f t="shared" si="3"/>
        <v>0</v>
      </c>
      <c r="AC45" s="507">
        <f t="shared" si="16"/>
        <v>0</v>
      </c>
      <c r="AD45" s="506">
        <f t="shared" si="25"/>
        <v>30</v>
      </c>
      <c r="AE45" s="340">
        <v>3000</v>
      </c>
      <c r="AF45" s="289">
        <v>30</v>
      </c>
      <c r="AG45" s="677"/>
      <c r="AH45" s="678">
        <f t="shared" si="27"/>
        <v>0</v>
      </c>
      <c r="AI45" s="679">
        <f>SUMIF($B$16:$B$45,$AG45,LED計算式!$T$4:$T$33)</f>
        <v>0</v>
      </c>
      <c r="AJ45" s="679">
        <f ca="1">SUMIF($B$16:$B$45,$AG45,LED計算式!$U$4)</f>
        <v>0</v>
      </c>
      <c r="AK45" s="679">
        <f t="shared" ca="1" si="28"/>
        <v>0</v>
      </c>
      <c r="AL45" s="679">
        <f t="shared" ca="1" si="29"/>
        <v>0</v>
      </c>
      <c r="AM45" s="680">
        <f t="shared" ca="1" si="4"/>
        <v>0</v>
      </c>
      <c r="AN45" s="681">
        <f>$AN$16</f>
        <v>0.4</v>
      </c>
      <c r="AO45" s="679">
        <f t="shared" ca="1" si="30"/>
        <v>0</v>
      </c>
      <c r="AP45" s="682">
        <f t="shared" ca="1" si="5"/>
        <v>0</v>
      </c>
      <c r="AQ45" s="682">
        <f t="shared" ca="1" si="6"/>
        <v>0</v>
      </c>
      <c r="AR45" s="679">
        <f t="shared" ca="1" si="31"/>
        <v>0</v>
      </c>
      <c r="AS45" s="679">
        <f t="shared" ca="1" si="7"/>
        <v>0</v>
      </c>
      <c r="AT45" s="679">
        <f t="shared" ca="1" si="8"/>
        <v>0</v>
      </c>
      <c r="AU45" s="683"/>
      <c r="AV45" s="676">
        <f t="shared" ca="1" si="9"/>
        <v>0</v>
      </c>
      <c r="AW45" s="676">
        <f t="shared" ca="1" si="10"/>
        <v>0</v>
      </c>
      <c r="AY45" s="529" t="str">
        <f>IFERROR(VLOOKUP(G45,選定!$C$3:$AG$100,28,FALSE),"0")</f>
        <v>0</v>
      </c>
      <c r="AZ45" s="530">
        <f t="shared" si="20"/>
        <v>0</v>
      </c>
      <c r="BA45" s="530">
        <f t="shared" si="21"/>
        <v>0</v>
      </c>
      <c r="BB45" s="530" t="str">
        <f>IFERROR(VLOOKUP(G45,選定!$C$2:$AG$100,11,FALSE),"0")</f>
        <v>0</v>
      </c>
      <c r="BC45" s="530" t="str">
        <f>IFERROR(VLOOKUP(G45,選定!$C$2:$AG$100,13,FALSE),"")</f>
        <v/>
      </c>
      <c r="BD45" s="530" t="str">
        <f>IFERROR(VLOOKUP(G45,選定!$C$2:$AG$100,16,FALSE),"")</f>
        <v/>
      </c>
      <c r="BE45" s="530" t="str">
        <f>IFERROR(VLOOKUP(G45,選定!$C$2:$AG$100,19,FALSE),"")</f>
        <v/>
      </c>
      <c r="BF45" s="530" t="str">
        <f>IFERROR(VLOOKUP(G45,選定!$C$2:$AG$100,22,FALSE),"")</f>
        <v/>
      </c>
      <c r="BG45" s="531">
        <f t="shared" si="22"/>
        <v>0</v>
      </c>
    </row>
    <row r="47" spans="1:59" ht="13.5" customHeight="1">
      <c r="B47" s="262" t="s">
        <v>262</v>
      </c>
    </row>
    <row r="48" spans="1:59" ht="13.5" customHeight="1">
      <c r="A48" s="622"/>
      <c r="B48" s="622" t="s">
        <v>87</v>
      </c>
      <c r="C48" s="622" t="s">
        <v>185</v>
      </c>
      <c r="D48" s="622" t="s">
        <v>186</v>
      </c>
      <c r="E48" s="622" t="s">
        <v>187</v>
      </c>
      <c r="F48" s="402"/>
      <c r="G48" s="402"/>
      <c r="H48" s="402"/>
      <c r="I48" s="402"/>
      <c r="J48" s="402"/>
      <c r="K48" s="402"/>
      <c r="L48" s="622" t="s">
        <v>194</v>
      </c>
      <c r="M48" s="622" t="s">
        <v>195</v>
      </c>
      <c r="N48" s="622" t="s">
        <v>196</v>
      </c>
      <c r="O48" s="622" t="s">
        <v>197</v>
      </c>
      <c r="P48" s="622" t="s">
        <v>198</v>
      </c>
      <c r="Q48" s="622" t="s">
        <v>199</v>
      </c>
      <c r="R48" s="622" t="s">
        <v>200</v>
      </c>
      <c r="S48" s="622" t="s">
        <v>201</v>
      </c>
      <c r="T48" s="622" t="s">
        <v>202</v>
      </c>
      <c r="U48" s="622" t="s">
        <v>203</v>
      </c>
      <c r="V48" s="622" t="s">
        <v>204</v>
      </c>
      <c r="W48" s="822" t="s">
        <v>263</v>
      </c>
      <c r="X48" s="823"/>
      <c r="Y48" s="823"/>
      <c r="Z48" s="823"/>
      <c r="AA48" s="823"/>
      <c r="AB48" s="824"/>
      <c r="AC48" s="822" t="s">
        <v>264</v>
      </c>
      <c r="AD48" s="823"/>
      <c r="AE48" s="823"/>
      <c r="AF48" s="823"/>
      <c r="AG48" s="823"/>
      <c r="AH48" s="824"/>
    </row>
    <row r="49" spans="1:45" ht="13.5" customHeight="1">
      <c r="A49" s="279">
        <v>1</v>
      </c>
      <c r="B49" s="770" t="str">
        <f t="shared" ref="B49:B60" si="37">IF(C49="","",$C$5)</f>
        <v/>
      </c>
      <c r="C49" s="623"/>
      <c r="D49" s="623"/>
      <c r="E49" s="624"/>
      <c r="F49" s="402"/>
      <c r="G49" s="402"/>
      <c r="H49" s="402"/>
      <c r="I49" s="402"/>
      <c r="J49" s="402"/>
      <c r="K49" s="402"/>
      <c r="L49" s="621">
        <f>SUM(M49:V49)</f>
        <v>0</v>
      </c>
      <c r="M49" s="623"/>
      <c r="N49" s="623"/>
      <c r="O49" s="623"/>
      <c r="P49" s="623"/>
      <c r="Q49" s="623"/>
      <c r="R49" s="623"/>
      <c r="S49" s="623"/>
      <c r="T49" s="623"/>
      <c r="U49" s="623"/>
      <c r="V49" s="623"/>
      <c r="W49" s="819"/>
      <c r="X49" s="820"/>
      <c r="Y49" s="820"/>
      <c r="Z49" s="820"/>
      <c r="AA49" s="820"/>
      <c r="AB49" s="821"/>
      <c r="AC49" s="810"/>
      <c r="AD49" s="811"/>
      <c r="AE49" s="811"/>
      <c r="AF49" s="811"/>
      <c r="AG49" s="811"/>
      <c r="AH49" s="812"/>
    </row>
    <row r="50" spans="1:45" ht="13.5" customHeight="1">
      <c r="A50" s="656">
        <v>2</v>
      </c>
      <c r="B50" s="770" t="str">
        <f t="shared" si="37"/>
        <v/>
      </c>
      <c r="C50" s="283"/>
      <c r="D50" s="283"/>
      <c r="E50" s="284"/>
      <c r="F50" s="402"/>
      <c r="G50" s="402"/>
      <c r="H50" s="402"/>
      <c r="I50" s="402"/>
      <c r="J50" s="402"/>
      <c r="K50" s="402"/>
      <c r="L50" s="282">
        <f t="shared" ref="L50:L58" si="38">SUM(M50:V50)</f>
        <v>0</v>
      </c>
      <c r="M50" s="283"/>
      <c r="N50" s="283"/>
      <c r="O50" s="283"/>
      <c r="P50" s="283"/>
      <c r="Q50" s="283"/>
      <c r="R50" s="283"/>
      <c r="S50" s="283"/>
      <c r="T50" s="283"/>
      <c r="U50" s="283"/>
      <c r="V50" s="283"/>
      <c r="W50" s="819"/>
      <c r="X50" s="820"/>
      <c r="Y50" s="820"/>
      <c r="Z50" s="820"/>
      <c r="AA50" s="820"/>
      <c r="AB50" s="821"/>
      <c r="AC50" s="813"/>
      <c r="AD50" s="814"/>
      <c r="AE50" s="814"/>
      <c r="AF50" s="814"/>
      <c r="AG50" s="814"/>
      <c r="AH50" s="815"/>
    </row>
    <row r="51" spans="1:45" ht="13.5" customHeight="1">
      <c r="A51" s="656">
        <v>3</v>
      </c>
      <c r="B51" s="770" t="str">
        <f t="shared" si="37"/>
        <v/>
      </c>
      <c r="C51" s="283"/>
      <c r="D51" s="283"/>
      <c r="E51" s="284"/>
      <c r="F51" s="402"/>
      <c r="G51" s="402"/>
      <c r="H51" s="402"/>
      <c r="I51" s="402"/>
      <c r="J51" s="402"/>
      <c r="K51" s="402"/>
      <c r="L51" s="282">
        <f t="shared" si="38"/>
        <v>0</v>
      </c>
      <c r="M51" s="283"/>
      <c r="N51" s="283"/>
      <c r="O51" s="283"/>
      <c r="P51" s="283"/>
      <c r="Q51" s="283"/>
      <c r="R51" s="283"/>
      <c r="S51" s="283"/>
      <c r="T51" s="283"/>
      <c r="U51" s="283"/>
      <c r="V51" s="283"/>
      <c r="W51" s="819"/>
      <c r="X51" s="820"/>
      <c r="Y51" s="820"/>
      <c r="Z51" s="820"/>
      <c r="AA51" s="820"/>
      <c r="AB51" s="821"/>
      <c r="AC51" s="813"/>
      <c r="AD51" s="814"/>
      <c r="AE51" s="814"/>
      <c r="AF51" s="814"/>
      <c r="AG51" s="814"/>
      <c r="AH51" s="815"/>
    </row>
    <row r="52" spans="1:45" ht="13.5" customHeight="1">
      <c r="A52" s="656">
        <v>4</v>
      </c>
      <c r="B52" s="770" t="str">
        <f t="shared" si="37"/>
        <v/>
      </c>
      <c r="C52" s="283"/>
      <c r="D52" s="283"/>
      <c r="E52" s="284"/>
      <c r="F52" s="402"/>
      <c r="G52" s="402"/>
      <c r="H52" s="402"/>
      <c r="I52" s="402"/>
      <c r="J52" s="402"/>
      <c r="K52" s="402"/>
      <c r="L52" s="282">
        <f t="shared" si="38"/>
        <v>0</v>
      </c>
      <c r="M52" s="283"/>
      <c r="N52" s="283"/>
      <c r="O52" s="283"/>
      <c r="P52" s="283"/>
      <c r="Q52" s="283"/>
      <c r="R52" s="283"/>
      <c r="S52" s="283"/>
      <c r="T52" s="283"/>
      <c r="U52" s="283"/>
      <c r="V52" s="283"/>
      <c r="W52" s="819"/>
      <c r="X52" s="820"/>
      <c r="Y52" s="820"/>
      <c r="Z52" s="820"/>
      <c r="AA52" s="820"/>
      <c r="AB52" s="821"/>
      <c r="AC52" s="813"/>
      <c r="AD52" s="814"/>
      <c r="AE52" s="814"/>
      <c r="AF52" s="814"/>
      <c r="AG52" s="814"/>
      <c r="AH52" s="815"/>
    </row>
    <row r="53" spans="1:45" ht="13.5" customHeight="1">
      <c r="A53" s="656">
        <v>5</v>
      </c>
      <c r="B53" s="770" t="str">
        <f t="shared" si="37"/>
        <v/>
      </c>
      <c r="C53" s="283"/>
      <c r="D53" s="283"/>
      <c r="E53" s="284"/>
      <c r="F53" s="402"/>
      <c r="G53" s="402"/>
      <c r="H53" s="402"/>
      <c r="I53" s="402"/>
      <c r="J53" s="402"/>
      <c r="K53" s="402"/>
      <c r="L53" s="282">
        <f t="shared" si="38"/>
        <v>0</v>
      </c>
      <c r="M53" s="283"/>
      <c r="N53" s="283"/>
      <c r="O53" s="283"/>
      <c r="P53" s="283"/>
      <c r="Q53" s="283"/>
      <c r="R53" s="283"/>
      <c r="S53" s="283"/>
      <c r="T53" s="283"/>
      <c r="U53" s="283"/>
      <c r="V53" s="283"/>
      <c r="W53" s="819"/>
      <c r="X53" s="820"/>
      <c r="Y53" s="820"/>
      <c r="Z53" s="820"/>
      <c r="AA53" s="820"/>
      <c r="AB53" s="821"/>
      <c r="AC53" s="813"/>
      <c r="AD53" s="814"/>
      <c r="AE53" s="814"/>
      <c r="AF53" s="814"/>
      <c r="AG53" s="814"/>
      <c r="AH53" s="815"/>
    </row>
    <row r="54" spans="1:45" ht="13.5" customHeight="1">
      <c r="A54" s="656">
        <v>6</v>
      </c>
      <c r="B54" s="770" t="str">
        <f t="shared" si="37"/>
        <v/>
      </c>
      <c r="C54" s="283"/>
      <c r="D54" s="283"/>
      <c r="E54" s="284"/>
      <c r="F54" s="402"/>
      <c r="G54" s="402"/>
      <c r="H54" s="402"/>
      <c r="I54" s="402"/>
      <c r="J54" s="402"/>
      <c r="K54" s="402"/>
      <c r="L54" s="282">
        <f t="shared" si="38"/>
        <v>0</v>
      </c>
      <c r="M54" s="283"/>
      <c r="N54" s="283"/>
      <c r="O54" s="283"/>
      <c r="P54" s="283"/>
      <c r="Q54" s="283"/>
      <c r="R54" s="283"/>
      <c r="S54" s="283"/>
      <c r="T54" s="283"/>
      <c r="U54" s="283"/>
      <c r="V54" s="283"/>
      <c r="W54" s="819"/>
      <c r="X54" s="820"/>
      <c r="Y54" s="820"/>
      <c r="Z54" s="820"/>
      <c r="AA54" s="820"/>
      <c r="AB54" s="821"/>
      <c r="AC54" s="813"/>
      <c r="AD54" s="814"/>
      <c r="AE54" s="814"/>
      <c r="AF54" s="814"/>
      <c r="AG54" s="814"/>
      <c r="AH54" s="815"/>
    </row>
    <row r="55" spans="1:45" ht="13.5" customHeight="1">
      <c r="A55" s="656">
        <v>7</v>
      </c>
      <c r="B55" s="770" t="str">
        <f t="shared" si="37"/>
        <v/>
      </c>
      <c r="C55" s="283"/>
      <c r="D55" s="283"/>
      <c r="E55" s="284"/>
      <c r="F55" s="402"/>
      <c r="G55" s="402"/>
      <c r="H55" s="402"/>
      <c r="I55" s="402"/>
      <c r="J55" s="402"/>
      <c r="K55" s="402"/>
      <c r="L55" s="282">
        <f t="shared" si="38"/>
        <v>0</v>
      </c>
      <c r="M55" s="283"/>
      <c r="N55" s="283"/>
      <c r="O55" s="283"/>
      <c r="P55" s="283"/>
      <c r="Q55" s="283"/>
      <c r="R55" s="283"/>
      <c r="S55" s="283"/>
      <c r="T55" s="283"/>
      <c r="U55" s="283"/>
      <c r="V55" s="283"/>
      <c r="W55" s="819"/>
      <c r="X55" s="820"/>
      <c r="Y55" s="820"/>
      <c r="Z55" s="820"/>
      <c r="AA55" s="820"/>
      <c r="AB55" s="821"/>
      <c r="AC55" s="813"/>
      <c r="AD55" s="814"/>
      <c r="AE55" s="814"/>
      <c r="AF55" s="814"/>
      <c r="AG55" s="814"/>
      <c r="AH55" s="815"/>
    </row>
    <row r="56" spans="1:45" ht="13.5" customHeight="1">
      <c r="A56" s="656">
        <v>8</v>
      </c>
      <c r="B56" s="770" t="str">
        <f t="shared" si="37"/>
        <v/>
      </c>
      <c r="C56" s="283"/>
      <c r="D56" s="283"/>
      <c r="E56" s="284"/>
      <c r="F56" s="402"/>
      <c r="G56" s="402"/>
      <c r="H56" s="402"/>
      <c r="I56" s="402"/>
      <c r="J56" s="402"/>
      <c r="K56" s="402"/>
      <c r="L56" s="282">
        <f t="shared" si="38"/>
        <v>0</v>
      </c>
      <c r="M56" s="283"/>
      <c r="N56" s="283"/>
      <c r="O56" s="283"/>
      <c r="P56" s="283"/>
      <c r="Q56" s="283"/>
      <c r="R56" s="283"/>
      <c r="S56" s="283"/>
      <c r="T56" s="283"/>
      <c r="U56" s="283"/>
      <c r="V56" s="283"/>
      <c r="W56" s="819"/>
      <c r="X56" s="820"/>
      <c r="Y56" s="820"/>
      <c r="Z56" s="820"/>
      <c r="AA56" s="820"/>
      <c r="AB56" s="821"/>
      <c r="AC56" s="813"/>
      <c r="AD56" s="814"/>
      <c r="AE56" s="814"/>
      <c r="AF56" s="814"/>
      <c r="AG56" s="814"/>
      <c r="AH56" s="815"/>
    </row>
    <row r="57" spans="1:45" ht="13.5" customHeight="1">
      <c r="A57" s="656">
        <v>9</v>
      </c>
      <c r="B57" s="770" t="str">
        <f t="shared" si="37"/>
        <v/>
      </c>
      <c r="C57" s="283"/>
      <c r="D57" s="283"/>
      <c r="E57" s="284"/>
      <c r="F57" s="402"/>
      <c r="G57" s="402"/>
      <c r="H57" s="402"/>
      <c r="I57" s="402"/>
      <c r="J57" s="402"/>
      <c r="K57" s="402"/>
      <c r="L57" s="282">
        <f t="shared" si="38"/>
        <v>0</v>
      </c>
      <c r="M57" s="283"/>
      <c r="N57" s="283"/>
      <c r="O57" s="283"/>
      <c r="P57" s="283"/>
      <c r="Q57" s="283"/>
      <c r="R57" s="283"/>
      <c r="S57" s="283"/>
      <c r="T57" s="283"/>
      <c r="U57" s="283"/>
      <c r="V57" s="283"/>
      <c r="W57" s="819"/>
      <c r="X57" s="820"/>
      <c r="Y57" s="820"/>
      <c r="Z57" s="820"/>
      <c r="AA57" s="820"/>
      <c r="AB57" s="821"/>
      <c r="AC57" s="813"/>
      <c r="AD57" s="814"/>
      <c r="AE57" s="814"/>
      <c r="AF57" s="814"/>
      <c r="AG57" s="814"/>
      <c r="AH57" s="815"/>
    </row>
    <row r="58" spans="1:45" ht="13.5" customHeight="1">
      <c r="A58" s="656">
        <v>10</v>
      </c>
      <c r="B58" s="770" t="str">
        <f t="shared" si="37"/>
        <v/>
      </c>
      <c r="C58" s="283"/>
      <c r="D58" s="283"/>
      <c r="E58" s="284"/>
      <c r="F58" s="402"/>
      <c r="G58" s="402"/>
      <c r="H58" s="402"/>
      <c r="I58" s="402"/>
      <c r="J58" s="402"/>
      <c r="K58" s="402"/>
      <c r="L58" s="282">
        <f t="shared" si="38"/>
        <v>0</v>
      </c>
      <c r="M58" s="283"/>
      <c r="N58" s="283"/>
      <c r="O58" s="283"/>
      <c r="P58" s="283"/>
      <c r="Q58" s="283"/>
      <c r="R58" s="283"/>
      <c r="S58" s="283"/>
      <c r="T58" s="283"/>
      <c r="U58" s="283"/>
      <c r="V58" s="283"/>
      <c r="W58" s="804"/>
      <c r="X58" s="805"/>
      <c r="Y58" s="805"/>
      <c r="Z58" s="805"/>
      <c r="AA58" s="805"/>
      <c r="AB58" s="806"/>
      <c r="AC58" s="813"/>
      <c r="AD58" s="814"/>
      <c r="AE58" s="814"/>
      <c r="AF58" s="814"/>
      <c r="AG58" s="814"/>
      <c r="AH58" s="815"/>
    </row>
    <row r="59" spans="1:45" ht="13.5" customHeight="1">
      <c r="A59" s="656">
        <v>11</v>
      </c>
      <c r="B59" s="770" t="str">
        <f t="shared" si="37"/>
        <v/>
      </c>
      <c r="C59" s="283"/>
      <c r="D59" s="283"/>
      <c r="E59" s="284"/>
      <c r="F59" s="402"/>
      <c r="G59" s="402"/>
      <c r="H59" s="402"/>
      <c r="I59" s="402"/>
      <c r="J59" s="402"/>
      <c r="K59" s="402"/>
      <c r="L59" s="282">
        <f t="shared" ref="L59:L60" si="39">SUM(M59:V59)</f>
        <v>0</v>
      </c>
      <c r="M59" s="283"/>
      <c r="N59" s="283"/>
      <c r="O59" s="283"/>
      <c r="P59" s="283"/>
      <c r="Q59" s="283"/>
      <c r="R59" s="283"/>
      <c r="S59" s="283"/>
      <c r="T59" s="283"/>
      <c r="U59" s="283"/>
      <c r="V59" s="283"/>
      <c r="W59" s="804"/>
      <c r="X59" s="805"/>
      <c r="Y59" s="805"/>
      <c r="Z59" s="805"/>
      <c r="AA59" s="805"/>
      <c r="AB59" s="806"/>
      <c r="AC59" s="813"/>
      <c r="AD59" s="814"/>
      <c r="AE59" s="814"/>
      <c r="AF59" s="814"/>
      <c r="AG59" s="814"/>
      <c r="AH59" s="815"/>
    </row>
    <row r="60" spans="1:45" ht="13.5" customHeight="1">
      <c r="A60" s="657">
        <v>12</v>
      </c>
      <c r="B60" s="771" t="str">
        <f t="shared" si="37"/>
        <v/>
      </c>
      <c r="C60" s="504"/>
      <c r="D60" s="504"/>
      <c r="E60" s="508"/>
      <c r="F60" s="402"/>
      <c r="G60" s="402"/>
      <c r="H60" s="402"/>
      <c r="I60" s="402"/>
      <c r="J60" s="402"/>
      <c r="K60" s="402"/>
      <c r="L60" s="506">
        <f t="shared" si="39"/>
        <v>0</v>
      </c>
      <c r="M60" s="504"/>
      <c r="N60" s="504"/>
      <c r="O60" s="504"/>
      <c r="P60" s="504"/>
      <c r="Q60" s="504"/>
      <c r="R60" s="504"/>
      <c r="S60" s="504"/>
      <c r="T60" s="504"/>
      <c r="U60" s="504"/>
      <c r="V60" s="504"/>
      <c r="W60" s="807"/>
      <c r="X60" s="808"/>
      <c r="Y60" s="808"/>
      <c r="Z60" s="808"/>
      <c r="AA60" s="808"/>
      <c r="AB60" s="809"/>
      <c r="AC60" s="816"/>
      <c r="AD60" s="817"/>
      <c r="AE60" s="817"/>
      <c r="AF60" s="817"/>
      <c r="AG60" s="817"/>
      <c r="AH60" s="818"/>
    </row>
    <row r="61" spans="1:45" s="262" customFormat="1" ht="13.5" customHeight="1">
      <c r="AS61" s="271"/>
    </row>
    <row r="62" spans="1:45" s="262" customFormat="1" ht="13.5" customHeight="1">
      <c r="W62" s="615" t="s">
        <v>265</v>
      </c>
      <c r="AC62" s="615" t="s">
        <v>265</v>
      </c>
      <c r="AS62" s="271"/>
    </row>
    <row r="63" spans="1:45" s="262" customFormat="1" ht="13.5" customHeight="1">
      <c r="W63" s="803" t="s">
        <v>266</v>
      </c>
      <c r="X63" s="803"/>
      <c r="Y63" s="803"/>
      <c r="Z63" s="803"/>
      <c r="AA63" s="803"/>
      <c r="AB63" s="803"/>
      <c r="AC63" s="803"/>
      <c r="AD63" s="803"/>
      <c r="AE63" s="803"/>
      <c r="AF63" s="803"/>
      <c r="AG63" s="803"/>
      <c r="AH63" s="803"/>
      <c r="AS63" s="271"/>
    </row>
    <row r="64" spans="1:45" s="262" customFormat="1" ht="13.5" customHeight="1">
      <c r="W64" s="803" t="s">
        <v>267</v>
      </c>
      <c r="X64" s="803"/>
      <c r="Y64" s="803"/>
      <c r="Z64" s="803"/>
      <c r="AA64" s="803"/>
      <c r="AB64" s="803"/>
      <c r="AC64" s="615"/>
      <c r="AD64" s="615"/>
      <c r="AE64" s="615"/>
      <c r="AF64" s="615"/>
      <c r="AG64" s="615"/>
      <c r="AH64" s="615"/>
      <c r="AS64" s="271"/>
    </row>
    <row r="65" spans="6:45" s="262" customFormat="1" ht="13.5" customHeight="1">
      <c r="W65" s="803" t="s">
        <v>268</v>
      </c>
      <c r="X65" s="803"/>
      <c r="Y65" s="803"/>
      <c r="Z65" s="803"/>
      <c r="AA65" s="803"/>
      <c r="AB65" s="803"/>
      <c r="AC65" s="803" t="s">
        <v>269</v>
      </c>
      <c r="AD65" s="803"/>
      <c r="AE65" s="803"/>
      <c r="AF65" s="803"/>
      <c r="AG65" s="803"/>
      <c r="AH65" s="803"/>
      <c r="AS65" s="271"/>
    </row>
    <row r="66" spans="6:45" s="262" customFormat="1" ht="13.5" customHeight="1">
      <c r="W66" s="803" t="s">
        <v>270</v>
      </c>
      <c r="X66" s="803"/>
      <c r="Y66" s="803"/>
      <c r="Z66" s="803"/>
      <c r="AA66" s="803"/>
      <c r="AB66" s="803"/>
      <c r="AC66" s="803" t="s">
        <v>271</v>
      </c>
      <c r="AD66" s="803"/>
      <c r="AE66" s="803"/>
      <c r="AF66" s="803"/>
      <c r="AG66" s="803"/>
      <c r="AH66" s="803"/>
      <c r="AS66" s="271"/>
    </row>
    <row r="67" spans="6:45" s="262" customFormat="1" ht="13.5" customHeight="1">
      <c r="AC67" s="803" t="s">
        <v>272</v>
      </c>
      <c r="AD67" s="803"/>
      <c r="AE67" s="803"/>
      <c r="AF67" s="803"/>
      <c r="AG67" s="803"/>
      <c r="AH67" s="803"/>
      <c r="AS67" s="271"/>
    </row>
    <row r="68" spans="6:45" s="262" customFormat="1" ht="13.5" customHeight="1">
      <c r="AS68" s="271"/>
    </row>
    <row r="69" spans="6:45" ht="13.5" customHeight="1">
      <c r="F69" s="262"/>
      <c r="G69" s="262"/>
      <c r="H69" s="262"/>
      <c r="I69" s="262"/>
      <c r="J69" s="262"/>
      <c r="K69" s="262"/>
    </row>
    <row r="70" spans="6:45" ht="13.5" customHeight="1">
      <c r="F70" s="262"/>
      <c r="G70" s="262"/>
      <c r="H70" s="262"/>
      <c r="I70" s="262"/>
      <c r="J70" s="262"/>
      <c r="K70" s="262"/>
    </row>
    <row r="71" spans="6:45" ht="13.5" customHeight="1">
      <c r="F71" s="262"/>
      <c r="G71" s="262"/>
      <c r="H71" s="262"/>
      <c r="I71" s="262"/>
      <c r="J71" s="262"/>
      <c r="K71" s="262"/>
    </row>
    <row r="72" spans="6:45" ht="13.5" customHeight="1">
      <c r="F72" s="262"/>
      <c r="G72" s="262"/>
      <c r="H72" s="262"/>
      <c r="I72" s="262"/>
      <c r="J72" s="262"/>
      <c r="K72" s="262"/>
    </row>
    <row r="73" spans="6:45" ht="13.5" customHeight="1">
      <c r="F73" s="262"/>
      <c r="G73" s="262"/>
      <c r="H73" s="262"/>
      <c r="I73" s="262"/>
      <c r="J73" s="262"/>
      <c r="K73" s="262"/>
    </row>
    <row r="74" spans="6:45" ht="13.5" customHeight="1">
      <c r="F74" s="262"/>
      <c r="G74" s="262"/>
      <c r="H74" s="262"/>
      <c r="I74" s="262"/>
      <c r="J74" s="262"/>
      <c r="K74" s="262"/>
    </row>
  </sheetData>
  <dataConsolidate topLabels="1" link="1">
    <dataRefs count="1">
      <dataRef ref="BE16:BF40" sheet="☆入力シート" r:id="rId1"/>
    </dataRefs>
  </dataConsolidate>
  <mergeCells count="65">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 ref="AH6:AN6"/>
    <mergeCell ref="AL10:AN10"/>
    <mergeCell ref="A10:G10"/>
    <mergeCell ref="AH5:AN5"/>
    <mergeCell ref="A5:B5"/>
    <mergeCell ref="A6:B6"/>
    <mergeCell ref="A7:B7"/>
    <mergeCell ref="A8:B8"/>
    <mergeCell ref="C5:F5"/>
    <mergeCell ref="C6:F6"/>
    <mergeCell ref="C7:F7"/>
    <mergeCell ref="C8:F8"/>
    <mergeCell ref="AC48:AH48"/>
    <mergeCell ref="A11:G11"/>
    <mergeCell ref="A12:G12"/>
    <mergeCell ref="A13:G13"/>
    <mergeCell ref="AH11:AI11"/>
    <mergeCell ref="W48:AB48"/>
    <mergeCell ref="W56:AB56"/>
    <mergeCell ref="W57:AB57"/>
    <mergeCell ref="W58:AB58"/>
    <mergeCell ref="W49:AB49"/>
    <mergeCell ref="W50:AB50"/>
    <mergeCell ref="W51:AB51"/>
    <mergeCell ref="W52:AB52"/>
    <mergeCell ref="W53:AB53"/>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63:AB63"/>
    <mergeCell ref="W64:AB64"/>
    <mergeCell ref="W65:AB65"/>
    <mergeCell ref="W66:AB66"/>
    <mergeCell ref="AC63:AH63"/>
    <mergeCell ref="AC65:AH65"/>
    <mergeCell ref="AC66:AH66"/>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EFCD8-E988-4D99-BCF9-6C79CACE8527}">
  <dimension ref="A1:D18"/>
  <sheetViews>
    <sheetView workbookViewId="0">
      <selection activeCell="C56" sqref="C56"/>
    </sheetView>
  </sheetViews>
  <sheetFormatPr defaultColWidth="8.875" defaultRowHeight="15" customHeight="1"/>
  <cols>
    <col min="1" max="1" width="8.625" style="773" customWidth="1"/>
    <col min="2" max="2" width="6.375" style="773" customWidth="1"/>
    <col min="3" max="3" width="43.375" style="773" bestFit="1" customWidth="1"/>
    <col min="4" max="4" width="25.75" style="773" customWidth="1"/>
    <col min="5" max="16384" width="8.875" style="773"/>
  </cols>
  <sheetData>
    <row r="1" spans="1:4" ht="22.5" customHeight="1">
      <c r="A1" s="842" t="s">
        <v>273</v>
      </c>
      <c r="B1" s="1543"/>
      <c r="C1" s="1543"/>
      <c r="D1" s="1543"/>
    </row>
    <row r="3" spans="1:4" ht="15" customHeight="1">
      <c r="A3" s="774" t="s">
        <v>274</v>
      </c>
      <c r="B3" s="775" t="s">
        <v>275</v>
      </c>
      <c r="C3" s="775" t="s">
        <v>276</v>
      </c>
      <c r="D3" s="776" t="s">
        <v>126</v>
      </c>
    </row>
    <row r="4" spans="1:4" ht="15" customHeight="1">
      <c r="A4" s="777"/>
      <c r="B4" s="778">
        <v>1</v>
      </c>
      <c r="C4" s="779" t="s">
        <v>277</v>
      </c>
      <c r="D4" s="780"/>
    </row>
    <row r="5" spans="1:4" ht="15" customHeight="1">
      <c r="A5" s="777"/>
      <c r="B5" s="778">
        <v>2</v>
      </c>
      <c r="C5" s="779" t="s">
        <v>278</v>
      </c>
      <c r="D5" s="780"/>
    </row>
    <row r="6" spans="1:4" ht="15" customHeight="1">
      <c r="A6" s="777"/>
      <c r="B6" s="778">
        <v>3</v>
      </c>
      <c r="C6" s="779" t="s">
        <v>279</v>
      </c>
      <c r="D6" s="780"/>
    </row>
    <row r="7" spans="1:4" ht="15" customHeight="1">
      <c r="A7" s="777"/>
      <c r="B7" s="778">
        <v>4</v>
      </c>
      <c r="C7" s="779" t="s">
        <v>280</v>
      </c>
      <c r="D7" s="780"/>
    </row>
    <row r="8" spans="1:4" ht="15" customHeight="1">
      <c r="A8" s="781"/>
      <c r="B8" s="782">
        <v>5</v>
      </c>
      <c r="C8" s="783" t="s">
        <v>281</v>
      </c>
      <c r="D8" s="784"/>
    </row>
    <row r="9" spans="1:4" ht="15" customHeight="1">
      <c r="A9" s="781"/>
      <c r="B9" s="782">
        <v>6</v>
      </c>
      <c r="C9" s="783" t="s">
        <v>282</v>
      </c>
      <c r="D9" s="784"/>
    </row>
    <row r="10" spans="1:4" ht="15" customHeight="1">
      <c r="A10" s="781"/>
      <c r="B10" s="782">
        <v>7</v>
      </c>
      <c r="C10" s="783" t="s">
        <v>283</v>
      </c>
      <c r="D10" s="784"/>
    </row>
    <row r="11" spans="1:4" ht="15" customHeight="1">
      <c r="A11" s="781"/>
      <c r="B11" s="782">
        <v>8</v>
      </c>
      <c r="C11" s="783" t="s">
        <v>284</v>
      </c>
      <c r="D11" s="784"/>
    </row>
    <row r="12" spans="1:4" ht="15" customHeight="1">
      <c r="A12" s="781"/>
      <c r="B12" s="782">
        <v>9</v>
      </c>
      <c r="C12" s="783" t="s">
        <v>285</v>
      </c>
      <c r="D12" s="784"/>
    </row>
    <row r="13" spans="1:4" ht="15" customHeight="1">
      <c r="A13" s="781"/>
      <c r="B13" s="782">
        <v>10</v>
      </c>
      <c r="C13" s="783" t="s">
        <v>286</v>
      </c>
      <c r="D13" s="784"/>
    </row>
    <row r="14" spans="1:4" ht="15" customHeight="1">
      <c r="A14" s="781"/>
      <c r="B14" s="782">
        <v>11</v>
      </c>
      <c r="C14" s="783" t="s">
        <v>287</v>
      </c>
      <c r="D14" s="784"/>
    </row>
    <row r="15" spans="1:4" ht="15" customHeight="1" thickBot="1">
      <c r="A15" s="785"/>
      <c r="B15" s="786">
        <v>12</v>
      </c>
      <c r="C15" s="787" t="s">
        <v>288</v>
      </c>
      <c r="D15" s="788"/>
    </row>
    <row r="17" spans="1:3" ht="15" customHeight="1">
      <c r="A17" s="789" t="s">
        <v>289</v>
      </c>
      <c r="B17" s="789"/>
      <c r="C17" s="789"/>
    </row>
    <row r="18" spans="1:3" ht="15" customHeight="1">
      <c r="A18" s="790" t="s">
        <v>290</v>
      </c>
    </row>
  </sheetData>
  <mergeCells count="1">
    <mergeCell ref="A1:D1"/>
  </mergeCells>
  <phoneticPr fontId="2"/>
  <dataValidations count="1">
    <dataValidation type="list" allowBlank="1" showInputMessage="1" showErrorMessage="1" sqref="A4:A15" xr:uid="{6FDC54BD-7DB1-4BCF-B293-2F22083424BF}">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K25" sqref="K25"/>
    </sheetView>
  </sheetViews>
  <sheetFormatPr defaultRowHeight="18.75"/>
  <sheetData>
    <row r="2" spans="1:9" ht="18.75" customHeight="1">
      <c r="A2" s="843">
        <f>☆入力!C5</f>
        <v>0</v>
      </c>
      <c r="B2" s="843"/>
      <c r="C2" s="843"/>
      <c r="D2" s="843"/>
      <c r="E2" s="843"/>
      <c r="F2" s="843"/>
      <c r="G2" s="843"/>
      <c r="H2" s="843"/>
      <c r="I2" s="843"/>
    </row>
    <row r="3" spans="1:9" ht="18.75" customHeight="1">
      <c r="A3" s="843"/>
      <c r="B3" s="843"/>
      <c r="C3" s="843"/>
      <c r="D3" s="843"/>
      <c r="E3" s="843"/>
      <c r="F3" s="843"/>
      <c r="G3" s="843"/>
      <c r="H3" s="843"/>
      <c r="I3" s="843"/>
    </row>
    <row r="4" spans="1:9" ht="18" customHeight="1">
      <c r="A4" s="843"/>
      <c r="B4" s="843"/>
      <c r="C4" s="843"/>
      <c r="D4" s="843"/>
      <c r="E4" s="843"/>
      <c r="F4" s="843"/>
      <c r="G4" s="843"/>
      <c r="H4" s="843"/>
      <c r="I4" s="843"/>
    </row>
    <row r="25" spans="1:14" ht="33">
      <c r="A25" s="844" t="str">
        <f>代理店入力用!N3</f>
        <v>株式会社スマイルサポート</v>
      </c>
      <c r="B25" s="844"/>
      <c r="C25" s="844"/>
      <c r="D25" s="844"/>
      <c r="E25" s="844"/>
      <c r="F25" s="844"/>
      <c r="G25" s="341"/>
      <c r="H25" s="341"/>
      <c r="I25" s="343"/>
    </row>
    <row r="26" spans="1:14" ht="19.5">
      <c r="A26" s="845" t="str">
        <f>代理店入力用!N4&amp;代理店入力用!N5</f>
        <v>〒305-0046茨城県つくば市東2-10-14</v>
      </c>
      <c r="B26" s="845"/>
      <c r="C26" s="845"/>
      <c r="D26" s="845"/>
      <c r="E26" s="845"/>
      <c r="F26" s="845"/>
      <c r="G26" s="342"/>
      <c r="H26" s="342"/>
      <c r="I26" s="4"/>
      <c r="K26" s="342"/>
    </row>
    <row r="27" spans="1:14" ht="19.5">
      <c r="A27" s="845" t="str">
        <f>"TEL：　"&amp;代理店入力用!N6</f>
        <v>TEL：　029-860-5211</v>
      </c>
      <c r="B27" s="845"/>
      <c r="C27" s="845"/>
      <c r="D27" s="845"/>
      <c r="E27" s="845"/>
      <c r="F27" s="845"/>
      <c r="G27" s="342"/>
      <c r="H27" s="342"/>
      <c r="I27" s="4"/>
    </row>
    <row r="28" spans="1:14" ht="19.5">
      <c r="A28" s="845" t="str">
        <f>"担当："&amp;代理店入力用!N7</f>
        <v>担当：</v>
      </c>
      <c r="B28" s="845"/>
      <c r="C28" s="845"/>
      <c r="D28" s="845"/>
      <c r="E28" s="845"/>
      <c r="F28" s="845"/>
      <c r="G28" s="342"/>
      <c r="H28" s="342"/>
      <c r="I28" s="4"/>
      <c r="N28" s="311">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AR14" sqref="AR14"/>
    </sheetView>
  </sheetViews>
  <sheetFormatPr defaultColWidth="3.625" defaultRowHeight="18.75"/>
  <cols>
    <col min="1" max="16384" width="3.625" style="12"/>
  </cols>
  <sheetData>
    <row r="1" spans="1:52" s="72" customFormat="1" ht="38.25">
      <c r="A1" s="847" t="s">
        <v>291</v>
      </c>
      <c r="B1" s="847"/>
      <c r="C1" s="847"/>
      <c r="D1" s="847"/>
      <c r="E1" s="847"/>
      <c r="F1" s="847"/>
      <c r="G1" s="847"/>
      <c r="H1" s="847"/>
      <c r="I1" s="847"/>
      <c r="J1" s="847"/>
      <c r="K1" s="847"/>
      <c r="L1" s="847"/>
      <c r="M1" s="847"/>
      <c r="N1" s="847"/>
      <c r="O1" s="847"/>
      <c r="P1" s="847"/>
      <c r="Q1" s="847"/>
      <c r="R1" s="847"/>
      <c r="S1" s="847"/>
      <c r="T1" s="847"/>
      <c r="U1" s="847"/>
      <c r="V1" s="847"/>
      <c r="W1" s="847"/>
      <c r="X1" s="847"/>
      <c r="Y1" s="847"/>
      <c r="Z1" s="847"/>
      <c r="AA1" s="847"/>
      <c r="AB1" s="847"/>
      <c r="AC1" s="847"/>
      <c r="AD1" s="847"/>
      <c r="AE1" s="847"/>
      <c r="AF1" s="847"/>
      <c r="AG1" s="847"/>
      <c r="AH1" s="847"/>
      <c r="AI1" s="847"/>
      <c r="AJ1" s="847"/>
      <c r="AK1" s="847"/>
      <c r="AL1" s="847"/>
      <c r="AM1" s="847"/>
      <c r="AN1" s="847"/>
      <c r="AO1" s="847"/>
      <c r="AP1" s="847"/>
      <c r="AQ1" s="847"/>
      <c r="AR1" s="847"/>
      <c r="AS1" s="847"/>
      <c r="AT1" s="847"/>
      <c r="AU1" s="847"/>
      <c r="AV1" s="847"/>
      <c r="AW1" s="847"/>
      <c r="AX1" s="847"/>
      <c r="AY1" s="847"/>
      <c r="AZ1" s="257"/>
    </row>
    <row r="2" spans="1:52" ht="22.15" customHeight="1">
      <c r="B2" s="846" t="s">
        <v>292</v>
      </c>
      <c r="C2" s="846"/>
      <c r="D2" s="846"/>
      <c r="E2" s="846"/>
      <c r="F2" s="846"/>
      <c r="G2" s="846"/>
      <c r="H2" s="846"/>
      <c r="I2" s="846"/>
      <c r="J2" s="846"/>
      <c r="K2" s="846"/>
      <c r="L2" s="846"/>
      <c r="M2" s="846"/>
      <c r="N2" s="846"/>
      <c r="O2" s="846"/>
      <c r="P2" s="846"/>
      <c r="Q2" s="846"/>
      <c r="R2" s="846"/>
      <c r="S2" s="846"/>
      <c r="T2" s="846"/>
      <c r="U2" s="846"/>
      <c r="V2" s="846"/>
      <c r="W2" s="846"/>
      <c r="X2" s="846"/>
      <c r="Y2" s="846"/>
    </row>
    <row r="3" spans="1:52" ht="22.15" customHeight="1">
      <c r="B3" s="846"/>
      <c r="C3" s="846"/>
      <c r="D3" s="846"/>
      <c r="E3" s="846"/>
      <c r="F3" s="846"/>
      <c r="G3" s="846"/>
      <c r="H3" s="846"/>
      <c r="I3" s="846"/>
      <c r="J3" s="846"/>
      <c r="K3" s="846"/>
      <c r="L3" s="846"/>
      <c r="M3" s="846"/>
      <c r="N3" s="846"/>
      <c r="O3" s="846"/>
      <c r="P3" s="846"/>
      <c r="Q3" s="846"/>
      <c r="R3" s="846"/>
      <c r="S3" s="846"/>
      <c r="T3" s="846"/>
      <c r="U3" s="846"/>
      <c r="V3" s="846"/>
      <c r="W3" s="846"/>
      <c r="X3" s="846"/>
      <c r="Y3" s="846"/>
    </row>
    <row r="4" spans="1:52" s="252" customFormat="1" ht="22.15" customHeight="1">
      <c r="B4" s="846"/>
      <c r="C4" s="846"/>
      <c r="D4" s="846"/>
      <c r="E4" s="846"/>
      <c r="F4" s="846"/>
      <c r="G4" s="846"/>
      <c r="H4" s="846"/>
      <c r="I4" s="846"/>
      <c r="J4" s="846"/>
      <c r="K4" s="846"/>
      <c r="L4" s="846"/>
      <c r="M4" s="846"/>
      <c r="N4" s="846"/>
      <c r="O4" s="846"/>
      <c r="P4" s="846"/>
      <c r="Q4" s="846"/>
      <c r="R4" s="846"/>
      <c r="S4" s="846"/>
      <c r="T4" s="846"/>
      <c r="U4" s="846"/>
      <c r="V4" s="846"/>
      <c r="W4" s="846"/>
      <c r="X4" s="846"/>
      <c r="Y4" s="846"/>
    </row>
    <row r="5" spans="1:52" ht="22.15" customHeight="1"/>
    <row r="6" spans="1:52" s="254" customFormat="1" ht="22.15" customHeight="1">
      <c r="C6" s="256" t="s">
        <v>293</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2.15" customHeight="1">
      <c r="C7" s="12"/>
    </row>
    <row r="8" spans="1:52" ht="22.15" customHeight="1">
      <c r="C8" s="12" t="s">
        <v>294</v>
      </c>
    </row>
    <row r="9" spans="1:52" ht="22.15" customHeight="1"/>
    <row r="10" spans="1:52" s="252" customFormat="1" ht="22.15" customHeight="1" thickBot="1">
      <c r="B10" s="255" t="s">
        <v>295</v>
      </c>
      <c r="C10" s="255"/>
      <c r="D10" s="255"/>
      <c r="E10" s="255"/>
      <c r="F10" s="255"/>
      <c r="G10" s="255"/>
      <c r="H10" s="255"/>
      <c r="I10" s="255"/>
      <c r="J10" s="255"/>
    </row>
    <row r="11" spans="1:52" ht="22.15" customHeight="1" thickTop="1"/>
    <row r="12" spans="1:52" s="254" customFormat="1" ht="22.15" customHeight="1">
      <c r="C12" s="256" t="s">
        <v>296</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2.15" customHeight="1">
      <c r="C13" s="12" t="s">
        <v>297</v>
      </c>
      <c r="M13" s="850">
        <f>☆入力!AR9</f>
        <v>2000</v>
      </c>
      <c r="N13" s="850"/>
      <c r="O13" s="850"/>
      <c r="P13" s="12" t="s">
        <v>298</v>
      </c>
    </row>
    <row r="14" spans="1:52">
      <c r="C14" s="12" t="s">
        <v>299</v>
      </c>
    </row>
    <row r="15" spans="1:52" ht="22.15" customHeight="1"/>
    <row r="16" spans="1:52" s="252" customFormat="1" ht="22.15" customHeight="1" thickBot="1">
      <c r="B16" s="255" t="s">
        <v>300</v>
      </c>
      <c r="C16" s="255"/>
      <c r="D16" s="255"/>
      <c r="E16" s="255"/>
      <c r="F16" s="255"/>
      <c r="G16" s="255"/>
    </row>
    <row r="17" spans="2:51" ht="22.15" customHeight="1" thickTop="1"/>
    <row r="18" spans="2:51" s="254" customFormat="1" ht="22.15" customHeight="1">
      <c r="C18" s="848" t="s">
        <v>301</v>
      </c>
      <c r="D18" s="848"/>
      <c r="E18" s="848"/>
      <c r="F18" s="848"/>
      <c r="G18" s="848"/>
      <c r="H18" s="848"/>
      <c r="I18" s="848"/>
      <c r="J18" s="848"/>
      <c r="K18" s="848"/>
      <c r="L18" s="848"/>
      <c r="M18" s="848"/>
      <c r="N18" s="848"/>
      <c r="O18" s="848"/>
      <c r="P18" s="848"/>
      <c r="Q18" s="849" t="s">
        <v>302</v>
      </c>
      <c r="R18" s="849"/>
      <c r="S18" s="849"/>
      <c r="T18" s="849"/>
      <c r="U18" s="849"/>
      <c r="V18" s="849"/>
      <c r="W18" s="849"/>
      <c r="X18" s="849"/>
      <c r="Y18" s="849"/>
      <c r="Z18" s="848" t="s">
        <v>303</v>
      </c>
      <c r="AA18" s="848"/>
      <c r="AB18" s="848"/>
      <c r="AC18" s="848"/>
      <c r="AD18" s="848"/>
      <c r="AE18" s="848"/>
      <c r="AF18" s="848"/>
      <c r="AG18" s="848"/>
      <c r="AH18" s="848"/>
      <c r="AI18" s="848"/>
      <c r="AJ18" s="848"/>
      <c r="AK18" s="848"/>
      <c r="AL18" s="848"/>
      <c r="AM18" s="848"/>
    </row>
    <row r="19" spans="2:51" ht="22.15" customHeight="1">
      <c r="C19" s="848"/>
      <c r="D19" s="848"/>
      <c r="E19" s="848"/>
      <c r="F19" s="848"/>
      <c r="G19" s="848"/>
      <c r="H19" s="848"/>
      <c r="I19" s="848"/>
      <c r="J19" s="848"/>
      <c r="K19" s="848"/>
      <c r="L19" s="848"/>
      <c r="M19" s="848"/>
      <c r="N19" s="848"/>
      <c r="O19" s="848"/>
      <c r="P19" s="848"/>
      <c r="Q19" s="849"/>
      <c r="R19" s="849"/>
      <c r="S19" s="849"/>
      <c r="T19" s="849"/>
      <c r="U19" s="849"/>
      <c r="V19" s="849"/>
      <c r="W19" s="849"/>
      <c r="X19" s="849"/>
      <c r="Y19" s="849"/>
      <c r="Z19" s="848"/>
      <c r="AA19" s="848"/>
      <c r="AB19" s="848"/>
      <c r="AC19" s="848"/>
      <c r="AD19" s="848"/>
      <c r="AE19" s="848"/>
      <c r="AF19" s="848"/>
      <c r="AG19" s="848"/>
      <c r="AH19" s="848"/>
      <c r="AI19" s="848"/>
      <c r="AJ19" s="848"/>
      <c r="AK19" s="848"/>
      <c r="AL19" s="848"/>
      <c r="AM19" s="848"/>
    </row>
    <row r="20" spans="2:51" ht="22.15" customHeight="1"/>
    <row r="21" spans="2:51" ht="22.15" customHeight="1">
      <c r="B21" s="846" t="s">
        <v>304</v>
      </c>
      <c r="C21" s="846"/>
      <c r="D21" s="846"/>
      <c r="E21" s="846"/>
      <c r="F21" s="846"/>
      <c r="G21" s="846"/>
      <c r="H21" s="846"/>
      <c r="I21" s="846"/>
      <c r="J21" s="846"/>
      <c r="K21" s="846"/>
      <c r="L21" s="846"/>
      <c r="M21" s="846"/>
      <c r="N21" s="846"/>
      <c r="O21" s="846"/>
      <c r="P21" s="846"/>
      <c r="Q21" s="846"/>
      <c r="R21" s="846"/>
      <c r="S21" s="846"/>
      <c r="T21" s="846"/>
      <c r="U21" s="846"/>
      <c r="V21" s="846"/>
      <c r="W21" s="846"/>
      <c r="X21" s="846"/>
      <c r="Y21" s="846"/>
      <c r="Z21" s="846"/>
      <c r="AA21" s="846"/>
      <c r="AB21" s="846"/>
      <c r="AC21" s="846"/>
      <c r="AD21" s="846"/>
      <c r="AE21" s="846"/>
      <c r="AF21" s="846"/>
      <c r="AG21" s="846"/>
      <c r="AH21" s="846"/>
      <c r="AI21" s="846"/>
      <c r="AJ21" s="846"/>
      <c r="AK21" s="846"/>
      <c r="AL21" s="846"/>
      <c r="AM21" s="846"/>
    </row>
    <row r="22" spans="2:51" ht="22.15" customHeight="1">
      <c r="B22" s="846"/>
      <c r="C22" s="846"/>
      <c r="D22" s="846"/>
      <c r="E22" s="846"/>
      <c r="F22" s="846"/>
      <c r="G22" s="846"/>
      <c r="H22" s="846"/>
      <c r="I22" s="846"/>
      <c r="J22" s="846"/>
      <c r="K22" s="846"/>
      <c r="L22" s="846"/>
      <c r="M22" s="846"/>
      <c r="N22" s="846"/>
      <c r="O22" s="846"/>
      <c r="P22" s="846"/>
      <c r="Q22" s="846"/>
      <c r="R22" s="846"/>
      <c r="S22" s="846"/>
      <c r="T22" s="846"/>
      <c r="U22" s="846"/>
      <c r="V22" s="846"/>
      <c r="W22" s="846"/>
      <c r="X22" s="846"/>
      <c r="Y22" s="846"/>
      <c r="Z22" s="846"/>
      <c r="AA22" s="846"/>
      <c r="AB22" s="846"/>
      <c r="AC22" s="846"/>
      <c r="AD22" s="846"/>
      <c r="AE22" s="846"/>
      <c r="AF22" s="846"/>
      <c r="AG22" s="846"/>
      <c r="AH22" s="846"/>
      <c r="AI22" s="846"/>
      <c r="AJ22" s="846"/>
      <c r="AK22" s="846"/>
      <c r="AL22" s="846"/>
      <c r="AM22" s="846"/>
    </row>
    <row r="23" spans="2:51" ht="22.15" customHeight="1"/>
    <row r="24" spans="2:51" s="252" customFormat="1" ht="22.15" customHeight="1" thickBot="1">
      <c r="B24" s="255" t="s">
        <v>305</v>
      </c>
      <c r="C24" s="255"/>
      <c r="D24" s="255"/>
      <c r="E24" s="255"/>
      <c r="F24" s="255"/>
      <c r="G24" s="255"/>
      <c r="H24" s="255"/>
      <c r="I24" s="255"/>
      <c r="J24" s="255"/>
    </row>
    <row r="25" spans="2:51" ht="22.15" customHeight="1" thickTop="1"/>
    <row r="26" spans="2:51" ht="22.15" customHeight="1">
      <c r="C26" s="12" t="s">
        <v>306</v>
      </c>
    </row>
    <row r="27" spans="2:51" ht="22.15" customHeight="1">
      <c r="C27" s="12" t="s">
        <v>307</v>
      </c>
    </row>
    <row r="28" spans="2:51" s="254" customFormat="1" ht="22.15" customHeight="1">
      <c r="C28" s="256" t="s">
        <v>308</v>
      </c>
      <c r="D28" s="256"/>
      <c r="E28" s="256"/>
      <c r="F28" s="256"/>
      <c r="G28" s="256"/>
      <c r="H28" s="256"/>
      <c r="I28" s="256"/>
      <c r="J28" s="256"/>
      <c r="K28" s="256"/>
      <c r="L28" s="256"/>
      <c r="M28" s="256"/>
      <c r="N28" s="256"/>
      <c r="O28" s="256"/>
      <c r="P28" s="256"/>
      <c r="Q28" s="256"/>
      <c r="R28" s="256"/>
      <c r="S28" s="256"/>
      <c r="T28" s="256"/>
      <c r="U28" s="256"/>
      <c r="V28" s="256"/>
      <c r="W28" s="256"/>
      <c r="X28" s="256"/>
      <c r="Y28" s="256"/>
      <c r="Z28" s="256"/>
      <c r="AA28" s="256"/>
    </row>
    <row r="29" spans="2:51" ht="22.15" customHeight="1"/>
    <row r="30" spans="2:51" s="252" customFormat="1" ht="22.15" customHeight="1" thickBot="1">
      <c r="B30" s="255" t="s">
        <v>309</v>
      </c>
      <c r="C30" s="255"/>
      <c r="D30" s="255"/>
      <c r="E30" s="255"/>
      <c r="F30" s="255"/>
      <c r="G30" s="255"/>
      <c r="H30" s="255"/>
      <c r="I30" s="255"/>
      <c r="J30" s="255"/>
      <c r="K30" s="255"/>
      <c r="L30" s="255"/>
      <c r="M30" s="255"/>
    </row>
    <row r="31" spans="2:51" ht="22.15" customHeight="1" thickTop="1"/>
    <row r="32" spans="2:51" s="253" customFormat="1" ht="22.15" customHeight="1">
      <c r="AY32" s="253">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51" t="s">
        <v>310</v>
      </c>
      <c r="C2" s="851"/>
      <c r="D2" s="851"/>
      <c r="E2" s="851"/>
      <c r="F2" s="851"/>
      <c r="G2" s="851"/>
      <c r="H2" s="851"/>
      <c r="I2" s="851"/>
      <c r="J2" s="851"/>
    </row>
    <row r="3" spans="2:10">
      <c r="B3" s="851"/>
      <c r="C3" s="851"/>
      <c r="D3" s="851"/>
      <c r="E3" s="851"/>
      <c r="F3" s="851"/>
      <c r="G3" s="851"/>
      <c r="H3" s="851"/>
      <c r="I3" s="851"/>
      <c r="J3" s="851"/>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57" ht="38.25">
      <c r="A1" s="884" t="s">
        <v>311</v>
      </c>
      <c r="B1" s="884"/>
      <c r="C1" s="884"/>
      <c r="D1" s="884"/>
      <c r="E1" s="884"/>
      <c r="F1" s="884"/>
      <c r="G1" s="884"/>
      <c r="H1" s="884"/>
      <c r="I1" s="884"/>
      <c r="J1" s="884"/>
      <c r="K1" s="884"/>
      <c r="L1" s="884"/>
      <c r="M1" s="884"/>
      <c r="N1" s="884"/>
      <c r="O1" s="884"/>
      <c r="P1" s="884"/>
      <c r="Q1" s="884"/>
      <c r="R1" s="884"/>
      <c r="S1" s="884"/>
      <c r="T1" s="884"/>
      <c r="U1" s="884"/>
      <c r="V1" s="884"/>
      <c r="W1" s="884"/>
      <c r="X1" s="884"/>
      <c r="Y1" s="884"/>
      <c r="Z1" s="884"/>
      <c r="AA1" s="884"/>
      <c r="AB1" s="884"/>
      <c r="AC1" s="884"/>
      <c r="AD1" s="884"/>
      <c r="AE1" s="884"/>
      <c r="AF1" s="884"/>
      <c r="AG1" s="884"/>
      <c r="AH1" s="884"/>
      <c r="AI1" s="884"/>
      <c r="AJ1" s="884"/>
      <c r="AK1" s="884"/>
      <c r="AL1" s="884"/>
      <c r="AM1" s="884"/>
      <c r="AN1" s="884"/>
      <c r="AO1" s="884"/>
      <c r="AP1" s="884"/>
      <c r="AQ1" s="884"/>
      <c r="AR1" s="884"/>
      <c r="AS1" s="884"/>
      <c r="AT1" s="884"/>
      <c r="AU1" s="884"/>
      <c r="AV1" s="884"/>
      <c r="AW1" s="884"/>
      <c r="AX1" s="884"/>
      <c r="AY1" s="884"/>
      <c r="AZ1" s="884"/>
      <c r="BA1" s="884"/>
      <c r="BB1" s="884"/>
      <c r="BC1" s="884"/>
      <c r="BD1" s="884"/>
      <c r="BE1" s="54"/>
    </row>
    <row r="2" spans="1:57"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57" s="3" customFormat="1" ht="23.1" customHeight="1" thickTop="1">
      <c r="R3" s="852" t="s">
        <v>312</v>
      </c>
      <c r="S3" s="853"/>
      <c r="T3" s="853"/>
      <c r="U3" s="853"/>
      <c r="V3" s="853"/>
      <c r="W3" s="853"/>
      <c r="X3" s="853"/>
      <c r="Y3" s="853"/>
      <c r="Z3" s="853"/>
      <c r="AA3" s="853"/>
      <c r="AB3" s="854"/>
      <c r="AC3" s="59"/>
      <c r="AD3" s="59"/>
      <c r="AE3" s="59"/>
      <c r="AF3" s="858" t="s">
        <v>313</v>
      </c>
      <c r="AG3" s="859"/>
      <c r="AH3" s="859"/>
      <c r="AI3" s="859"/>
      <c r="AJ3" s="859"/>
      <c r="AK3" s="859"/>
      <c r="AL3" s="859"/>
      <c r="AM3" s="859"/>
      <c r="AN3" s="859"/>
      <c r="AO3" s="859"/>
      <c r="AP3" s="859"/>
      <c r="AQ3" s="859"/>
      <c r="AR3" s="859"/>
      <c r="AS3" s="859"/>
      <c r="AT3" s="859"/>
      <c r="AU3" s="859"/>
      <c r="AV3" s="859"/>
      <c r="AW3" s="859"/>
      <c r="AX3" s="859"/>
      <c r="AY3" s="859"/>
      <c r="AZ3" s="859"/>
      <c r="BA3" s="860"/>
      <c r="BB3" s="59"/>
      <c r="BC3" s="59"/>
      <c r="BD3" s="59"/>
    </row>
    <row r="4" spans="1:57" s="12" customFormat="1" ht="21" customHeight="1" thickBot="1">
      <c r="B4" s="11"/>
      <c r="C4" s="11"/>
      <c r="D4" s="11"/>
      <c r="E4" s="11"/>
      <c r="F4" s="11"/>
      <c r="G4" s="11"/>
      <c r="H4" s="11"/>
      <c r="I4" s="11"/>
      <c r="J4" s="11"/>
      <c r="K4" s="11"/>
      <c r="L4" s="11"/>
      <c r="M4" s="11"/>
      <c r="N4" s="11"/>
      <c r="O4" s="11"/>
      <c r="P4" s="11"/>
      <c r="Q4" s="11"/>
      <c r="R4" s="855"/>
      <c r="S4" s="856"/>
      <c r="T4" s="856"/>
      <c r="U4" s="856"/>
      <c r="V4" s="856"/>
      <c r="W4" s="856"/>
      <c r="X4" s="856"/>
      <c r="Y4" s="856"/>
      <c r="Z4" s="856"/>
      <c r="AA4" s="856"/>
      <c r="AB4" s="857"/>
      <c r="AD4" s="65"/>
      <c r="AF4" s="861"/>
      <c r="AG4" s="862"/>
      <c r="AH4" s="862"/>
      <c r="AI4" s="862"/>
      <c r="AJ4" s="862"/>
      <c r="AK4" s="862"/>
      <c r="AL4" s="862"/>
      <c r="AM4" s="862"/>
      <c r="AN4" s="862"/>
      <c r="AO4" s="862"/>
      <c r="AP4" s="862"/>
      <c r="AQ4" s="862"/>
      <c r="AR4" s="862"/>
      <c r="AS4" s="862"/>
      <c r="AT4" s="862"/>
      <c r="AU4" s="862"/>
      <c r="AV4" s="862"/>
      <c r="AW4" s="862"/>
      <c r="AX4" s="862"/>
      <c r="AY4" s="862"/>
      <c r="AZ4" s="862"/>
      <c r="BA4" s="863"/>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903" t="s">
        <v>314</v>
      </c>
      <c r="B6" s="907"/>
      <c r="C6" s="908" t="str">
        <f>LED計算式!M32</f>
        <v>試算エリア</v>
      </c>
      <c r="D6" s="909"/>
      <c r="E6" s="909"/>
      <c r="F6" s="910"/>
      <c r="G6" s="920" t="s">
        <v>315</v>
      </c>
      <c r="H6" s="920"/>
      <c r="I6" s="920"/>
      <c r="J6" s="920"/>
      <c r="K6" s="920"/>
      <c r="L6" s="921" t="s">
        <v>316</v>
      </c>
      <c r="M6" s="921"/>
      <c r="N6" s="921"/>
      <c r="O6" s="921"/>
      <c r="P6" s="902" t="s">
        <v>211</v>
      </c>
      <c r="Q6" s="903"/>
      <c r="R6" s="904" t="s">
        <v>117</v>
      </c>
      <c r="S6" s="904"/>
      <c r="T6" s="904"/>
      <c r="U6" s="905" t="s">
        <v>317</v>
      </c>
      <c r="V6" s="905"/>
      <c r="W6" s="905"/>
      <c r="X6" s="905"/>
      <c r="Y6" s="906" t="s">
        <v>318</v>
      </c>
      <c r="Z6" s="906"/>
      <c r="AA6" s="906"/>
      <c r="AB6" s="906"/>
      <c r="AD6" s="63"/>
      <c r="AF6" s="875" t="s">
        <v>319</v>
      </c>
      <c r="AG6" s="875"/>
      <c r="AH6" s="875"/>
      <c r="AI6" s="875"/>
      <c r="AJ6" s="875"/>
      <c r="AK6" s="875"/>
      <c r="AL6" s="875"/>
      <c r="AM6" s="875"/>
      <c r="AN6" s="875"/>
      <c r="AO6" s="875"/>
      <c r="AP6" s="875"/>
      <c r="AQ6" s="875"/>
      <c r="AR6" s="875"/>
      <c r="AS6" s="869">
        <f>Y39*120</f>
        <v>0</v>
      </c>
      <c r="AT6" s="870"/>
      <c r="AU6" s="870"/>
      <c r="AV6" s="870"/>
      <c r="AW6" s="870"/>
      <c r="AX6" s="870"/>
      <c r="AY6" s="870"/>
      <c r="AZ6" s="870"/>
      <c r="BA6" s="871"/>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5"/>
      <c r="AG7" s="875"/>
      <c r="AH7" s="875"/>
      <c r="AI7" s="875"/>
      <c r="AJ7" s="875"/>
      <c r="AK7" s="875"/>
      <c r="AL7" s="875"/>
      <c r="AM7" s="875"/>
      <c r="AN7" s="875"/>
      <c r="AO7" s="875"/>
      <c r="AP7" s="875"/>
      <c r="AQ7" s="875"/>
      <c r="AR7" s="875"/>
      <c r="AS7" s="872"/>
      <c r="AT7" s="873"/>
      <c r="AU7" s="873"/>
      <c r="AV7" s="873"/>
      <c r="AW7" s="873"/>
      <c r="AX7" s="873"/>
      <c r="AY7" s="873"/>
      <c r="AZ7" s="873"/>
      <c r="BA7" s="874"/>
    </row>
    <row r="8" spans="1:57" s="3" customFormat="1" ht="21" customHeight="1" thickTop="1">
      <c r="A8" s="911">
        <v>1</v>
      </c>
      <c r="B8" s="911"/>
      <c r="C8" s="912" t="str">
        <f>IF($C$6=☆入力!$B$15,☆入力!$B16,☆入力!$C16)</f>
        <v>あいえうお</v>
      </c>
      <c r="D8" s="912"/>
      <c r="E8" s="912"/>
      <c r="F8" s="912"/>
      <c r="G8" s="912">
        <f>☆入力!D16</f>
        <v>0</v>
      </c>
      <c r="H8" s="912"/>
      <c r="I8" s="912"/>
      <c r="J8" s="912"/>
      <c r="K8" s="912"/>
      <c r="L8" s="919">
        <f>☆入力!H16</f>
        <v>0</v>
      </c>
      <c r="M8" s="919"/>
      <c r="N8" s="919"/>
      <c r="O8" s="919"/>
      <c r="P8" s="879">
        <f>☆入力!L16</f>
        <v>0</v>
      </c>
      <c r="Q8" s="880"/>
      <c r="R8" s="881">
        <f>☆入力!K16</f>
        <v>0</v>
      </c>
      <c r="S8" s="881"/>
      <c r="T8" s="881"/>
      <c r="U8" s="882">
        <f>☆入力!W16</f>
        <v>0</v>
      </c>
      <c r="V8" s="882"/>
      <c r="W8" s="882"/>
      <c r="X8" s="882"/>
      <c r="Y8" s="883">
        <f>☆入力!Y16</f>
        <v>0</v>
      </c>
      <c r="Z8" s="883"/>
      <c r="AA8" s="883"/>
      <c r="AB8" s="883"/>
      <c r="AD8" s="62"/>
      <c r="AF8" s="52"/>
      <c r="AG8" s="66" t="s">
        <v>320</v>
      </c>
      <c r="AH8" s="66"/>
      <c r="AI8" s="66"/>
      <c r="AJ8" s="66"/>
      <c r="AK8" s="66"/>
      <c r="AL8" s="66"/>
      <c r="AM8" s="66"/>
      <c r="AN8" s="13"/>
      <c r="AO8" s="918">
        <f>Y39</f>
        <v>0</v>
      </c>
      <c r="AP8" s="918"/>
      <c r="AQ8" s="918"/>
      <c r="AR8" s="918"/>
      <c r="AS8" s="66" t="s">
        <v>321</v>
      </c>
      <c r="AT8" s="66"/>
      <c r="AU8" s="66"/>
      <c r="AV8" s="66"/>
      <c r="AW8" s="66"/>
      <c r="AX8" s="66"/>
      <c r="AY8" s="66"/>
      <c r="AZ8" s="66"/>
      <c r="BA8" s="66"/>
    </row>
    <row r="9" spans="1:57" s="3" customFormat="1" ht="21" customHeight="1">
      <c r="A9" s="913">
        <v>2</v>
      </c>
      <c r="B9" s="913"/>
      <c r="C9" s="914" t="str">
        <f>IF($C$6=☆入力!$B$15,☆入力!$B17,☆入力!$C17)</f>
        <v>あいえうお</v>
      </c>
      <c r="D9" s="915"/>
      <c r="E9" s="915"/>
      <c r="F9" s="916"/>
      <c r="G9" s="917">
        <f>☆入力!D17</f>
        <v>0</v>
      </c>
      <c r="H9" s="917"/>
      <c r="I9" s="917"/>
      <c r="J9" s="917"/>
      <c r="K9" s="917"/>
      <c r="L9" s="867">
        <f>☆入力!H17</f>
        <v>0</v>
      </c>
      <c r="M9" s="867"/>
      <c r="N9" s="867"/>
      <c r="O9" s="867"/>
      <c r="P9" s="865">
        <f>☆入力!L17</f>
        <v>0</v>
      </c>
      <c r="Q9" s="866"/>
      <c r="R9" s="878">
        <f>☆入力!K17</f>
        <v>0</v>
      </c>
      <c r="S9" s="878"/>
      <c r="T9" s="878"/>
      <c r="U9" s="877">
        <f>☆入力!W17</f>
        <v>0</v>
      </c>
      <c r="V9" s="877"/>
      <c r="W9" s="877"/>
      <c r="X9" s="877"/>
      <c r="Y9" s="864">
        <f>☆入力!Y17</f>
        <v>0</v>
      </c>
      <c r="Z9" s="864"/>
      <c r="AA9" s="864"/>
      <c r="AB9" s="864"/>
      <c r="AD9" s="62"/>
      <c r="AS9" s="901" t="s">
        <v>322</v>
      </c>
      <c r="AT9" s="901"/>
      <c r="AU9" s="901"/>
      <c r="AV9" s="901"/>
      <c r="AW9" s="901"/>
      <c r="AX9" s="901"/>
      <c r="AY9" s="901"/>
      <c r="AZ9" s="901"/>
      <c r="BA9" s="901"/>
    </row>
    <row r="10" spans="1:57" s="3" customFormat="1" ht="21" customHeight="1">
      <c r="A10" s="913">
        <v>3</v>
      </c>
      <c r="B10" s="913"/>
      <c r="C10" s="914" t="str">
        <f>IF($C$6=☆入力!$B$15,☆入力!$B18,☆入力!$C18)</f>
        <v>あいえうお</v>
      </c>
      <c r="D10" s="915"/>
      <c r="E10" s="915"/>
      <c r="F10" s="916"/>
      <c r="G10" s="917">
        <f>☆入力!D18</f>
        <v>0</v>
      </c>
      <c r="H10" s="917"/>
      <c r="I10" s="917"/>
      <c r="J10" s="917"/>
      <c r="K10" s="917"/>
      <c r="L10" s="867">
        <f>☆入力!H18</f>
        <v>0</v>
      </c>
      <c r="M10" s="867"/>
      <c r="N10" s="867"/>
      <c r="O10" s="867"/>
      <c r="P10" s="865">
        <f>☆入力!L18</f>
        <v>0</v>
      </c>
      <c r="Q10" s="866"/>
      <c r="R10" s="878">
        <f>☆入力!K18</f>
        <v>0</v>
      </c>
      <c r="S10" s="878"/>
      <c r="T10" s="878"/>
      <c r="U10" s="877">
        <f>☆入力!W18</f>
        <v>0</v>
      </c>
      <c r="V10" s="877"/>
      <c r="W10" s="877"/>
      <c r="X10" s="877"/>
      <c r="Y10" s="864">
        <f>☆入力!Y18</f>
        <v>0</v>
      </c>
      <c r="Z10" s="864"/>
      <c r="AA10" s="864"/>
      <c r="AB10" s="864"/>
      <c r="AD10" s="62"/>
      <c r="AS10" s="901"/>
      <c r="AT10" s="901"/>
      <c r="AU10" s="901"/>
      <c r="AV10" s="901"/>
      <c r="AW10" s="901"/>
      <c r="AX10" s="901"/>
      <c r="AY10" s="901"/>
      <c r="AZ10" s="901"/>
      <c r="BA10" s="901"/>
    </row>
    <row r="11" spans="1:57" s="3" customFormat="1" ht="21" customHeight="1">
      <c r="A11" s="913">
        <v>4</v>
      </c>
      <c r="B11" s="913"/>
      <c r="C11" s="914" t="str">
        <f>IF($C$6=☆入力!$B$15,☆入力!$B19,☆入力!$C19)</f>
        <v>あいえうお</v>
      </c>
      <c r="D11" s="915"/>
      <c r="E11" s="915"/>
      <c r="F11" s="916"/>
      <c r="G11" s="917">
        <f>☆入力!D19</f>
        <v>0</v>
      </c>
      <c r="H11" s="917"/>
      <c r="I11" s="917"/>
      <c r="J11" s="917"/>
      <c r="K11" s="917"/>
      <c r="L11" s="867">
        <f>☆入力!H19</f>
        <v>0</v>
      </c>
      <c r="M11" s="867"/>
      <c r="N11" s="867"/>
      <c r="O11" s="867"/>
      <c r="P11" s="865">
        <f>☆入力!L19</f>
        <v>0</v>
      </c>
      <c r="Q11" s="866"/>
      <c r="R11" s="878">
        <f>☆入力!K19</f>
        <v>0</v>
      </c>
      <c r="S11" s="878"/>
      <c r="T11" s="878"/>
      <c r="U11" s="877">
        <f>☆入力!W19</f>
        <v>0</v>
      </c>
      <c r="V11" s="877"/>
      <c r="W11" s="877"/>
      <c r="X11" s="877"/>
      <c r="Y11" s="864">
        <f>☆入力!Y19</f>
        <v>0</v>
      </c>
      <c r="Z11" s="864"/>
      <c r="AA11" s="864"/>
      <c r="AB11" s="864"/>
      <c r="AD11" s="62"/>
      <c r="AF11" s="875" t="s">
        <v>323</v>
      </c>
      <c r="AG11" s="875"/>
      <c r="AH11" s="875"/>
      <c r="AI11" s="875"/>
      <c r="AJ11" s="875"/>
      <c r="AK11" s="875"/>
      <c r="AL11" s="875"/>
      <c r="AM11" s="875"/>
      <c r="AN11" s="875"/>
      <c r="AO11" s="875"/>
      <c r="AP11" s="875"/>
      <c r="AQ11" s="875"/>
      <c r="AR11" s="875"/>
      <c r="AS11" s="875"/>
      <c r="AT11" s="875"/>
      <c r="AU11" s="875"/>
      <c r="AV11" s="875"/>
      <c r="AW11" s="875"/>
      <c r="AX11" s="875"/>
      <c r="AY11" s="875"/>
      <c r="AZ11" s="875"/>
      <c r="BA11" s="875"/>
    </row>
    <row r="12" spans="1:57" s="3" customFormat="1" ht="21" customHeight="1" thickBot="1">
      <c r="A12" s="913">
        <v>5</v>
      </c>
      <c r="B12" s="913"/>
      <c r="C12" s="914" t="str">
        <f>IF($C$6=☆入力!$B$15,☆入力!$B20,☆入力!$C20)</f>
        <v>あいえうお</v>
      </c>
      <c r="D12" s="915"/>
      <c r="E12" s="915"/>
      <c r="F12" s="916"/>
      <c r="G12" s="917">
        <f>☆入力!D20</f>
        <v>0</v>
      </c>
      <c r="H12" s="917"/>
      <c r="I12" s="917"/>
      <c r="J12" s="917"/>
      <c r="K12" s="917"/>
      <c r="L12" s="867">
        <f>☆入力!H20</f>
        <v>0</v>
      </c>
      <c r="M12" s="867"/>
      <c r="N12" s="867"/>
      <c r="O12" s="867"/>
      <c r="P12" s="865">
        <f>☆入力!L20</f>
        <v>0</v>
      </c>
      <c r="Q12" s="866"/>
      <c r="R12" s="878">
        <f>☆入力!K20</f>
        <v>0</v>
      </c>
      <c r="S12" s="878"/>
      <c r="T12" s="878"/>
      <c r="U12" s="877">
        <f>☆入力!W20</f>
        <v>0</v>
      </c>
      <c r="V12" s="877"/>
      <c r="W12" s="877"/>
      <c r="X12" s="877"/>
      <c r="Y12" s="864">
        <f>☆入力!Y20</f>
        <v>0</v>
      </c>
      <c r="Z12" s="864"/>
      <c r="AA12" s="864"/>
      <c r="AB12" s="864"/>
      <c r="AD12" s="62"/>
      <c r="AF12" s="875"/>
      <c r="AG12" s="875"/>
      <c r="AH12" s="875"/>
      <c r="AI12" s="875"/>
      <c r="AJ12" s="875"/>
      <c r="AK12" s="875"/>
      <c r="AL12" s="875"/>
      <c r="AM12" s="875"/>
      <c r="AN12" s="875"/>
      <c r="AO12" s="875"/>
      <c r="AP12" s="875"/>
      <c r="AQ12" s="875"/>
      <c r="AR12" s="875"/>
      <c r="AS12" s="875"/>
      <c r="AT12" s="875"/>
      <c r="AU12" s="875"/>
      <c r="AV12" s="875"/>
      <c r="AW12" s="875"/>
      <c r="AX12" s="875"/>
      <c r="AY12" s="875"/>
      <c r="AZ12" s="875"/>
      <c r="BA12" s="875"/>
    </row>
    <row r="13" spans="1:57" s="3" customFormat="1" ht="21" customHeight="1" thickTop="1">
      <c r="A13" s="913">
        <v>6</v>
      </c>
      <c r="B13" s="913"/>
      <c r="C13" s="914" t="str">
        <f>IF($C$6=☆入力!$B$15,☆入力!$B21,☆入力!$C21)</f>
        <v>あいえうお</v>
      </c>
      <c r="D13" s="915"/>
      <c r="E13" s="915"/>
      <c r="F13" s="916"/>
      <c r="G13" s="917">
        <f>☆入力!D21</f>
        <v>0</v>
      </c>
      <c r="H13" s="917"/>
      <c r="I13" s="917"/>
      <c r="J13" s="917"/>
      <c r="K13" s="917"/>
      <c r="L13" s="867">
        <f>☆入力!H21</f>
        <v>0</v>
      </c>
      <c r="M13" s="867"/>
      <c r="N13" s="867"/>
      <c r="O13" s="867"/>
      <c r="P13" s="865">
        <f>☆入力!L21</f>
        <v>0</v>
      </c>
      <c r="Q13" s="866"/>
      <c r="R13" s="878">
        <f>☆入力!K21</f>
        <v>0</v>
      </c>
      <c r="S13" s="878"/>
      <c r="T13" s="878"/>
      <c r="U13" s="877">
        <f>☆入力!W21</f>
        <v>0</v>
      </c>
      <c r="V13" s="877"/>
      <c r="W13" s="877"/>
      <c r="X13" s="877"/>
      <c r="Y13" s="864">
        <f>☆入力!Y21</f>
        <v>0</v>
      </c>
      <c r="Z13" s="864"/>
      <c r="AA13" s="864"/>
      <c r="AB13" s="864"/>
      <c r="AD13" s="62"/>
      <c r="AS13" s="869">
        <f>(AN15*☆入力!AR9*7)+(AN16*☆入力!AR9*15)</f>
        <v>0</v>
      </c>
      <c r="AT13" s="870"/>
      <c r="AU13" s="870"/>
      <c r="AV13" s="870"/>
      <c r="AW13" s="870"/>
      <c r="AX13" s="870"/>
      <c r="AY13" s="870"/>
      <c r="AZ13" s="870"/>
      <c r="BA13" s="871"/>
    </row>
    <row r="14" spans="1:57" s="3" customFormat="1" ht="21" customHeight="1" thickBot="1">
      <c r="A14" s="913">
        <v>7</v>
      </c>
      <c r="B14" s="913"/>
      <c r="C14" s="914">
        <f>IF($C$6=☆入力!$B$15,☆入力!$B22,☆入力!$C22)</f>
        <v>0</v>
      </c>
      <c r="D14" s="915"/>
      <c r="E14" s="915"/>
      <c r="F14" s="916"/>
      <c r="G14" s="917">
        <f>☆入力!D22</f>
        <v>0</v>
      </c>
      <c r="H14" s="917"/>
      <c r="I14" s="917"/>
      <c r="J14" s="917"/>
      <c r="K14" s="917"/>
      <c r="L14" s="867">
        <f>☆入力!H22</f>
        <v>0</v>
      </c>
      <c r="M14" s="867"/>
      <c r="N14" s="867"/>
      <c r="O14" s="867"/>
      <c r="P14" s="865">
        <f>☆入力!L22</f>
        <v>0</v>
      </c>
      <c r="Q14" s="866"/>
      <c r="R14" s="878">
        <f>☆入力!K22</f>
        <v>0</v>
      </c>
      <c r="S14" s="878"/>
      <c r="T14" s="878"/>
      <c r="U14" s="877">
        <f>☆入力!W22</f>
        <v>0</v>
      </c>
      <c r="V14" s="877"/>
      <c r="W14" s="877"/>
      <c r="X14" s="877"/>
      <c r="Y14" s="864">
        <f>☆入力!Y22</f>
        <v>0</v>
      </c>
      <c r="Z14" s="864"/>
      <c r="AA14" s="864"/>
      <c r="AB14" s="864"/>
      <c r="AD14" s="62"/>
      <c r="AS14" s="872"/>
      <c r="AT14" s="873"/>
      <c r="AU14" s="873"/>
      <c r="AV14" s="873"/>
      <c r="AW14" s="873"/>
      <c r="AX14" s="873"/>
      <c r="AY14" s="873"/>
      <c r="AZ14" s="873"/>
      <c r="BA14" s="874"/>
    </row>
    <row r="15" spans="1:57" s="3" customFormat="1" ht="21" customHeight="1" thickTop="1">
      <c r="A15" s="913">
        <v>8</v>
      </c>
      <c r="B15" s="913"/>
      <c r="C15" s="914">
        <f>IF($C$6=☆入力!$B$15,☆入力!$B23,☆入力!$C23)</f>
        <v>0</v>
      </c>
      <c r="D15" s="915"/>
      <c r="E15" s="915"/>
      <c r="F15" s="916"/>
      <c r="G15" s="917">
        <f>☆入力!D23</f>
        <v>0</v>
      </c>
      <c r="H15" s="917"/>
      <c r="I15" s="917"/>
      <c r="J15" s="917"/>
      <c r="K15" s="917"/>
      <c r="L15" s="867">
        <f>☆入力!H23</f>
        <v>0</v>
      </c>
      <c r="M15" s="867"/>
      <c r="N15" s="867"/>
      <c r="O15" s="867"/>
      <c r="P15" s="865">
        <f>☆入力!L23</f>
        <v>0</v>
      </c>
      <c r="Q15" s="866"/>
      <c r="R15" s="878">
        <f>☆入力!K23</f>
        <v>0</v>
      </c>
      <c r="S15" s="878"/>
      <c r="T15" s="878"/>
      <c r="U15" s="877">
        <f>☆入力!W23</f>
        <v>0</v>
      </c>
      <c r="V15" s="877"/>
      <c r="W15" s="877"/>
      <c r="X15" s="877"/>
      <c r="Y15" s="864">
        <f>☆入力!Y23</f>
        <v>0</v>
      </c>
      <c r="Z15" s="864"/>
      <c r="AA15" s="864"/>
      <c r="AB15" s="864"/>
      <c r="AD15" s="62"/>
      <c r="AG15" s="66" t="s">
        <v>324</v>
      </c>
      <c r="AH15" s="66"/>
      <c r="AI15" s="66"/>
      <c r="AJ15" s="66"/>
      <c r="AK15" s="66"/>
      <c r="AL15" s="66"/>
      <c r="AN15" s="868">
        <f>LED計算式!N16</f>
        <v>0</v>
      </c>
      <c r="AO15" s="868"/>
      <c r="AP15" s="868"/>
      <c r="AQ15" s="66" t="str">
        <f>"× "&amp;TEXT(☆入力!AR9,"#,#00")&amp;"円（※1）× 7回（※2）"</f>
        <v>× 2,000円（※1）× 7回（※2）</v>
      </c>
      <c r="AS15" s="66"/>
      <c r="AT15" s="66"/>
      <c r="AU15" s="66"/>
      <c r="AV15" s="66"/>
      <c r="AW15" s="66"/>
      <c r="AX15" s="66"/>
      <c r="AY15" s="66"/>
      <c r="AZ15" s="66"/>
      <c r="BA15" s="66"/>
    </row>
    <row r="16" spans="1:57" s="3" customFormat="1" ht="21" customHeight="1">
      <c r="A16" s="913">
        <v>9</v>
      </c>
      <c r="B16" s="913"/>
      <c r="C16" s="914">
        <f>IF($C$6=☆入力!$B$15,☆入力!$B24,☆入力!$C24)</f>
        <v>0</v>
      </c>
      <c r="D16" s="915"/>
      <c r="E16" s="915"/>
      <c r="F16" s="916"/>
      <c r="G16" s="917">
        <f>☆入力!D24</f>
        <v>0</v>
      </c>
      <c r="H16" s="917"/>
      <c r="I16" s="917"/>
      <c r="J16" s="917"/>
      <c r="K16" s="917"/>
      <c r="L16" s="867">
        <f>☆入力!H24</f>
        <v>0</v>
      </c>
      <c r="M16" s="867"/>
      <c r="N16" s="867"/>
      <c r="O16" s="867"/>
      <c r="P16" s="865">
        <f>☆入力!L24</f>
        <v>0</v>
      </c>
      <c r="Q16" s="866"/>
      <c r="R16" s="878">
        <f>☆入力!K24</f>
        <v>0</v>
      </c>
      <c r="S16" s="878"/>
      <c r="T16" s="878"/>
      <c r="U16" s="877">
        <f>☆入力!W24</f>
        <v>0</v>
      </c>
      <c r="V16" s="877"/>
      <c r="W16" s="877"/>
      <c r="X16" s="877"/>
      <c r="Y16" s="864">
        <f>☆入力!Y24</f>
        <v>0</v>
      </c>
      <c r="Z16" s="864"/>
      <c r="AA16" s="864"/>
      <c r="AB16" s="864"/>
      <c r="AD16" s="62"/>
      <c r="AG16" s="66" t="s">
        <v>325</v>
      </c>
      <c r="AN16" s="868">
        <f>LED計算式!N17</f>
        <v>0</v>
      </c>
      <c r="AO16" s="868"/>
      <c r="AP16" s="868"/>
      <c r="AQ16" s="66" t="str">
        <f>"× "&amp;TEXT(☆入力!AR9,"#,#00")&amp;"円（※1）× 15回（※3）"</f>
        <v>× 2,000円（※1）× 15回（※3）</v>
      </c>
      <c r="AS16" s="66"/>
      <c r="AT16" s="66"/>
      <c r="AU16" s="66"/>
      <c r="AV16" s="66"/>
      <c r="AW16" s="66"/>
      <c r="AX16" s="66"/>
      <c r="AY16" s="66"/>
    </row>
    <row r="17" spans="1:53" s="3" customFormat="1" ht="21" customHeight="1">
      <c r="A17" s="913">
        <v>10</v>
      </c>
      <c r="B17" s="913"/>
      <c r="C17" s="914">
        <f>IF($C$6=☆入力!$B$15,☆入力!$B25,☆入力!$C25)</f>
        <v>0</v>
      </c>
      <c r="D17" s="915"/>
      <c r="E17" s="915"/>
      <c r="F17" s="916"/>
      <c r="G17" s="917">
        <f>☆入力!D25</f>
        <v>0</v>
      </c>
      <c r="H17" s="917"/>
      <c r="I17" s="917"/>
      <c r="J17" s="917"/>
      <c r="K17" s="917"/>
      <c r="L17" s="867">
        <f>☆入力!H25</f>
        <v>0</v>
      </c>
      <c r="M17" s="867"/>
      <c r="N17" s="867"/>
      <c r="O17" s="867"/>
      <c r="P17" s="865">
        <f>☆入力!L25</f>
        <v>0</v>
      </c>
      <c r="Q17" s="866"/>
      <c r="R17" s="878">
        <f>☆入力!K25</f>
        <v>0</v>
      </c>
      <c r="S17" s="878"/>
      <c r="T17" s="878"/>
      <c r="U17" s="877">
        <f>☆入力!W25</f>
        <v>0</v>
      </c>
      <c r="V17" s="877"/>
      <c r="W17" s="877"/>
      <c r="X17" s="877"/>
      <c r="Y17" s="864">
        <f>☆入力!Y25</f>
        <v>0</v>
      </c>
      <c r="Z17" s="864"/>
      <c r="AA17" s="864"/>
      <c r="AB17" s="864"/>
      <c r="AD17" s="62"/>
      <c r="AG17" s="1" t="str">
        <f>"(※1)白熱球の1球あたりの交換費用⇒"&amp;TEXT(☆入力!AR9,"#,#00")&amp;"円で計算(管理会社に委託している場合の平均)"</f>
        <v>(※1)白熱球の1球あたりの交換費用⇒2,000円で計算(管理会社に委託している場合の平均)</v>
      </c>
    </row>
    <row r="18" spans="1:53" s="3" customFormat="1" ht="21" customHeight="1">
      <c r="A18" s="913">
        <v>11</v>
      </c>
      <c r="B18" s="913"/>
      <c r="C18" s="914">
        <f>IF($C$6=☆入力!$B$15,☆入力!$B26,☆入力!$C26)</f>
        <v>0</v>
      </c>
      <c r="D18" s="915"/>
      <c r="E18" s="915"/>
      <c r="F18" s="916"/>
      <c r="G18" s="917">
        <f>☆入力!D26</f>
        <v>0</v>
      </c>
      <c r="H18" s="917"/>
      <c r="I18" s="917"/>
      <c r="J18" s="917"/>
      <c r="K18" s="917"/>
      <c r="L18" s="867">
        <f>☆入力!H26</f>
        <v>0</v>
      </c>
      <c r="M18" s="867"/>
      <c r="N18" s="867"/>
      <c r="O18" s="867"/>
      <c r="P18" s="865">
        <f>☆入力!L26</f>
        <v>0</v>
      </c>
      <c r="Q18" s="866"/>
      <c r="R18" s="878">
        <f>☆入力!K26</f>
        <v>0</v>
      </c>
      <c r="S18" s="878"/>
      <c r="T18" s="878"/>
      <c r="U18" s="877">
        <f>☆入力!W26</f>
        <v>0</v>
      </c>
      <c r="V18" s="877"/>
      <c r="W18" s="877"/>
      <c r="X18" s="877"/>
      <c r="Y18" s="864">
        <f>☆入力!Y26</f>
        <v>0</v>
      </c>
      <c r="Z18" s="864"/>
      <c r="AA18" s="864"/>
      <c r="AB18" s="864"/>
      <c r="AD18" s="62"/>
      <c r="AG18" s="1" t="s">
        <v>326</v>
      </c>
    </row>
    <row r="19" spans="1:53" s="3" customFormat="1" ht="21" customHeight="1">
      <c r="A19" s="913">
        <v>12</v>
      </c>
      <c r="B19" s="913"/>
      <c r="C19" s="914">
        <f>IF($C$6=☆入力!$B$15,☆入力!$B27,☆入力!$C27)</f>
        <v>0</v>
      </c>
      <c r="D19" s="915"/>
      <c r="E19" s="915"/>
      <c r="F19" s="916"/>
      <c r="G19" s="917">
        <f>☆入力!D27</f>
        <v>0</v>
      </c>
      <c r="H19" s="917"/>
      <c r="I19" s="917"/>
      <c r="J19" s="917"/>
      <c r="K19" s="917"/>
      <c r="L19" s="867">
        <f>☆入力!H27</f>
        <v>0</v>
      </c>
      <c r="M19" s="867"/>
      <c r="N19" s="867"/>
      <c r="O19" s="867"/>
      <c r="P19" s="865">
        <f>☆入力!L27</f>
        <v>0</v>
      </c>
      <c r="Q19" s="866"/>
      <c r="R19" s="878">
        <f>☆入力!K27</f>
        <v>0</v>
      </c>
      <c r="S19" s="878"/>
      <c r="T19" s="878"/>
      <c r="U19" s="877">
        <f>☆入力!W27</f>
        <v>0</v>
      </c>
      <c r="V19" s="877"/>
      <c r="W19" s="877"/>
      <c r="X19" s="877"/>
      <c r="Y19" s="864">
        <f>☆入力!Y27</f>
        <v>0</v>
      </c>
      <c r="Z19" s="864"/>
      <c r="AA19" s="864"/>
      <c r="AB19" s="864"/>
      <c r="AD19" s="62"/>
      <c r="AG19" s="1" t="s">
        <v>327</v>
      </c>
      <c r="AT19" s="80"/>
      <c r="AU19" s="80"/>
      <c r="AV19" s="80"/>
      <c r="AW19" s="80"/>
      <c r="AX19" s="80"/>
      <c r="AY19" s="80"/>
      <c r="AZ19" s="80"/>
      <c r="BA19" s="80"/>
    </row>
    <row r="20" spans="1:53" s="3" customFormat="1" ht="21" customHeight="1">
      <c r="A20" s="913">
        <v>13</v>
      </c>
      <c r="B20" s="913"/>
      <c r="C20" s="914">
        <f>IF($C$6=☆入力!$B$15,☆入力!$B28,☆入力!$C28)</f>
        <v>0</v>
      </c>
      <c r="D20" s="915"/>
      <c r="E20" s="915"/>
      <c r="F20" s="916"/>
      <c r="G20" s="917">
        <f>☆入力!D28</f>
        <v>0</v>
      </c>
      <c r="H20" s="917"/>
      <c r="I20" s="917"/>
      <c r="J20" s="917"/>
      <c r="K20" s="917"/>
      <c r="L20" s="867">
        <f>☆入力!H28</f>
        <v>0</v>
      </c>
      <c r="M20" s="867"/>
      <c r="N20" s="867"/>
      <c r="O20" s="867"/>
      <c r="P20" s="865">
        <f>☆入力!L28</f>
        <v>0</v>
      </c>
      <c r="Q20" s="866"/>
      <c r="R20" s="878">
        <f>☆入力!K28</f>
        <v>0</v>
      </c>
      <c r="S20" s="878"/>
      <c r="T20" s="878"/>
      <c r="U20" s="877">
        <f>☆入力!W28</f>
        <v>0</v>
      </c>
      <c r="V20" s="877"/>
      <c r="W20" s="877"/>
      <c r="X20" s="877"/>
      <c r="Y20" s="864">
        <f>☆入力!Y28</f>
        <v>0</v>
      </c>
      <c r="Z20" s="864"/>
      <c r="AA20" s="864"/>
      <c r="AB20" s="864"/>
      <c r="AD20" s="62"/>
      <c r="AS20" s="876" t="s">
        <v>322</v>
      </c>
      <c r="AT20" s="876"/>
      <c r="AU20" s="876"/>
      <c r="AV20" s="876"/>
      <c r="AW20" s="876"/>
      <c r="AX20" s="876"/>
      <c r="AY20" s="876"/>
      <c r="AZ20" s="876"/>
      <c r="BA20" s="876"/>
    </row>
    <row r="21" spans="1:53" s="3" customFormat="1" ht="21" customHeight="1">
      <c r="A21" s="913">
        <v>14</v>
      </c>
      <c r="B21" s="913"/>
      <c r="C21" s="914">
        <f>IF($C$6=☆入力!$B$15,☆入力!$B29,☆入力!$C29)</f>
        <v>0</v>
      </c>
      <c r="D21" s="915"/>
      <c r="E21" s="915"/>
      <c r="F21" s="916"/>
      <c r="G21" s="917">
        <f>☆入力!D29</f>
        <v>0</v>
      </c>
      <c r="H21" s="917"/>
      <c r="I21" s="917"/>
      <c r="J21" s="917"/>
      <c r="K21" s="917"/>
      <c r="L21" s="867">
        <f>☆入力!H29</f>
        <v>0</v>
      </c>
      <c r="M21" s="867"/>
      <c r="N21" s="867"/>
      <c r="O21" s="867"/>
      <c r="P21" s="865">
        <f>☆入力!L29</f>
        <v>0</v>
      </c>
      <c r="Q21" s="866"/>
      <c r="R21" s="878">
        <f>☆入力!K29</f>
        <v>0</v>
      </c>
      <c r="S21" s="878"/>
      <c r="T21" s="878"/>
      <c r="U21" s="877">
        <f>☆入力!W29</f>
        <v>0</v>
      </c>
      <c r="V21" s="877"/>
      <c r="W21" s="877"/>
      <c r="X21" s="877"/>
      <c r="Y21" s="864">
        <f>☆入力!Y29</f>
        <v>0</v>
      </c>
      <c r="Z21" s="864"/>
      <c r="AA21" s="864"/>
      <c r="AB21" s="864"/>
      <c r="AD21" s="62"/>
      <c r="AG21" s="79"/>
      <c r="AH21" s="79"/>
      <c r="AI21" s="79"/>
      <c r="AJ21" s="79"/>
      <c r="AK21" s="79"/>
      <c r="AL21" s="79"/>
      <c r="AM21" s="79"/>
      <c r="AN21" s="79"/>
      <c r="AO21" s="79"/>
      <c r="AP21" s="79"/>
      <c r="AQ21" s="79"/>
      <c r="AR21" s="79"/>
      <c r="AS21" s="876"/>
      <c r="AT21" s="876"/>
      <c r="AU21" s="876"/>
      <c r="AV21" s="876"/>
      <c r="AW21" s="876"/>
      <c r="AX21" s="876"/>
      <c r="AY21" s="876"/>
      <c r="AZ21" s="876"/>
      <c r="BA21" s="876"/>
    </row>
    <row r="22" spans="1:53" s="3" customFormat="1" ht="21" customHeight="1">
      <c r="A22" s="913">
        <v>15</v>
      </c>
      <c r="B22" s="913"/>
      <c r="C22" s="914">
        <f>IF($C$6=☆入力!$B$15,☆入力!$B30,☆入力!$C30)</f>
        <v>0</v>
      </c>
      <c r="D22" s="915"/>
      <c r="E22" s="915"/>
      <c r="F22" s="916"/>
      <c r="G22" s="917">
        <f>☆入力!D30</f>
        <v>0</v>
      </c>
      <c r="H22" s="917"/>
      <c r="I22" s="917"/>
      <c r="J22" s="917"/>
      <c r="K22" s="917"/>
      <c r="L22" s="867">
        <f>☆入力!H30</f>
        <v>0</v>
      </c>
      <c r="M22" s="867"/>
      <c r="N22" s="867"/>
      <c r="O22" s="867"/>
      <c r="P22" s="865">
        <f>☆入力!L30</f>
        <v>0</v>
      </c>
      <c r="Q22" s="866"/>
      <c r="R22" s="878">
        <f>☆入力!K30</f>
        <v>0</v>
      </c>
      <c r="S22" s="878"/>
      <c r="T22" s="878"/>
      <c r="U22" s="877">
        <f>☆入力!W30</f>
        <v>0</v>
      </c>
      <c r="V22" s="877"/>
      <c r="W22" s="877"/>
      <c r="X22" s="877"/>
      <c r="Y22" s="864">
        <f>☆入力!Y30</f>
        <v>0</v>
      </c>
      <c r="Z22" s="864"/>
      <c r="AA22" s="864"/>
      <c r="AB22" s="864"/>
      <c r="AD22" s="62"/>
      <c r="AF22" s="875" t="s">
        <v>328</v>
      </c>
      <c r="AG22" s="875"/>
      <c r="AH22" s="875"/>
      <c r="AI22" s="875"/>
      <c r="AJ22" s="875"/>
      <c r="AK22" s="875"/>
      <c r="AL22" s="875"/>
      <c r="AM22" s="875"/>
      <c r="AN22" s="875"/>
      <c r="AO22" s="875"/>
      <c r="AP22" s="875"/>
      <c r="AQ22" s="875"/>
      <c r="AR22" s="875"/>
      <c r="AS22" s="875"/>
      <c r="AT22" s="875"/>
      <c r="AU22" s="875"/>
      <c r="AV22" s="875"/>
      <c r="AW22" s="875"/>
      <c r="AX22" s="875"/>
      <c r="AY22" s="875"/>
      <c r="AZ22" s="875"/>
      <c r="BA22" s="875"/>
    </row>
    <row r="23" spans="1:53" s="3" customFormat="1" ht="21" customHeight="1" thickBot="1">
      <c r="A23" s="913">
        <v>16</v>
      </c>
      <c r="B23" s="913"/>
      <c r="C23" s="914">
        <f>IF($C$6=☆入力!$B$15,☆入力!$B31,☆入力!$C31)</f>
        <v>0</v>
      </c>
      <c r="D23" s="915"/>
      <c r="E23" s="915"/>
      <c r="F23" s="916"/>
      <c r="G23" s="917">
        <f>☆入力!D31</f>
        <v>0</v>
      </c>
      <c r="H23" s="917"/>
      <c r="I23" s="917"/>
      <c r="J23" s="917"/>
      <c r="K23" s="917"/>
      <c r="L23" s="867">
        <f>☆入力!H31</f>
        <v>0</v>
      </c>
      <c r="M23" s="867"/>
      <c r="N23" s="867"/>
      <c r="O23" s="867"/>
      <c r="P23" s="865">
        <f>☆入力!L31</f>
        <v>0</v>
      </c>
      <c r="Q23" s="866"/>
      <c r="R23" s="878">
        <f>☆入力!K31</f>
        <v>0</v>
      </c>
      <c r="S23" s="878"/>
      <c r="T23" s="878"/>
      <c r="U23" s="877">
        <f>☆入力!W31</f>
        <v>0</v>
      </c>
      <c r="V23" s="877"/>
      <c r="W23" s="877"/>
      <c r="X23" s="877"/>
      <c r="Y23" s="864">
        <f>☆入力!Y31</f>
        <v>0</v>
      </c>
      <c r="Z23" s="864"/>
      <c r="AA23" s="864"/>
      <c r="AB23" s="864"/>
      <c r="AD23" s="62"/>
      <c r="AF23" s="875"/>
      <c r="AG23" s="875"/>
      <c r="AH23" s="875"/>
      <c r="AI23" s="875"/>
      <c r="AJ23" s="875"/>
      <c r="AK23" s="875"/>
      <c r="AL23" s="875"/>
      <c r="AM23" s="875"/>
      <c r="AN23" s="875"/>
      <c r="AO23" s="875"/>
      <c r="AP23" s="875"/>
      <c r="AQ23" s="875"/>
      <c r="AR23" s="875"/>
      <c r="AS23" s="875"/>
      <c r="AT23" s="875"/>
      <c r="AU23" s="875"/>
      <c r="AV23" s="875"/>
      <c r="AW23" s="875"/>
      <c r="AX23" s="875"/>
      <c r="AY23" s="875"/>
      <c r="AZ23" s="875"/>
      <c r="BA23" s="875"/>
    </row>
    <row r="24" spans="1:53" s="3" customFormat="1" ht="21" customHeight="1" thickTop="1">
      <c r="A24" s="913">
        <v>17</v>
      </c>
      <c r="B24" s="913"/>
      <c r="C24" s="914">
        <f>IF($C$6=☆入力!$B$15,☆入力!$B32,☆入力!$C32)</f>
        <v>0</v>
      </c>
      <c r="D24" s="915"/>
      <c r="E24" s="915"/>
      <c r="F24" s="916"/>
      <c r="G24" s="917">
        <f>☆入力!D32</f>
        <v>0</v>
      </c>
      <c r="H24" s="917"/>
      <c r="I24" s="917"/>
      <c r="J24" s="917"/>
      <c r="K24" s="917"/>
      <c r="L24" s="867">
        <f>☆入力!H32</f>
        <v>0</v>
      </c>
      <c r="M24" s="867"/>
      <c r="N24" s="867"/>
      <c r="O24" s="867"/>
      <c r="P24" s="865">
        <f>☆入力!L32</f>
        <v>0</v>
      </c>
      <c r="Q24" s="866"/>
      <c r="R24" s="878">
        <f>☆入力!K32</f>
        <v>0</v>
      </c>
      <c r="S24" s="878"/>
      <c r="T24" s="878"/>
      <c r="U24" s="877">
        <f>☆入力!W32</f>
        <v>0</v>
      </c>
      <c r="V24" s="877"/>
      <c r="W24" s="877"/>
      <c r="X24" s="877"/>
      <c r="Y24" s="864">
        <f>☆入力!Y32</f>
        <v>0</v>
      </c>
      <c r="Z24" s="864"/>
      <c r="AA24" s="864"/>
      <c r="AB24" s="864"/>
      <c r="AD24" s="62"/>
      <c r="AS24" s="869">
        <f>☆入力!L12*10000*2</f>
        <v>0</v>
      </c>
      <c r="AT24" s="870"/>
      <c r="AU24" s="870"/>
      <c r="AV24" s="870"/>
      <c r="AW24" s="870"/>
      <c r="AX24" s="870"/>
      <c r="AY24" s="870"/>
      <c r="AZ24" s="870"/>
      <c r="BA24" s="871"/>
    </row>
    <row r="25" spans="1:53" s="3" customFormat="1" ht="21" customHeight="1" thickBot="1">
      <c r="A25" s="913">
        <v>18</v>
      </c>
      <c r="B25" s="913"/>
      <c r="C25" s="914">
        <f>IF($C$6=☆入力!$B$15,☆入力!$B33,☆入力!$C33)</f>
        <v>0</v>
      </c>
      <c r="D25" s="915"/>
      <c r="E25" s="915"/>
      <c r="F25" s="916"/>
      <c r="G25" s="917">
        <f>☆入力!D33</f>
        <v>0</v>
      </c>
      <c r="H25" s="917"/>
      <c r="I25" s="917"/>
      <c r="J25" s="917"/>
      <c r="K25" s="917"/>
      <c r="L25" s="867">
        <f>☆入力!H33</f>
        <v>0</v>
      </c>
      <c r="M25" s="867"/>
      <c r="N25" s="867"/>
      <c r="O25" s="867"/>
      <c r="P25" s="865">
        <f>☆入力!L33</f>
        <v>0</v>
      </c>
      <c r="Q25" s="866"/>
      <c r="R25" s="878">
        <f>☆入力!K33</f>
        <v>0</v>
      </c>
      <c r="S25" s="878"/>
      <c r="T25" s="878"/>
      <c r="U25" s="877">
        <f>☆入力!W33</f>
        <v>0</v>
      </c>
      <c r="V25" s="877"/>
      <c r="W25" s="877"/>
      <c r="X25" s="877"/>
      <c r="Y25" s="864">
        <f>☆入力!Y33</f>
        <v>0</v>
      </c>
      <c r="Z25" s="864"/>
      <c r="AA25" s="864"/>
      <c r="AB25" s="864"/>
      <c r="AD25" s="62"/>
      <c r="AF25" s="52"/>
      <c r="AS25" s="872"/>
      <c r="AT25" s="873"/>
      <c r="AU25" s="873"/>
      <c r="AV25" s="873"/>
      <c r="AW25" s="873"/>
      <c r="AX25" s="873"/>
      <c r="AY25" s="873"/>
      <c r="AZ25" s="873"/>
      <c r="BA25" s="874"/>
    </row>
    <row r="26" spans="1:53" s="3" customFormat="1" ht="21" customHeight="1" thickTop="1">
      <c r="A26" s="913">
        <v>19</v>
      </c>
      <c r="B26" s="913"/>
      <c r="C26" s="914">
        <f>IF($C$6=☆入力!$B$15,☆入力!$B34,☆入力!$C34)</f>
        <v>0</v>
      </c>
      <c r="D26" s="915"/>
      <c r="E26" s="915"/>
      <c r="F26" s="916"/>
      <c r="G26" s="917">
        <f>☆入力!D34</f>
        <v>0</v>
      </c>
      <c r="H26" s="917"/>
      <c r="I26" s="917"/>
      <c r="J26" s="917"/>
      <c r="K26" s="917"/>
      <c r="L26" s="867">
        <f>☆入力!H34</f>
        <v>0</v>
      </c>
      <c r="M26" s="867"/>
      <c r="N26" s="867"/>
      <c r="O26" s="867"/>
      <c r="P26" s="865">
        <f>☆入力!L34</f>
        <v>0</v>
      </c>
      <c r="Q26" s="866"/>
      <c r="R26" s="878">
        <f>☆入力!K34</f>
        <v>0</v>
      </c>
      <c r="S26" s="878"/>
      <c r="T26" s="878"/>
      <c r="U26" s="877">
        <f>☆入力!W34</f>
        <v>0</v>
      </c>
      <c r="V26" s="877"/>
      <c r="W26" s="877"/>
      <c r="X26" s="877"/>
      <c r="Y26" s="864">
        <f>☆入力!Y34</f>
        <v>0</v>
      </c>
      <c r="Z26" s="864"/>
      <c r="AA26" s="864"/>
      <c r="AB26" s="864"/>
      <c r="AD26" s="62"/>
      <c r="AG26" s="66" t="s">
        <v>329</v>
      </c>
      <c r="AH26" s="66"/>
      <c r="AI26" s="66"/>
      <c r="AJ26" s="66"/>
      <c r="AK26" s="66"/>
      <c r="AL26" s="66"/>
      <c r="AM26" s="66"/>
      <c r="AO26" s="868">
        <f>☆入力!L12</f>
        <v>0</v>
      </c>
      <c r="AP26" s="868"/>
      <c r="AQ26" s="868"/>
      <c r="AR26" s="66" t="s">
        <v>330</v>
      </c>
      <c r="AS26" s="66"/>
      <c r="AT26" s="66"/>
      <c r="AU26" s="66"/>
      <c r="AV26" s="66"/>
      <c r="AW26" s="66"/>
      <c r="AX26" s="66"/>
      <c r="AY26" s="66"/>
      <c r="AZ26" s="66"/>
      <c r="BA26" s="66"/>
    </row>
    <row r="27" spans="1:53" s="3" customFormat="1" ht="21" customHeight="1">
      <c r="A27" s="913">
        <v>20</v>
      </c>
      <c r="B27" s="913"/>
      <c r="C27" s="914">
        <f>IF($C$6=☆入力!$B$15,☆入力!$B35,☆入力!$C35)</f>
        <v>0</v>
      </c>
      <c r="D27" s="915"/>
      <c r="E27" s="915"/>
      <c r="F27" s="916"/>
      <c r="G27" s="917">
        <f>☆入力!D35</f>
        <v>0</v>
      </c>
      <c r="H27" s="917"/>
      <c r="I27" s="917"/>
      <c r="J27" s="917"/>
      <c r="K27" s="917"/>
      <c r="L27" s="867">
        <f>☆入力!H35</f>
        <v>0</v>
      </c>
      <c r="M27" s="867"/>
      <c r="N27" s="867"/>
      <c r="O27" s="867"/>
      <c r="P27" s="865">
        <f>☆入力!L35</f>
        <v>0</v>
      </c>
      <c r="Q27" s="866"/>
      <c r="R27" s="878">
        <f>☆入力!K35</f>
        <v>0</v>
      </c>
      <c r="S27" s="878"/>
      <c r="T27" s="878"/>
      <c r="U27" s="877">
        <f>☆入力!W35</f>
        <v>0</v>
      </c>
      <c r="V27" s="877"/>
      <c r="W27" s="877"/>
      <c r="X27" s="877"/>
      <c r="Y27" s="864">
        <f>☆入力!Y35</f>
        <v>0</v>
      </c>
      <c r="Z27" s="864"/>
      <c r="AA27" s="864"/>
      <c r="AB27" s="864"/>
      <c r="AD27" s="62"/>
    </row>
    <row r="28" spans="1:53" s="3" customFormat="1" ht="21" customHeight="1">
      <c r="A28" s="913">
        <v>21</v>
      </c>
      <c r="B28" s="913"/>
      <c r="C28" s="914">
        <f>IF($C$6=☆入力!$B$15,☆入力!$B36,☆入力!$C36)</f>
        <v>0</v>
      </c>
      <c r="D28" s="915"/>
      <c r="E28" s="915"/>
      <c r="F28" s="916"/>
      <c r="G28" s="917">
        <f>☆入力!D36</f>
        <v>0</v>
      </c>
      <c r="H28" s="917"/>
      <c r="I28" s="917"/>
      <c r="J28" s="917"/>
      <c r="K28" s="917"/>
      <c r="L28" s="867">
        <f>☆入力!H36</f>
        <v>0</v>
      </c>
      <c r="M28" s="867"/>
      <c r="N28" s="867"/>
      <c r="O28" s="867"/>
      <c r="P28" s="865">
        <f>☆入力!L36</f>
        <v>0</v>
      </c>
      <c r="Q28" s="866"/>
      <c r="R28" s="878">
        <f>☆入力!K36</f>
        <v>0</v>
      </c>
      <c r="S28" s="878"/>
      <c r="T28" s="878"/>
      <c r="U28" s="877">
        <f>☆入力!W36</f>
        <v>0</v>
      </c>
      <c r="V28" s="877"/>
      <c r="W28" s="877"/>
      <c r="X28" s="877"/>
      <c r="Y28" s="864">
        <f>☆入力!Y36</f>
        <v>0</v>
      </c>
      <c r="Z28" s="864"/>
      <c r="AA28" s="864"/>
      <c r="AB28" s="864"/>
      <c r="AD28" s="62"/>
      <c r="AG28" s="1" t="s">
        <v>331</v>
      </c>
    </row>
    <row r="29" spans="1:53" s="3" customFormat="1" ht="21" customHeight="1">
      <c r="A29" s="913">
        <v>22</v>
      </c>
      <c r="B29" s="913"/>
      <c r="C29" s="914">
        <f>IF($C$6=☆入力!$B$15,☆入力!$B37,☆入力!$C37)</f>
        <v>0</v>
      </c>
      <c r="D29" s="915"/>
      <c r="E29" s="915"/>
      <c r="F29" s="916"/>
      <c r="G29" s="917">
        <f>☆入力!D37</f>
        <v>0</v>
      </c>
      <c r="H29" s="917"/>
      <c r="I29" s="917"/>
      <c r="J29" s="917"/>
      <c r="K29" s="917"/>
      <c r="L29" s="867">
        <f>☆入力!H37</f>
        <v>0</v>
      </c>
      <c r="M29" s="867"/>
      <c r="N29" s="867"/>
      <c r="O29" s="867"/>
      <c r="P29" s="865">
        <f>☆入力!L37</f>
        <v>0</v>
      </c>
      <c r="Q29" s="866"/>
      <c r="R29" s="878">
        <f>☆入力!K37</f>
        <v>0</v>
      </c>
      <c r="S29" s="878"/>
      <c r="T29" s="878"/>
      <c r="U29" s="877">
        <f>☆入力!W37</f>
        <v>0</v>
      </c>
      <c r="V29" s="877"/>
      <c r="W29" s="877"/>
      <c r="X29" s="877"/>
      <c r="Y29" s="864">
        <f>☆入力!Y37</f>
        <v>0</v>
      </c>
      <c r="Z29" s="864"/>
      <c r="AA29" s="864"/>
      <c r="AB29" s="864"/>
      <c r="AD29" s="62"/>
      <c r="AG29" s="1" t="s">
        <v>332</v>
      </c>
    </row>
    <row r="30" spans="1:53" s="3" customFormat="1" ht="21" customHeight="1">
      <c r="A30" s="913">
        <v>23</v>
      </c>
      <c r="B30" s="913"/>
      <c r="C30" s="914">
        <f>IF($C$6=☆入力!$B$15,☆入力!$B38,☆入力!$C38)</f>
        <v>0</v>
      </c>
      <c r="D30" s="915"/>
      <c r="E30" s="915"/>
      <c r="F30" s="916"/>
      <c r="G30" s="917">
        <f>☆入力!D38</f>
        <v>0</v>
      </c>
      <c r="H30" s="917"/>
      <c r="I30" s="917"/>
      <c r="J30" s="917"/>
      <c r="K30" s="917"/>
      <c r="L30" s="867">
        <f>☆入力!H38</f>
        <v>0</v>
      </c>
      <c r="M30" s="867"/>
      <c r="N30" s="867"/>
      <c r="O30" s="867"/>
      <c r="P30" s="865">
        <f>☆入力!L38</f>
        <v>0</v>
      </c>
      <c r="Q30" s="866"/>
      <c r="R30" s="878">
        <f>☆入力!K38</f>
        <v>0</v>
      </c>
      <c r="S30" s="878"/>
      <c r="T30" s="878"/>
      <c r="U30" s="877">
        <f>☆入力!W38</f>
        <v>0</v>
      </c>
      <c r="V30" s="877"/>
      <c r="W30" s="877"/>
      <c r="X30" s="877"/>
      <c r="Y30" s="864">
        <f>☆入力!Y38</f>
        <v>0</v>
      </c>
      <c r="Z30" s="864"/>
      <c r="AA30" s="864"/>
      <c r="AB30" s="864"/>
      <c r="AD30" s="62"/>
      <c r="AS30" s="55"/>
      <c r="AT30" s="55"/>
      <c r="AU30" s="55"/>
      <c r="AV30" s="55"/>
      <c r="AW30" s="55"/>
      <c r="AX30" s="55"/>
      <c r="AY30" s="55"/>
      <c r="AZ30" s="55"/>
      <c r="BA30" s="55"/>
    </row>
    <row r="31" spans="1:53" s="3" customFormat="1" ht="21" customHeight="1">
      <c r="A31" s="913">
        <v>24</v>
      </c>
      <c r="B31" s="913"/>
      <c r="C31" s="914">
        <f>IF($C$6=☆入力!$B$15,☆入力!$B39,☆入力!$C39)</f>
        <v>0</v>
      </c>
      <c r="D31" s="915"/>
      <c r="E31" s="915"/>
      <c r="F31" s="916"/>
      <c r="G31" s="917">
        <f>☆入力!D39</f>
        <v>0</v>
      </c>
      <c r="H31" s="917"/>
      <c r="I31" s="917"/>
      <c r="J31" s="917"/>
      <c r="K31" s="917"/>
      <c r="L31" s="867">
        <f>☆入力!H39</f>
        <v>0</v>
      </c>
      <c r="M31" s="867"/>
      <c r="N31" s="867"/>
      <c r="O31" s="867"/>
      <c r="P31" s="865">
        <f>☆入力!L39</f>
        <v>0</v>
      </c>
      <c r="Q31" s="866"/>
      <c r="R31" s="878">
        <f>☆入力!K39</f>
        <v>0</v>
      </c>
      <c r="S31" s="878"/>
      <c r="T31" s="878"/>
      <c r="U31" s="877">
        <f>☆入力!W39</f>
        <v>0</v>
      </c>
      <c r="V31" s="877"/>
      <c r="W31" s="877"/>
      <c r="X31" s="877"/>
      <c r="Y31" s="864">
        <f>☆入力!Y39</f>
        <v>0</v>
      </c>
      <c r="Z31" s="864"/>
      <c r="AA31" s="864"/>
      <c r="AB31" s="864"/>
      <c r="AD31" s="62"/>
      <c r="AS31" s="55"/>
      <c r="AT31" s="55"/>
      <c r="AU31" s="55"/>
      <c r="AV31" s="55"/>
      <c r="AW31" s="55"/>
      <c r="AX31" s="55"/>
      <c r="AY31" s="55"/>
      <c r="AZ31" s="55"/>
      <c r="BA31" s="55"/>
    </row>
    <row r="32" spans="1:53" s="3" customFormat="1" ht="21" customHeight="1">
      <c r="A32" s="913">
        <v>25</v>
      </c>
      <c r="B32" s="913"/>
      <c r="C32" s="914">
        <f>IF($C$6=☆入力!$B$15,☆入力!$B40,☆入力!$C40)</f>
        <v>0</v>
      </c>
      <c r="D32" s="915"/>
      <c r="E32" s="915"/>
      <c r="F32" s="916"/>
      <c r="G32" s="917">
        <f>☆入力!D40</f>
        <v>0</v>
      </c>
      <c r="H32" s="917"/>
      <c r="I32" s="917"/>
      <c r="J32" s="917"/>
      <c r="K32" s="917"/>
      <c r="L32" s="867">
        <f>☆入力!H40</f>
        <v>0</v>
      </c>
      <c r="M32" s="867"/>
      <c r="N32" s="867"/>
      <c r="O32" s="867"/>
      <c r="P32" s="865">
        <f>☆入力!L40</f>
        <v>0</v>
      </c>
      <c r="Q32" s="866"/>
      <c r="R32" s="878">
        <f>☆入力!K40</f>
        <v>0</v>
      </c>
      <c r="S32" s="878"/>
      <c r="T32" s="878"/>
      <c r="U32" s="877">
        <f>☆入力!W40</f>
        <v>0</v>
      </c>
      <c r="V32" s="877"/>
      <c r="W32" s="877"/>
      <c r="X32" s="877"/>
      <c r="Y32" s="864">
        <f>☆入力!Y40</f>
        <v>0</v>
      </c>
      <c r="Z32" s="864"/>
      <c r="AA32" s="864"/>
      <c r="AB32" s="864"/>
      <c r="AD32" s="62"/>
    </row>
    <row r="33" spans="1:56" s="3" customFormat="1" ht="21" customHeight="1" outlineLevel="1">
      <c r="A33" s="913">
        <v>26</v>
      </c>
      <c r="B33" s="913"/>
      <c r="C33" s="914">
        <f>IF($C$6=☆入力!$B$15,☆入力!$B41,☆入力!$C41)</f>
        <v>0</v>
      </c>
      <c r="D33" s="915"/>
      <c r="E33" s="915"/>
      <c r="F33" s="916"/>
      <c r="G33" s="917">
        <f>☆入力!D41</f>
        <v>0</v>
      </c>
      <c r="H33" s="917"/>
      <c r="I33" s="917"/>
      <c r="J33" s="917"/>
      <c r="K33" s="917"/>
      <c r="L33" s="867">
        <f>☆入力!H41</f>
        <v>0</v>
      </c>
      <c r="M33" s="867"/>
      <c r="N33" s="867"/>
      <c r="O33" s="867"/>
      <c r="P33" s="865">
        <f>☆入力!L41</f>
        <v>0</v>
      </c>
      <c r="Q33" s="866"/>
      <c r="R33" s="878">
        <f>☆入力!K41</f>
        <v>0</v>
      </c>
      <c r="S33" s="878"/>
      <c r="T33" s="878"/>
      <c r="U33" s="877">
        <f>☆入力!W41</f>
        <v>0</v>
      </c>
      <c r="V33" s="877"/>
      <c r="W33" s="877"/>
      <c r="X33" s="877"/>
      <c r="Y33" s="864">
        <f>☆入力!Y41</f>
        <v>0</v>
      </c>
      <c r="Z33" s="864"/>
      <c r="AA33" s="864"/>
      <c r="AB33" s="864"/>
      <c r="AD33" s="62"/>
    </row>
    <row r="34" spans="1:56" s="3" customFormat="1" ht="21" customHeight="1" outlineLevel="1">
      <c r="A34" s="913">
        <v>27</v>
      </c>
      <c r="B34" s="913"/>
      <c r="C34" s="914">
        <f>IF($C$6=☆入力!$B$15,☆入力!$B42,☆入力!$C42)</f>
        <v>0</v>
      </c>
      <c r="D34" s="915"/>
      <c r="E34" s="915"/>
      <c r="F34" s="916"/>
      <c r="G34" s="917">
        <f>☆入力!D42</f>
        <v>0</v>
      </c>
      <c r="H34" s="917"/>
      <c r="I34" s="917"/>
      <c r="J34" s="917"/>
      <c r="K34" s="917"/>
      <c r="L34" s="867">
        <f>☆入力!H42</f>
        <v>0</v>
      </c>
      <c r="M34" s="867"/>
      <c r="N34" s="867"/>
      <c r="O34" s="867"/>
      <c r="P34" s="865">
        <f>☆入力!L42</f>
        <v>0</v>
      </c>
      <c r="Q34" s="866"/>
      <c r="R34" s="878">
        <f>☆入力!K42</f>
        <v>0</v>
      </c>
      <c r="S34" s="878"/>
      <c r="T34" s="878"/>
      <c r="U34" s="877">
        <f>☆入力!W42</f>
        <v>0</v>
      </c>
      <c r="V34" s="877"/>
      <c r="W34" s="877"/>
      <c r="X34" s="877"/>
      <c r="Y34" s="864">
        <f>☆入力!Y42</f>
        <v>0</v>
      </c>
      <c r="Z34" s="864"/>
      <c r="AA34" s="864"/>
      <c r="AB34" s="864"/>
      <c r="AD34" s="62"/>
    </row>
    <row r="35" spans="1:56" s="3" customFormat="1" ht="21" customHeight="1" outlineLevel="1">
      <c r="A35" s="913">
        <v>28</v>
      </c>
      <c r="B35" s="913"/>
      <c r="C35" s="914">
        <f>IF($C$6=☆入力!$B$15,☆入力!$B43,☆入力!$C43)</f>
        <v>0</v>
      </c>
      <c r="D35" s="915"/>
      <c r="E35" s="915"/>
      <c r="F35" s="916"/>
      <c r="G35" s="917">
        <f>☆入力!D43</f>
        <v>0</v>
      </c>
      <c r="H35" s="917"/>
      <c r="I35" s="917"/>
      <c r="J35" s="917"/>
      <c r="K35" s="917"/>
      <c r="L35" s="867">
        <f>☆入力!H43</f>
        <v>0</v>
      </c>
      <c r="M35" s="867"/>
      <c r="N35" s="867"/>
      <c r="O35" s="867"/>
      <c r="P35" s="865">
        <f>☆入力!L43</f>
        <v>0</v>
      </c>
      <c r="Q35" s="866"/>
      <c r="R35" s="878">
        <f>☆入力!K43</f>
        <v>0</v>
      </c>
      <c r="S35" s="878"/>
      <c r="T35" s="878"/>
      <c r="U35" s="877">
        <f>☆入力!W43</f>
        <v>0</v>
      </c>
      <c r="V35" s="877"/>
      <c r="W35" s="877"/>
      <c r="X35" s="877"/>
      <c r="Y35" s="864">
        <f>☆入力!Y43</f>
        <v>0</v>
      </c>
      <c r="Z35" s="864"/>
      <c r="AA35" s="864"/>
      <c r="AB35" s="864"/>
      <c r="AD35" s="62"/>
    </row>
    <row r="36" spans="1:56" s="3" customFormat="1" ht="21" customHeight="1" outlineLevel="1">
      <c r="A36" s="913">
        <v>29</v>
      </c>
      <c r="B36" s="913"/>
      <c r="C36" s="914">
        <f>IF($C$6=☆入力!$B$15,☆入力!$B44,☆入力!$C44)</f>
        <v>0</v>
      </c>
      <c r="D36" s="915"/>
      <c r="E36" s="915"/>
      <c r="F36" s="916"/>
      <c r="G36" s="917">
        <f>☆入力!D44</f>
        <v>0</v>
      </c>
      <c r="H36" s="917"/>
      <c r="I36" s="917"/>
      <c r="J36" s="917"/>
      <c r="K36" s="917"/>
      <c r="L36" s="867">
        <f>☆入力!H44</f>
        <v>0</v>
      </c>
      <c r="M36" s="867"/>
      <c r="N36" s="867"/>
      <c r="O36" s="867"/>
      <c r="P36" s="865">
        <f>☆入力!L44</f>
        <v>0</v>
      </c>
      <c r="Q36" s="866"/>
      <c r="R36" s="878">
        <f>☆入力!K44</f>
        <v>0</v>
      </c>
      <c r="S36" s="878"/>
      <c r="T36" s="878"/>
      <c r="U36" s="877">
        <f>☆入力!W44</f>
        <v>0</v>
      </c>
      <c r="V36" s="877"/>
      <c r="W36" s="877"/>
      <c r="X36" s="877"/>
      <c r="Y36" s="864">
        <f>☆入力!Y44</f>
        <v>0</v>
      </c>
      <c r="Z36" s="864"/>
      <c r="AA36" s="864"/>
      <c r="AB36" s="864"/>
      <c r="AD36" s="62"/>
    </row>
    <row r="37" spans="1:56" s="3" customFormat="1" ht="21" customHeight="1" outlineLevel="1">
      <c r="A37" s="922">
        <v>30</v>
      </c>
      <c r="B37" s="922"/>
      <c r="C37" s="923">
        <f>IF($C$6=☆入力!$B$15,☆入力!$B45,☆入力!$C45)</f>
        <v>0</v>
      </c>
      <c r="D37" s="924"/>
      <c r="E37" s="924"/>
      <c r="F37" s="925"/>
      <c r="G37" s="926">
        <f>☆入力!D45</f>
        <v>0</v>
      </c>
      <c r="H37" s="926"/>
      <c r="I37" s="926"/>
      <c r="J37" s="926"/>
      <c r="K37" s="926"/>
      <c r="L37" s="927">
        <f>☆入力!H45</f>
        <v>0</v>
      </c>
      <c r="M37" s="927"/>
      <c r="N37" s="927"/>
      <c r="O37" s="927"/>
      <c r="P37" s="928">
        <f>☆入力!L45</f>
        <v>0</v>
      </c>
      <c r="Q37" s="929"/>
      <c r="R37" s="930">
        <f>☆入力!K45</f>
        <v>0</v>
      </c>
      <c r="S37" s="930"/>
      <c r="T37" s="930"/>
      <c r="U37" s="931">
        <f>☆入力!W45</f>
        <v>0</v>
      </c>
      <c r="V37" s="931"/>
      <c r="W37" s="931"/>
      <c r="X37" s="931"/>
      <c r="Y37" s="932">
        <f>☆入力!Y45</f>
        <v>0</v>
      </c>
      <c r="Z37" s="932"/>
      <c r="AA37" s="932"/>
      <c r="AB37" s="932"/>
      <c r="AD37" s="62"/>
    </row>
    <row r="38" spans="1:56" s="13" customFormat="1" ht="21" customHeight="1">
      <c r="C38" s="479"/>
      <c r="D38" s="479"/>
      <c r="E38" s="479"/>
      <c r="F38" s="479"/>
      <c r="G38" s="479"/>
      <c r="H38" s="479"/>
      <c r="I38" s="479"/>
      <c r="J38" s="479"/>
      <c r="K38" s="74" t="s">
        <v>333</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91" t="s">
        <v>43</v>
      </c>
      <c r="L39" s="891"/>
      <c r="M39" s="891"/>
      <c r="N39" s="891"/>
      <c r="O39" s="891"/>
      <c r="P39" s="893">
        <f>SUM(P8:Q37)</f>
        <v>0</v>
      </c>
      <c r="Q39" s="893"/>
      <c r="R39" s="895" t="s">
        <v>334</v>
      </c>
      <c r="S39" s="895"/>
      <c r="T39" s="895"/>
      <c r="U39" s="897">
        <f>SUM(U8:X37)</f>
        <v>0</v>
      </c>
      <c r="V39" s="897"/>
      <c r="W39" s="897"/>
      <c r="X39" s="897"/>
      <c r="Y39" s="899">
        <f>SUM(Y8:AB37)</f>
        <v>0</v>
      </c>
      <c r="Z39" s="899"/>
      <c r="AA39" s="899"/>
      <c r="AB39" s="899"/>
      <c r="AD39" s="64"/>
      <c r="AF39" s="875" t="s">
        <v>335</v>
      </c>
      <c r="AG39" s="875"/>
      <c r="AH39" s="875"/>
      <c r="AI39" s="875"/>
      <c r="AJ39" s="875"/>
      <c r="AK39" s="875"/>
      <c r="AL39" s="875"/>
      <c r="AM39" s="875"/>
      <c r="AN39" s="875"/>
      <c r="AO39" s="875"/>
      <c r="AP39" s="875"/>
      <c r="AQ39" s="875"/>
      <c r="AR39" s="875"/>
      <c r="AS39" s="875"/>
      <c r="AT39" s="875"/>
      <c r="AU39" s="875"/>
      <c r="AV39" s="875"/>
      <c r="AW39" s="875"/>
      <c r="AX39" s="875"/>
      <c r="AY39" s="875"/>
      <c r="AZ39" s="875"/>
      <c r="BA39" s="875"/>
    </row>
    <row r="40" spans="1:56" s="13" customFormat="1" ht="21" customHeight="1" thickBot="1">
      <c r="C40" s="14"/>
      <c r="D40" s="14"/>
      <c r="E40" s="14"/>
      <c r="F40" s="14"/>
      <c r="G40" s="14"/>
      <c r="H40" s="14"/>
      <c r="I40" s="14"/>
      <c r="J40" s="14"/>
      <c r="K40" s="892"/>
      <c r="L40" s="892"/>
      <c r="M40" s="892"/>
      <c r="N40" s="892"/>
      <c r="O40" s="892"/>
      <c r="P40" s="894"/>
      <c r="Q40" s="894"/>
      <c r="R40" s="896"/>
      <c r="S40" s="896"/>
      <c r="T40" s="896"/>
      <c r="U40" s="898"/>
      <c r="V40" s="898"/>
      <c r="W40" s="898"/>
      <c r="X40" s="898"/>
      <c r="Y40" s="900"/>
      <c r="Z40" s="900"/>
      <c r="AA40" s="900"/>
      <c r="AB40" s="900"/>
      <c r="AD40" s="64"/>
      <c r="AF40" s="875"/>
      <c r="AG40" s="875"/>
      <c r="AH40" s="875"/>
      <c r="AI40" s="875"/>
      <c r="AJ40" s="875"/>
      <c r="AK40" s="875"/>
      <c r="AL40" s="875"/>
      <c r="AM40" s="875"/>
      <c r="AN40" s="875"/>
      <c r="AO40" s="875"/>
      <c r="AP40" s="875"/>
      <c r="AQ40" s="875"/>
      <c r="AR40" s="875"/>
      <c r="AS40" s="875"/>
      <c r="AT40" s="875"/>
      <c r="AU40" s="875"/>
      <c r="AV40" s="875"/>
      <c r="AW40" s="875"/>
      <c r="AX40" s="875"/>
      <c r="AY40" s="875"/>
      <c r="AZ40" s="875"/>
      <c r="BA40" s="875"/>
    </row>
    <row r="41" spans="1:56" s="13" customFormat="1" ht="21" customHeight="1" thickTop="1">
      <c r="C41" s="14"/>
      <c r="D41" s="14"/>
      <c r="E41" s="14"/>
      <c r="F41" s="14"/>
      <c r="G41" s="14"/>
      <c r="H41" s="14"/>
      <c r="I41" s="14"/>
      <c r="J41" s="14"/>
      <c r="L41" s="479"/>
      <c r="M41" s="479"/>
      <c r="N41" s="479"/>
      <c r="O41" s="479"/>
      <c r="P41" s="479"/>
      <c r="Q41" s="479"/>
      <c r="R41" s="479"/>
      <c r="S41" s="479"/>
      <c r="T41" s="479"/>
      <c r="U41" s="479"/>
      <c r="V41" s="479"/>
      <c r="W41" s="479"/>
      <c r="X41" s="479"/>
      <c r="Y41" s="479"/>
      <c r="Z41" s="479"/>
      <c r="AA41" s="479"/>
      <c r="AB41" s="479"/>
      <c r="AC41" s="479"/>
      <c r="AD41" s="64"/>
      <c r="AS41" s="885">
        <f>AS6+AS13+AS24</f>
        <v>0</v>
      </c>
      <c r="AT41" s="886"/>
      <c r="AU41" s="886"/>
      <c r="AV41" s="886"/>
      <c r="AW41" s="886"/>
      <c r="AX41" s="886"/>
      <c r="AY41" s="886"/>
      <c r="AZ41" s="886"/>
      <c r="BA41" s="887"/>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8"/>
      <c r="AT42" s="889"/>
      <c r="AU42" s="889"/>
      <c r="AV42" s="889"/>
      <c r="AW42" s="889"/>
      <c r="AX42" s="889"/>
      <c r="AY42" s="889"/>
      <c r="AZ42" s="889"/>
      <c r="BA42" s="890"/>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0">
        <v>3</v>
      </c>
    </row>
  </sheetData>
  <mergeCells count="270">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26:B26"/>
    <mergeCell ref="C26:F26"/>
    <mergeCell ref="P26:Q26"/>
    <mergeCell ref="R26:T26"/>
    <mergeCell ref="A25:B25"/>
    <mergeCell ref="C25:F25"/>
    <mergeCell ref="P25:Q25"/>
    <mergeCell ref="L25:O25"/>
    <mergeCell ref="L26:O26"/>
    <mergeCell ref="G26:K26"/>
    <mergeCell ref="G25:K25"/>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2:B22"/>
    <mergeCell ref="C22:F22"/>
    <mergeCell ref="P22:Q22"/>
    <mergeCell ref="R22:T22"/>
    <mergeCell ref="A21:B21"/>
    <mergeCell ref="C21:F21"/>
    <mergeCell ref="P21:Q21"/>
    <mergeCell ref="L21:O21"/>
    <mergeCell ref="L22:O22"/>
    <mergeCell ref="G21:K21"/>
    <mergeCell ref="G22:K22"/>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18:B18"/>
    <mergeCell ref="C18:F18"/>
    <mergeCell ref="P18:Q18"/>
    <mergeCell ref="R18:T18"/>
    <mergeCell ref="A17:B17"/>
    <mergeCell ref="C17:F17"/>
    <mergeCell ref="P17:Q17"/>
    <mergeCell ref="L17:O17"/>
    <mergeCell ref="L18:O18"/>
    <mergeCell ref="G17:K17"/>
    <mergeCell ref="G18:K18"/>
    <mergeCell ref="A16:B16"/>
    <mergeCell ref="C16:F16"/>
    <mergeCell ref="P16:Q16"/>
    <mergeCell ref="R16:T16"/>
    <mergeCell ref="U16:X16"/>
    <mergeCell ref="Y16:AB16"/>
    <mergeCell ref="R17:T17"/>
    <mergeCell ref="U17:X17"/>
    <mergeCell ref="Y17:AB17"/>
    <mergeCell ref="L16:O16"/>
    <mergeCell ref="A15:B15"/>
    <mergeCell ref="C15:F15"/>
    <mergeCell ref="P15:Q15"/>
    <mergeCell ref="R15:T15"/>
    <mergeCell ref="U15:X15"/>
    <mergeCell ref="Y15:AB15"/>
    <mergeCell ref="L14:O14"/>
    <mergeCell ref="L15:O15"/>
    <mergeCell ref="A14:B14"/>
    <mergeCell ref="C14:F14"/>
    <mergeCell ref="P14:Q14"/>
    <mergeCell ref="R14:T14"/>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9:B9"/>
    <mergeCell ref="C9:F9"/>
    <mergeCell ref="P9:Q9"/>
    <mergeCell ref="R9:T9"/>
    <mergeCell ref="U9:X9"/>
    <mergeCell ref="Y9:AB9"/>
    <mergeCell ref="A10:B10"/>
    <mergeCell ref="C10:F10"/>
    <mergeCell ref="P10:Q10"/>
    <mergeCell ref="R10:T10"/>
    <mergeCell ref="U10:X10"/>
    <mergeCell ref="Y10:AB10"/>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80" ht="38.25">
      <c r="A1" s="884" t="s">
        <v>336</v>
      </c>
      <c r="B1" s="884"/>
      <c r="C1" s="884"/>
      <c r="D1" s="884"/>
      <c r="E1" s="884"/>
      <c r="F1" s="884"/>
      <c r="G1" s="884"/>
      <c r="H1" s="884"/>
      <c r="I1" s="884"/>
      <c r="J1" s="884"/>
      <c r="K1" s="884"/>
      <c r="L1" s="884"/>
      <c r="M1" s="884"/>
      <c r="N1" s="884"/>
      <c r="O1" s="884"/>
      <c r="P1" s="884"/>
      <c r="Q1" s="884"/>
      <c r="R1" s="884"/>
      <c r="S1" s="884"/>
      <c r="T1" s="884"/>
      <c r="U1" s="884"/>
      <c r="V1" s="884"/>
      <c r="W1" s="884"/>
      <c r="X1" s="884"/>
      <c r="Y1" s="884"/>
      <c r="Z1" s="884"/>
      <c r="AA1" s="884"/>
      <c r="AB1" s="884"/>
      <c r="AC1" s="884"/>
      <c r="AD1" s="884"/>
      <c r="AE1" s="884"/>
      <c r="AF1" s="884"/>
      <c r="AG1" s="884"/>
      <c r="AH1" s="884"/>
      <c r="AI1" s="884"/>
      <c r="AJ1" s="884"/>
      <c r="AK1" s="884"/>
      <c r="AL1" s="884"/>
      <c r="AM1" s="884"/>
      <c r="AN1" s="884"/>
      <c r="AO1" s="884"/>
      <c r="AP1" s="884"/>
      <c r="AQ1" s="884"/>
      <c r="AR1" s="884"/>
      <c r="AS1" s="884"/>
      <c r="AT1" s="884"/>
      <c r="AU1" s="884"/>
      <c r="AV1" s="884"/>
      <c r="AW1" s="884"/>
      <c r="AX1" s="884"/>
      <c r="AY1" s="884"/>
      <c r="AZ1" s="884"/>
      <c r="BA1" s="884"/>
      <c r="BB1" s="884"/>
      <c r="BC1" s="884"/>
      <c r="BD1" s="884"/>
      <c r="BE1" s="54"/>
    </row>
    <row r="2" spans="1:80"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80" s="3" customFormat="1" ht="23.1" customHeight="1" thickTop="1">
      <c r="A3" s="59"/>
      <c r="B3" s="59"/>
      <c r="C3" s="59"/>
      <c r="D3" s="59"/>
      <c r="E3" s="59"/>
      <c r="F3" s="59"/>
      <c r="G3" s="59"/>
      <c r="H3" s="59"/>
      <c r="I3" s="59"/>
      <c r="J3" s="59"/>
      <c r="K3" s="59"/>
      <c r="L3" s="59"/>
      <c r="M3" s="59"/>
      <c r="N3" s="59"/>
      <c r="O3" s="59"/>
      <c r="P3" s="59"/>
      <c r="Q3" s="59"/>
      <c r="R3" s="933" t="s">
        <v>337</v>
      </c>
      <c r="S3" s="934"/>
      <c r="T3" s="934"/>
      <c r="U3" s="934"/>
      <c r="V3" s="934"/>
      <c r="W3" s="934"/>
      <c r="X3" s="934"/>
      <c r="Y3" s="934"/>
      <c r="Z3" s="934"/>
      <c r="AA3" s="934"/>
      <c r="AB3" s="935"/>
      <c r="AC3" s="59"/>
      <c r="AD3" s="59"/>
      <c r="AE3" s="59"/>
      <c r="AF3" s="939" t="s">
        <v>338</v>
      </c>
      <c r="AG3" s="940"/>
      <c r="AH3" s="940"/>
      <c r="AI3" s="940"/>
      <c r="AJ3" s="940"/>
      <c r="AK3" s="940"/>
      <c r="AL3" s="940"/>
      <c r="AM3" s="940"/>
      <c r="AN3" s="940"/>
      <c r="AO3" s="940"/>
      <c r="AP3" s="940"/>
      <c r="AQ3" s="940"/>
      <c r="AR3" s="940"/>
      <c r="AS3" s="940"/>
      <c r="AT3" s="940"/>
      <c r="AU3" s="940"/>
      <c r="AV3" s="940"/>
      <c r="AW3" s="940"/>
      <c r="AX3" s="940"/>
      <c r="AY3" s="940"/>
      <c r="AZ3" s="940"/>
      <c r="BA3" s="941"/>
      <c r="BB3" s="59"/>
      <c r="BC3" s="59"/>
      <c r="BD3" s="59"/>
    </row>
    <row r="4" spans="1:80" s="12" customFormat="1" ht="21" customHeight="1" thickBot="1">
      <c r="B4" s="11"/>
      <c r="C4" s="11"/>
      <c r="D4" s="11"/>
      <c r="E4" s="11"/>
      <c r="F4" s="11"/>
      <c r="G4" s="11"/>
      <c r="H4" s="11"/>
      <c r="I4" s="11"/>
      <c r="J4" s="11"/>
      <c r="K4" s="11"/>
      <c r="L4" s="11"/>
      <c r="M4" s="11"/>
      <c r="N4" s="11"/>
      <c r="O4" s="11"/>
      <c r="P4" s="11"/>
      <c r="Q4" s="11"/>
      <c r="R4" s="936"/>
      <c r="S4" s="937"/>
      <c r="T4" s="937"/>
      <c r="U4" s="937"/>
      <c r="V4" s="937"/>
      <c r="W4" s="937"/>
      <c r="X4" s="937"/>
      <c r="Y4" s="937"/>
      <c r="Z4" s="937"/>
      <c r="AA4" s="937"/>
      <c r="AB4" s="938"/>
      <c r="AD4" s="65"/>
      <c r="AF4" s="942"/>
      <c r="AG4" s="943"/>
      <c r="AH4" s="943"/>
      <c r="AI4" s="943"/>
      <c r="AJ4" s="943"/>
      <c r="AK4" s="943"/>
      <c r="AL4" s="943"/>
      <c r="AM4" s="943"/>
      <c r="AN4" s="943"/>
      <c r="AO4" s="943"/>
      <c r="AP4" s="943"/>
      <c r="AQ4" s="943"/>
      <c r="AR4" s="943"/>
      <c r="AS4" s="943"/>
      <c r="AT4" s="943"/>
      <c r="AU4" s="943"/>
      <c r="AV4" s="943"/>
      <c r="AW4" s="943"/>
      <c r="AX4" s="943"/>
      <c r="AY4" s="943"/>
      <c r="AZ4" s="943"/>
      <c r="BA4" s="944"/>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903" t="s">
        <v>314</v>
      </c>
      <c r="B6" s="907"/>
      <c r="C6" s="908" t="str">
        <f>LED計算式!M32</f>
        <v>試算エリア</v>
      </c>
      <c r="D6" s="909"/>
      <c r="E6" s="909"/>
      <c r="F6" s="910"/>
      <c r="G6" s="920" t="s">
        <v>315</v>
      </c>
      <c r="H6" s="920"/>
      <c r="I6" s="920"/>
      <c r="J6" s="920"/>
      <c r="K6" s="920"/>
      <c r="L6" s="921" t="s">
        <v>316</v>
      </c>
      <c r="M6" s="921"/>
      <c r="N6" s="921"/>
      <c r="O6" s="921"/>
      <c r="P6" s="902" t="s">
        <v>211</v>
      </c>
      <c r="Q6" s="902"/>
      <c r="R6" s="904" t="s">
        <v>117</v>
      </c>
      <c r="S6" s="904"/>
      <c r="T6" s="904"/>
      <c r="U6" s="905" t="s">
        <v>317</v>
      </c>
      <c r="V6" s="905"/>
      <c r="W6" s="905"/>
      <c r="X6" s="905"/>
      <c r="Y6" s="906" t="s">
        <v>318</v>
      </c>
      <c r="Z6" s="906"/>
      <c r="AA6" s="906"/>
      <c r="AB6" s="906"/>
      <c r="AD6" s="63"/>
      <c r="AF6" s="875" t="s">
        <v>319</v>
      </c>
      <c r="AG6" s="875"/>
      <c r="AH6" s="875"/>
      <c r="AI6" s="875"/>
      <c r="AJ6" s="875"/>
      <c r="AK6" s="875"/>
      <c r="AL6" s="875"/>
      <c r="AM6" s="875"/>
      <c r="AN6" s="875"/>
      <c r="AO6" s="875"/>
      <c r="AP6" s="875"/>
      <c r="AQ6" s="875"/>
      <c r="AR6" s="875"/>
      <c r="AS6" s="946">
        <f>Y39*120</f>
        <v>0</v>
      </c>
      <c r="AT6" s="947"/>
      <c r="AU6" s="947"/>
      <c r="AV6" s="947"/>
      <c r="AW6" s="947"/>
      <c r="AX6" s="947"/>
      <c r="AY6" s="947"/>
      <c r="AZ6" s="947"/>
      <c r="BA6" s="948"/>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5"/>
      <c r="AG7" s="875"/>
      <c r="AH7" s="875"/>
      <c r="AI7" s="875"/>
      <c r="AJ7" s="875"/>
      <c r="AK7" s="875"/>
      <c r="AL7" s="875"/>
      <c r="AM7" s="875"/>
      <c r="AN7" s="875"/>
      <c r="AO7" s="875"/>
      <c r="AP7" s="875"/>
      <c r="AQ7" s="875"/>
      <c r="AR7" s="875"/>
      <c r="AS7" s="949"/>
      <c r="AT7" s="950"/>
      <c r="AU7" s="950"/>
      <c r="AV7" s="950"/>
      <c r="AW7" s="950"/>
      <c r="AX7" s="950"/>
      <c r="AY7" s="950"/>
      <c r="AZ7" s="950"/>
      <c r="BA7" s="951"/>
    </row>
    <row r="8" spans="1:80" s="3" customFormat="1" ht="21" customHeight="1" thickTop="1">
      <c r="A8" s="911">
        <v>1</v>
      </c>
      <c r="B8" s="911"/>
      <c r="C8" s="912" t="str">
        <f>IF($C$6=☆入力!$B$15,☆入力!$B16,☆入力!$C16)</f>
        <v>あいえうお</v>
      </c>
      <c r="D8" s="912"/>
      <c r="E8" s="912"/>
      <c r="F8" s="912"/>
      <c r="G8" s="912">
        <f>☆入力!D16</f>
        <v>0</v>
      </c>
      <c r="H8" s="912"/>
      <c r="I8" s="912"/>
      <c r="J8" s="912"/>
      <c r="K8" s="912"/>
      <c r="L8" s="919">
        <f>☆入力!H16</f>
        <v>0</v>
      </c>
      <c r="M8" s="919"/>
      <c r="N8" s="919"/>
      <c r="O8" s="919"/>
      <c r="P8" s="879">
        <f>☆入力!L16</f>
        <v>0</v>
      </c>
      <c r="Q8" s="879"/>
      <c r="R8" s="881">
        <f>☆入力!AA16</f>
        <v>0</v>
      </c>
      <c r="S8" s="881"/>
      <c r="T8" s="881"/>
      <c r="U8" s="882">
        <f>☆入力!AB16</f>
        <v>0</v>
      </c>
      <c r="V8" s="882"/>
      <c r="W8" s="882"/>
      <c r="X8" s="882"/>
      <c r="Y8" s="883">
        <f>☆入力!AC16</f>
        <v>0</v>
      </c>
      <c r="Z8" s="883"/>
      <c r="AA8" s="883"/>
      <c r="AB8" s="883"/>
      <c r="AD8" s="62"/>
      <c r="AF8" s="52"/>
      <c r="AG8" s="66" t="s">
        <v>320</v>
      </c>
      <c r="AH8" s="66"/>
      <c r="AI8" s="66"/>
      <c r="AJ8" s="66"/>
      <c r="AK8" s="66"/>
      <c r="AL8" s="66"/>
      <c r="AM8" s="66"/>
      <c r="AO8" s="918">
        <f>Y39</f>
        <v>0</v>
      </c>
      <c r="AP8" s="918"/>
      <c r="AQ8" s="918"/>
      <c r="AR8" s="918"/>
      <c r="AS8" s="66" t="s">
        <v>321</v>
      </c>
      <c r="AT8" s="66"/>
      <c r="AU8" s="66"/>
      <c r="AV8" s="66"/>
      <c r="AW8" s="66"/>
      <c r="AX8" s="66"/>
      <c r="AY8" s="66"/>
      <c r="AZ8" s="66"/>
      <c r="BA8" s="66"/>
    </row>
    <row r="9" spans="1:80" s="3" customFormat="1" ht="21" customHeight="1">
      <c r="A9" s="913">
        <v>2</v>
      </c>
      <c r="B9" s="913"/>
      <c r="C9" s="914" t="str">
        <f>IF($C$6=☆入力!$B$15,☆入力!$B17,☆入力!$C17)</f>
        <v>あいえうお</v>
      </c>
      <c r="D9" s="915"/>
      <c r="E9" s="915"/>
      <c r="F9" s="916"/>
      <c r="G9" s="917">
        <f>☆入力!D17</f>
        <v>0</v>
      </c>
      <c r="H9" s="917"/>
      <c r="I9" s="917"/>
      <c r="J9" s="917"/>
      <c r="K9" s="917"/>
      <c r="L9" s="867">
        <f>☆入力!H17</f>
        <v>0</v>
      </c>
      <c r="M9" s="867"/>
      <c r="N9" s="867"/>
      <c r="O9" s="867"/>
      <c r="P9" s="865">
        <f>☆入力!L17</f>
        <v>0</v>
      </c>
      <c r="Q9" s="865"/>
      <c r="R9" s="878">
        <f>☆入力!AA17</f>
        <v>0</v>
      </c>
      <c r="S9" s="878"/>
      <c r="T9" s="878"/>
      <c r="U9" s="877">
        <f>☆入力!AB17</f>
        <v>0</v>
      </c>
      <c r="V9" s="877"/>
      <c r="W9" s="877"/>
      <c r="X9" s="877"/>
      <c r="Y9" s="864">
        <f>☆入力!AC17</f>
        <v>0</v>
      </c>
      <c r="Z9" s="864"/>
      <c r="AA9" s="864"/>
      <c r="AB9" s="864"/>
      <c r="AD9" s="62"/>
      <c r="AS9" s="958" t="s">
        <v>322</v>
      </c>
      <c r="AT9" s="958"/>
      <c r="AU9" s="958"/>
      <c r="AV9" s="958"/>
      <c r="AW9" s="958"/>
      <c r="AX9" s="958"/>
      <c r="AY9" s="958"/>
      <c r="AZ9" s="958"/>
      <c r="BA9" s="958"/>
    </row>
    <row r="10" spans="1:80" s="3" customFormat="1" ht="21" customHeight="1">
      <c r="A10" s="913">
        <v>3</v>
      </c>
      <c r="B10" s="913"/>
      <c r="C10" s="914" t="str">
        <f>IF($C$6=☆入力!$B$15,☆入力!$B18,☆入力!$C18)</f>
        <v>あいえうお</v>
      </c>
      <c r="D10" s="915"/>
      <c r="E10" s="915"/>
      <c r="F10" s="916"/>
      <c r="G10" s="917">
        <f>☆入力!D18</f>
        <v>0</v>
      </c>
      <c r="H10" s="917"/>
      <c r="I10" s="917"/>
      <c r="J10" s="917"/>
      <c r="K10" s="917"/>
      <c r="L10" s="867">
        <f>☆入力!H18</f>
        <v>0</v>
      </c>
      <c r="M10" s="867"/>
      <c r="N10" s="867"/>
      <c r="O10" s="867"/>
      <c r="P10" s="865">
        <f>☆入力!L18</f>
        <v>0</v>
      </c>
      <c r="Q10" s="865"/>
      <c r="R10" s="878">
        <f>☆入力!AA18</f>
        <v>0</v>
      </c>
      <c r="S10" s="878"/>
      <c r="T10" s="878"/>
      <c r="U10" s="877">
        <f>☆入力!AB18</f>
        <v>0</v>
      </c>
      <c r="V10" s="877"/>
      <c r="W10" s="877"/>
      <c r="X10" s="877"/>
      <c r="Y10" s="864">
        <f>☆入力!AC18</f>
        <v>0</v>
      </c>
      <c r="Z10" s="864"/>
      <c r="AA10" s="864"/>
      <c r="AB10" s="864"/>
      <c r="AD10" s="62"/>
      <c r="AS10" s="958"/>
      <c r="AT10" s="958"/>
      <c r="AU10" s="958"/>
      <c r="AV10" s="958"/>
      <c r="AW10" s="958"/>
      <c r="AX10" s="958"/>
      <c r="AY10" s="958"/>
      <c r="AZ10" s="958"/>
      <c r="BA10" s="958"/>
      <c r="BF10" s="960" t="s">
        <v>339</v>
      </c>
      <c r="BG10" s="960"/>
      <c r="BH10" s="960"/>
      <c r="BI10" s="960"/>
      <c r="BJ10" s="960"/>
      <c r="BK10" s="960"/>
      <c r="BL10" s="960"/>
      <c r="BM10" s="960"/>
      <c r="BN10" s="960"/>
      <c r="BO10" s="960"/>
      <c r="BP10" s="960"/>
      <c r="BQ10" s="960"/>
      <c r="BR10" s="960"/>
      <c r="BS10" s="960"/>
      <c r="BT10" s="960"/>
      <c r="BU10" s="960"/>
      <c r="BV10" s="960"/>
      <c r="BW10" s="960"/>
      <c r="BX10" s="960"/>
      <c r="BY10" s="960"/>
      <c r="BZ10" s="960"/>
      <c r="CA10" s="960"/>
      <c r="CB10" s="960"/>
    </row>
    <row r="11" spans="1:80" s="3" customFormat="1" ht="21" customHeight="1">
      <c r="A11" s="913">
        <v>4</v>
      </c>
      <c r="B11" s="913"/>
      <c r="C11" s="914" t="str">
        <f>IF($C$6=☆入力!$B$15,☆入力!$B19,☆入力!$C19)</f>
        <v>あいえうお</v>
      </c>
      <c r="D11" s="915"/>
      <c r="E11" s="915"/>
      <c r="F11" s="916"/>
      <c r="G11" s="917">
        <f>☆入力!D19</f>
        <v>0</v>
      </c>
      <c r="H11" s="917"/>
      <c r="I11" s="917"/>
      <c r="J11" s="917"/>
      <c r="K11" s="917"/>
      <c r="L11" s="867">
        <f>☆入力!H19</f>
        <v>0</v>
      </c>
      <c r="M11" s="867"/>
      <c r="N11" s="867"/>
      <c r="O11" s="867"/>
      <c r="P11" s="865">
        <f>☆入力!L19</f>
        <v>0</v>
      </c>
      <c r="Q11" s="865"/>
      <c r="R11" s="878">
        <f>☆入力!AA19</f>
        <v>0</v>
      </c>
      <c r="S11" s="878"/>
      <c r="T11" s="878"/>
      <c r="U11" s="877">
        <f>☆入力!AB19</f>
        <v>0</v>
      </c>
      <c r="V11" s="877"/>
      <c r="W11" s="877"/>
      <c r="X11" s="877"/>
      <c r="Y11" s="864">
        <f>☆入力!AC19</f>
        <v>0</v>
      </c>
      <c r="Z11" s="864"/>
      <c r="AA11" s="864"/>
      <c r="AB11" s="864"/>
      <c r="AD11" s="62"/>
      <c r="AF11" s="875" t="s">
        <v>340</v>
      </c>
      <c r="AG11" s="875"/>
      <c r="AH11" s="875"/>
      <c r="AI11" s="875"/>
      <c r="AJ11" s="875"/>
      <c r="AK11" s="875"/>
      <c r="AL11" s="875"/>
      <c r="AM11" s="875"/>
      <c r="AN11" s="875"/>
      <c r="AO11" s="875"/>
      <c r="AP11" s="875"/>
      <c r="AQ11" s="875"/>
      <c r="AR11" s="875"/>
      <c r="AS11" s="875"/>
      <c r="AT11" s="875"/>
      <c r="AU11" s="875"/>
      <c r="AV11" s="875"/>
      <c r="AW11" s="875"/>
      <c r="AX11" s="875"/>
      <c r="AY11" s="875"/>
      <c r="AZ11" s="875"/>
      <c r="BA11" s="875"/>
      <c r="BF11" s="960"/>
      <c r="BG11" s="960"/>
      <c r="BH11" s="960"/>
      <c r="BI11" s="960"/>
      <c r="BJ11" s="960"/>
      <c r="BK11" s="960"/>
      <c r="BL11" s="960"/>
      <c r="BM11" s="960"/>
      <c r="BN11" s="960"/>
      <c r="BO11" s="960"/>
      <c r="BP11" s="960"/>
      <c r="BQ11" s="960"/>
      <c r="BR11" s="960"/>
      <c r="BS11" s="960"/>
      <c r="BT11" s="960"/>
      <c r="BU11" s="960"/>
      <c r="BV11" s="960"/>
      <c r="BW11" s="960"/>
      <c r="BX11" s="960"/>
      <c r="BY11" s="960"/>
      <c r="BZ11" s="960"/>
      <c r="CA11" s="960"/>
      <c r="CB11" s="960"/>
    </row>
    <row r="12" spans="1:80" s="3" customFormat="1" ht="21" customHeight="1" thickBot="1">
      <c r="A12" s="913">
        <v>5</v>
      </c>
      <c r="B12" s="913"/>
      <c r="C12" s="914" t="str">
        <f>IF($C$6=☆入力!$B$15,☆入力!$B20,☆入力!$C20)</f>
        <v>あいえうお</v>
      </c>
      <c r="D12" s="915"/>
      <c r="E12" s="915"/>
      <c r="F12" s="916"/>
      <c r="G12" s="917">
        <f>☆入力!D20</f>
        <v>0</v>
      </c>
      <c r="H12" s="917"/>
      <c r="I12" s="917"/>
      <c r="J12" s="917"/>
      <c r="K12" s="917"/>
      <c r="L12" s="867">
        <f>☆入力!H20</f>
        <v>0</v>
      </c>
      <c r="M12" s="867"/>
      <c r="N12" s="867"/>
      <c r="O12" s="867"/>
      <c r="P12" s="865">
        <f>☆入力!L20</f>
        <v>0</v>
      </c>
      <c r="Q12" s="865"/>
      <c r="R12" s="878">
        <f>☆入力!AA20</f>
        <v>0</v>
      </c>
      <c r="S12" s="878"/>
      <c r="T12" s="878"/>
      <c r="U12" s="877">
        <f>☆入力!AB20</f>
        <v>0</v>
      </c>
      <c r="V12" s="877"/>
      <c r="W12" s="877"/>
      <c r="X12" s="877"/>
      <c r="Y12" s="864">
        <f>☆入力!AC20</f>
        <v>0</v>
      </c>
      <c r="Z12" s="864"/>
      <c r="AA12" s="864"/>
      <c r="AB12" s="864"/>
      <c r="AD12" s="62"/>
      <c r="AF12" s="875"/>
      <c r="AG12" s="875"/>
      <c r="AH12" s="875"/>
      <c r="AI12" s="875"/>
      <c r="AJ12" s="875"/>
      <c r="AK12" s="875"/>
      <c r="AL12" s="875"/>
      <c r="AM12" s="875"/>
      <c r="AN12" s="875"/>
      <c r="AO12" s="875"/>
      <c r="AP12" s="875"/>
      <c r="AQ12" s="875"/>
      <c r="AR12" s="875"/>
      <c r="AS12" s="875"/>
      <c r="AT12" s="875"/>
      <c r="AU12" s="875"/>
      <c r="AV12" s="875"/>
      <c r="AW12" s="875"/>
      <c r="AX12" s="875"/>
      <c r="AY12" s="875"/>
      <c r="AZ12" s="875"/>
      <c r="BA12" s="875"/>
    </row>
    <row r="13" spans="1:80" s="3" customFormat="1" ht="21" customHeight="1" thickTop="1">
      <c r="A13" s="913">
        <v>6</v>
      </c>
      <c r="B13" s="913"/>
      <c r="C13" s="914" t="str">
        <f>IF($C$6=☆入力!$B$15,☆入力!$B21,☆入力!$C21)</f>
        <v>あいえうお</v>
      </c>
      <c r="D13" s="915"/>
      <c r="E13" s="915"/>
      <c r="F13" s="916"/>
      <c r="G13" s="917">
        <f>☆入力!D21</f>
        <v>0</v>
      </c>
      <c r="H13" s="917"/>
      <c r="I13" s="917"/>
      <c r="J13" s="917"/>
      <c r="K13" s="917"/>
      <c r="L13" s="867">
        <f>☆入力!H21</f>
        <v>0</v>
      </c>
      <c r="M13" s="867"/>
      <c r="N13" s="867"/>
      <c r="O13" s="867"/>
      <c r="P13" s="865">
        <f>☆入力!L21</f>
        <v>0</v>
      </c>
      <c r="Q13" s="865"/>
      <c r="R13" s="878">
        <f>☆入力!AA21</f>
        <v>0</v>
      </c>
      <c r="S13" s="878"/>
      <c r="T13" s="878"/>
      <c r="U13" s="877">
        <f>☆入力!AB21</f>
        <v>0</v>
      </c>
      <c r="V13" s="877"/>
      <c r="W13" s="877"/>
      <c r="X13" s="877"/>
      <c r="Y13" s="864">
        <f>☆入力!AC21</f>
        <v>0</v>
      </c>
      <c r="Z13" s="864"/>
      <c r="AA13" s="864"/>
      <c r="AB13" s="864"/>
      <c r="AD13" s="62"/>
      <c r="AS13" s="946">
        <f>AN16*3000*1</f>
        <v>0</v>
      </c>
      <c r="AT13" s="947"/>
      <c r="AU13" s="947"/>
      <c r="AV13" s="947"/>
      <c r="AW13" s="947"/>
      <c r="AX13" s="947"/>
      <c r="AY13" s="947"/>
      <c r="AZ13" s="947"/>
      <c r="BA13" s="948"/>
    </row>
    <row r="14" spans="1:80" s="3" customFormat="1" ht="21" customHeight="1" thickBot="1">
      <c r="A14" s="913">
        <v>7</v>
      </c>
      <c r="B14" s="913"/>
      <c r="C14" s="914">
        <f>IF($C$6=☆入力!$B$15,☆入力!$B22,☆入力!$C22)</f>
        <v>0</v>
      </c>
      <c r="D14" s="915"/>
      <c r="E14" s="915"/>
      <c r="F14" s="916"/>
      <c r="G14" s="917">
        <f>☆入力!D22</f>
        <v>0</v>
      </c>
      <c r="H14" s="917"/>
      <c r="I14" s="917"/>
      <c r="J14" s="917"/>
      <c r="K14" s="917"/>
      <c r="L14" s="867">
        <f>☆入力!H22</f>
        <v>0</v>
      </c>
      <c r="M14" s="867"/>
      <c r="N14" s="867"/>
      <c r="O14" s="867"/>
      <c r="P14" s="865">
        <f>☆入力!L22</f>
        <v>0</v>
      </c>
      <c r="Q14" s="865"/>
      <c r="R14" s="878">
        <f>☆入力!AA22</f>
        <v>0</v>
      </c>
      <c r="S14" s="878"/>
      <c r="T14" s="878"/>
      <c r="U14" s="877">
        <f>☆入力!AB22</f>
        <v>0</v>
      </c>
      <c r="V14" s="877"/>
      <c r="W14" s="877"/>
      <c r="X14" s="877"/>
      <c r="Y14" s="864">
        <f>☆入力!AC22</f>
        <v>0</v>
      </c>
      <c r="Z14" s="864"/>
      <c r="AA14" s="864"/>
      <c r="AB14" s="864"/>
      <c r="AD14" s="62"/>
      <c r="AS14" s="949"/>
      <c r="AT14" s="950"/>
      <c r="AU14" s="950"/>
      <c r="AV14" s="950"/>
      <c r="AW14" s="950"/>
      <c r="AX14" s="950"/>
      <c r="AY14" s="950"/>
      <c r="AZ14" s="950"/>
      <c r="BA14" s="951"/>
    </row>
    <row r="15" spans="1:80" s="3" customFormat="1" ht="21" customHeight="1" thickTop="1">
      <c r="A15" s="913">
        <v>8</v>
      </c>
      <c r="B15" s="913"/>
      <c r="C15" s="914">
        <f>IF($C$6=☆入力!$B$15,☆入力!$B23,☆入力!$C23)</f>
        <v>0</v>
      </c>
      <c r="D15" s="915"/>
      <c r="E15" s="915"/>
      <c r="F15" s="916"/>
      <c r="G15" s="917">
        <f>☆入力!D23</f>
        <v>0</v>
      </c>
      <c r="H15" s="917"/>
      <c r="I15" s="917"/>
      <c r="J15" s="917"/>
      <c r="K15" s="917"/>
      <c r="L15" s="867">
        <f>☆入力!H23</f>
        <v>0</v>
      </c>
      <c r="M15" s="867"/>
      <c r="N15" s="867"/>
      <c r="O15" s="867"/>
      <c r="P15" s="865">
        <f>☆入力!L23</f>
        <v>0</v>
      </c>
      <c r="Q15" s="865"/>
      <c r="R15" s="878">
        <f>☆入力!AA23</f>
        <v>0</v>
      </c>
      <c r="S15" s="878"/>
      <c r="T15" s="878"/>
      <c r="U15" s="877">
        <f>☆入力!AB23</f>
        <v>0</v>
      </c>
      <c r="V15" s="877"/>
      <c r="W15" s="877"/>
      <c r="X15" s="877"/>
      <c r="Y15" s="864">
        <f>☆入力!AC23</f>
        <v>0</v>
      </c>
      <c r="Z15" s="864"/>
      <c r="AA15" s="864"/>
      <c r="AB15" s="864"/>
      <c r="AD15" s="62"/>
      <c r="AG15" s="258" t="s">
        <v>324</v>
      </c>
      <c r="AH15" s="258"/>
      <c r="AI15" s="258"/>
      <c r="AJ15" s="258"/>
      <c r="AK15" s="258"/>
      <c r="AL15" s="258"/>
      <c r="AM15" s="259"/>
      <c r="AN15" s="959">
        <f>LED計算式!N16</f>
        <v>0</v>
      </c>
      <c r="AO15" s="959"/>
      <c r="AP15" s="959"/>
      <c r="AQ15" s="258" t="str">
        <f>"× "&amp;TEXT(☆入力!AR9,"#,#00")&amp;"円（※1）× 0回（※2）"</f>
        <v>× 2,000円（※1）× 0回（※2）</v>
      </c>
      <c r="AR15" s="259"/>
      <c r="AS15" s="258"/>
      <c r="AT15" s="258"/>
      <c r="AU15" s="258"/>
      <c r="AV15" s="258"/>
      <c r="AW15" s="258"/>
      <c r="AX15" s="258"/>
      <c r="AY15" s="258"/>
      <c r="AZ15" s="258"/>
      <c r="BA15" s="66"/>
    </row>
    <row r="16" spans="1:80" s="3" customFormat="1" ht="21" customHeight="1">
      <c r="A16" s="913">
        <v>9</v>
      </c>
      <c r="B16" s="913"/>
      <c r="C16" s="914">
        <f>IF($C$6=☆入力!$B$15,☆入力!$B24,☆入力!$C24)</f>
        <v>0</v>
      </c>
      <c r="D16" s="915"/>
      <c r="E16" s="915"/>
      <c r="F16" s="916"/>
      <c r="G16" s="917">
        <f>☆入力!D24</f>
        <v>0</v>
      </c>
      <c r="H16" s="917"/>
      <c r="I16" s="917"/>
      <c r="J16" s="917"/>
      <c r="K16" s="917"/>
      <c r="L16" s="867">
        <f>☆入力!H24</f>
        <v>0</v>
      </c>
      <c r="M16" s="867"/>
      <c r="N16" s="867"/>
      <c r="O16" s="867"/>
      <c r="P16" s="865">
        <f>☆入力!L24</f>
        <v>0</v>
      </c>
      <c r="Q16" s="865"/>
      <c r="R16" s="878">
        <f>☆入力!AA24</f>
        <v>0</v>
      </c>
      <c r="S16" s="878"/>
      <c r="T16" s="878"/>
      <c r="U16" s="877">
        <f>☆入力!AB24</f>
        <v>0</v>
      </c>
      <c r="V16" s="877"/>
      <c r="W16" s="877"/>
      <c r="X16" s="877"/>
      <c r="Y16" s="864">
        <f>☆入力!AC24</f>
        <v>0</v>
      </c>
      <c r="Z16" s="864"/>
      <c r="AA16" s="864"/>
      <c r="AB16" s="864"/>
      <c r="AD16" s="62"/>
      <c r="AG16" s="66" t="s">
        <v>325</v>
      </c>
      <c r="AN16" s="868">
        <f>LED計算式!N17</f>
        <v>0</v>
      </c>
      <c r="AO16" s="868"/>
      <c r="AP16" s="868"/>
      <c r="AQ16" s="66" t="s">
        <v>341</v>
      </c>
      <c r="AS16" s="66"/>
      <c r="AT16" s="66"/>
      <c r="AU16" s="66"/>
      <c r="AV16" s="66"/>
      <c r="AW16" s="66"/>
      <c r="AX16" s="66"/>
      <c r="AY16" s="66"/>
    </row>
    <row r="17" spans="1:53" s="3" customFormat="1" ht="21" customHeight="1">
      <c r="A17" s="913">
        <v>10</v>
      </c>
      <c r="B17" s="913"/>
      <c r="C17" s="914">
        <f>IF($C$6=☆入力!$B$15,☆入力!$B25,☆入力!$C25)</f>
        <v>0</v>
      </c>
      <c r="D17" s="915"/>
      <c r="E17" s="915"/>
      <c r="F17" s="916"/>
      <c r="G17" s="917">
        <f>☆入力!D25</f>
        <v>0</v>
      </c>
      <c r="H17" s="917"/>
      <c r="I17" s="917"/>
      <c r="J17" s="917"/>
      <c r="K17" s="917"/>
      <c r="L17" s="867">
        <f>☆入力!H25</f>
        <v>0</v>
      </c>
      <c r="M17" s="867"/>
      <c r="N17" s="867"/>
      <c r="O17" s="867"/>
      <c r="P17" s="865">
        <f>☆入力!L25</f>
        <v>0</v>
      </c>
      <c r="Q17" s="865"/>
      <c r="R17" s="878">
        <f>☆入力!AA25</f>
        <v>0</v>
      </c>
      <c r="S17" s="878"/>
      <c r="T17" s="878"/>
      <c r="U17" s="877">
        <f>☆入力!AB25</f>
        <v>0</v>
      </c>
      <c r="V17" s="877"/>
      <c r="W17" s="877"/>
      <c r="X17" s="877"/>
      <c r="Y17" s="864">
        <f>☆入力!AC25</f>
        <v>0</v>
      </c>
      <c r="Z17" s="864"/>
      <c r="AA17" s="864"/>
      <c r="AB17" s="864"/>
      <c r="AD17" s="62"/>
      <c r="AG17" s="1" t="s">
        <v>342</v>
      </c>
    </row>
    <row r="18" spans="1:53" s="3" customFormat="1" ht="21" customHeight="1">
      <c r="A18" s="913">
        <v>11</v>
      </c>
      <c r="B18" s="913"/>
      <c r="C18" s="914">
        <f>IF($C$6=☆入力!$B$15,☆入力!$B26,☆入力!$C26)</f>
        <v>0</v>
      </c>
      <c r="D18" s="915"/>
      <c r="E18" s="915"/>
      <c r="F18" s="916"/>
      <c r="G18" s="917">
        <f>☆入力!D26</f>
        <v>0</v>
      </c>
      <c r="H18" s="917"/>
      <c r="I18" s="917"/>
      <c r="J18" s="917"/>
      <c r="K18" s="917"/>
      <c r="L18" s="867">
        <f>☆入力!H26</f>
        <v>0</v>
      </c>
      <c r="M18" s="867"/>
      <c r="N18" s="867"/>
      <c r="O18" s="867"/>
      <c r="P18" s="865">
        <f>☆入力!L26</f>
        <v>0</v>
      </c>
      <c r="Q18" s="865"/>
      <c r="R18" s="878">
        <f>☆入力!AA26</f>
        <v>0</v>
      </c>
      <c r="S18" s="878"/>
      <c r="T18" s="878"/>
      <c r="U18" s="877">
        <f>☆入力!AB26</f>
        <v>0</v>
      </c>
      <c r="V18" s="877"/>
      <c r="W18" s="877"/>
      <c r="X18" s="877"/>
      <c r="Y18" s="864">
        <f>☆入力!AC26</f>
        <v>0</v>
      </c>
      <c r="Z18" s="864"/>
      <c r="AA18" s="864"/>
      <c r="AB18" s="864"/>
      <c r="AD18" s="62"/>
      <c r="AG18" s="1" t="s">
        <v>343</v>
      </c>
    </row>
    <row r="19" spans="1:53" s="3" customFormat="1" ht="21" customHeight="1">
      <c r="A19" s="913">
        <v>12</v>
      </c>
      <c r="B19" s="913"/>
      <c r="C19" s="914">
        <f>IF($C$6=☆入力!$B$15,☆入力!$B27,☆入力!$C27)</f>
        <v>0</v>
      </c>
      <c r="D19" s="915"/>
      <c r="E19" s="915"/>
      <c r="F19" s="916"/>
      <c r="G19" s="917">
        <f>☆入力!D27</f>
        <v>0</v>
      </c>
      <c r="H19" s="917"/>
      <c r="I19" s="917"/>
      <c r="J19" s="917"/>
      <c r="K19" s="917"/>
      <c r="L19" s="867">
        <f>☆入力!H27</f>
        <v>0</v>
      </c>
      <c r="M19" s="867"/>
      <c r="N19" s="867"/>
      <c r="O19" s="867"/>
      <c r="P19" s="865">
        <f>☆入力!L27</f>
        <v>0</v>
      </c>
      <c r="Q19" s="865"/>
      <c r="R19" s="878">
        <f>☆入力!AA27</f>
        <v>0</v>
      </c>
      <c r="S19" s="878"/>
      <c r="T19" s="878"/>
      <c r="U19" s="877">
        <f>☆入力!AB27</f>
        <v>0</v>
      </c>
      <c r="V19" s="877"/>
      <c r="W19" s="877"/>
      <c r="X19" s="877"/>
      <c r="Y19" s="864">
        <f>☆入力!AC27</f>
        <v>0</v>
      </c>
      <c r="Z19" s="864"/>
      <c r="AA19" s="864"/>
      <c r="AB19" s="864"/>
      <c r="AD19" s="62"/>
      <c r="AG19" s="1"/>
      <c r="AT19" s="216"/>
      <c r="AU19" s="216"/>
      <c r="AV19" s="216"/>
      <c r="AW19" s="216"/>
      <c r="AX19" s="216"/>
      <c r="AY19" s="216"/>
      <c r="AZ19" s="216"/>
      <c r="BA19" s="216"/>
    </row>
    <row r="20" spans="1:53" s="3" customFormat="1" ht="21" customHeight="1">
      <c r="A20" s="913">
        <v>13</v>
      </c>
      <c r="B20" s="913"/>
      <c r="C20" s="914">
        <f>IF($C$6=☆入力!$B$15,☆入力!$B28,☆入力!$C28)</f>
        <v>0</v>
      </c>
      <c r="D20" s="915"/>
      <c r="E20" s="915"/>
      <c r="F20" s="916"/>
      <c r="G20" s="917">
        <f>☆入力!D28</f>
        <v>0</v>
      </c>
      <c r="H20" s="917"/>
      <c r="I20" s="917"/>
      <c r="J20" s="917"/>
      <c r="K20" s="917"/>
      <c r="L20" s="867">
        <f>☆入力!H28</f>
        <v>0</v>
      </c>
      <c r="M20" s="867"/>
      <c r="N20" s="867"/>
      <c r="O20" s="867"/>
      <c r="P20" s="865">
        <f>☆入力!L28</f>
        <v>0</v>
      </c>
      <c r="Q20" s="865"/>
      <c r="R20" s="878">
        <f>☆入力!AA28</f>
        <v>0</v>
      </c>
      <c r="S20" s="878"/>
      <c r="T20" s="878"/>
      <c r="U20" s="877">
        <f>☆入力!AB28</f>
        <v>0</v>
      </c>
      <c r="V20" s="877"/>
      <c r="W20" s="877"/>
      <c r="X20" s="877"/>
      <c r="Y20" s="864">
        <f>☆入力!AC28</f>
        <v>0</v>
      </c>
      <c r="Z20" s="864"/>
      <c r="AA20" s="864"/>
      <c r="AB20" s="864"/>
      <c r="AD20" s="62"/>
      <c r="AS20" s="945" t="s">
        <v>322</v>
      </c>
      <c r="AT20" s="945"/>
      <c r="AU20" s="945"/>
      <c r="AV20" s="945"/>
      <c r="AW20" s="945"/>
      <c r="AX20" s="945"/>
      <c r="AY20" s="945"/>
      <c r="AZ20" s="945"/>
      <c r="BA20" s="945"/>
    </row>
    <row r="21" spans="1:53" s="3" customFormat="1" ht="21" customHeight="1">
      <c r="A21" s="913">
        <v>14</v>
      </c>
      <c r="B21" s="913"/>
      <c r="C21" s="914">
        <f>IF($C$6=☆入力!$B$15,☆入力!$B29,☆入力!$C29)</f>
        <v>0</v>
      </c>
      <c r="D21" s="915"/>
      <c r="E21" s="915"/>
      <c r="F21" s="916"/>
      <c r="G21" s="917">
        <f>☆入力!D29</f>
        <v>0</v>
      </c>
      <c r="H21" s="917"/>
      <c r="I21" s="917"/>
      <c r="J21" s="917"/>
      <c r="K21" s="917"/>
      <c r="L21" s="867">
        <f>☆入力!H29</f>
        <v>0</v>
      </c>
      <c r="M21" s="867"/>
      <c r="N21" s="867"/>
      <c r="O21" s="867"/>
      <c r="P21" s="865">
        <f>☆入力!L29</f>
        <v>0</v>
      </c>
      <c r="Q21" s="865"/>
      <c r="R21" s="878">
        <f>☆入力!AA29</f>
        <v>0</v>
      </c>
      <c r="S21" s="878"/>
      <c r="T21" s="878"/>
      <c r="U21" s="877">
        <f>☆入力!AB29</f>
        <v>0</v>
      </c>
      <c r="V21" s="877"/>
      <c r="W21" s="877"/>
      <c r="X21" s="877"/>
      <c r="Y21" s="864">
        <f>☆入力!AC29</f>
        <v>0</v>
      </c>
      <c r="Z21" s="864"/>
      <c r="AA21" s="864"/>
      <c r="AB21" s="864"/>
      <c r="AD21" s="62"/>
      <c r="AG21" s="79"/>
      <c r="AH21" s="79"/>
      <c r="AI21" s="79"/>
      <c r="AJ21" s="79"/>
      <c r="AK21" s="79"/>
      <c r="AL21" s="79"/>
      <c r="AM21" s="79"/>
      <c r="AN21" s="79"/>
      <c r="AO21" s="79"/>
      <c r="AP21" s="79"/>
      <c r="AQ21" s="79"/>
      <c r="AR21" s="79"/>
      <c r="AS21" s="945"/>
      <c r="AT21" s="945"/>
      <c r="AU21" s="945"/>
      <c r="AV21" s="945"/>
      <c r="AW21" s="945"/>
      <c r="AX21" s="945"/>
      <c r="AY21" s="945"/>
      <c r="AZ21" s="945"/>
      <c r="BA21" s="945"/>
    </row>
    <row r="22" spans="1:53" s="3" customFormat="1" ht="21" customHeight="1">
      <c r="A22" s="913">
        <v>15</v>
      </c>
      <c r="B22" s="913"/>
      <c r="C22" s="914">
        <f>IF($C$6=☆入力!$B$15,☆入力!$B30,☆入力!$C30)</f>
        <v>0</v>
      </c>
      <c r="D22" s="915"/>
      <c r="E22" s="915"/>
      <c r="F22" s="916"/>
      <c r="G22" s="917">
        <f>☆入力!D30</f>
        <v>0</v>
      </c>
      <c r="H22" s="917"/>
      <c r="I22" s="917"/>
      <c r="J22" s="917"/>
      <c r="K22" s="917"/>
      <c r="L22" s="867">
        <f>☆入力!H30</f>
        <v>0</v>
      </c>
      <c r="M22" s="867"/>
      <c r="N22" s="867"/>
      <c r="O22" s="867"/>
      <c r="P22" s="865">
        <f>☆入力!L30</f>
        <v>0</v>
      </c>
      <c r="Q22" s="865"/>
      <c r="R22" s="878">
        <f>☆入力!AA30</f>
        <v>0</v>
      </c>
      <c r="S22" s="878"/>
      <c r="T22" s="878"/>
      <c r="U22" s="877">
        <f>☆入力!AB30</f>
        <v>0</v>
      </c>
      <c r="V22" s="877"/>
      <c r="W22" s="877"/>
      <c r="X22" s="877"/>
      <c r="Y22" s="864">
        <f>☆入力!AC30</f>
        <v>0</v>
      </c>
      <c r="Z22" s="864"/>
      <c r="AA22" s="864"/>
      <c r="AB22" s="864"/>
      <c r="AD22" s="62"/>
      <c r="AF22" s="875" t="s">
        <v>328</v>
      </c>
      <c r="AG22" s="875"/>
      <c r="AH22" s="875"/>
      <c r="AI22" s="875"/>
      <c r="AJ22" s="875"/>
      <c r="AK22" s="875"/>
      <c r="AL22" s="875"/>
      <c r="AM22" s="875"/>
      <c r="AN22" s="875"/>
      <c r="AO22" s="875"/>
      <c r="AP22" s="875"/>
      <c r="AQ22" s="875"/>
      <c r="AR22" s="875"/>
      <c r="AS22" s="875"/>
      <c r="AT22" s="875"/>
      <c r="AU22" s="875"/>
      <c r="AV22" s="875"/>
      <c r="AW22" s="875"/>
      <c r="AX22" s="875"/>
      <c r="AY22" s="875"/>
      <c r="AZ22" s="875"/>
      <c r="BA22" s="875"/>
    </row>
    <row r="23" spans="1:53" s="3" customFormat="1" ht="21" customHeight="1" thickBot="1">
      <c r="A23" s="913">
        <v>16</v>
      </c>
      <c r="B23" s="913"/>
      <c r="C23" s="914">
        <f>IF($C$6=☆入力!$B$15,☆入力!$B31,☆入力!$C31)</f>
        <v>0</v>
      </c>
      <c r="D23" s="915"/>
      <c r="E23" s="915"/>
      <c r="F23" s="916"/>
      <c r="G23" s="917">
        <f>☆入力!D31</f>
        <v>0</v>
      </c>
      <c r="H23" s="917"/>
      <c r="I23" s="917"/>
      <c r="J23" s="917"/>
      <c r="K23" s="917"/>
      <c r="L23" s="867">
        <f>☆入力!H31</f>
        <v>0</v>
      </c>
      <c r="M23" s="867"/>
      <c r="N23" s="867"/>
      <c r="O23" s="867"/>
      <c r="P23" s="865">
        <f>☆入力!L31</f>
        <v>0</v>
      </c>
      <c r="Q23" s="865"/>
      <c r="R23" s="878">
        <f>☆入力!AA31</f>
        <v>0</v>
      </c>
      <c r="S23" s="878"/>
      <c r="T23" s="878"/>
      <c r="U23" s="877">
        <f>☆入力!AB31</f>
        <v>0</v>
      </c>
      <c r="V23" s="877"/>
      <c r="W23" s="877"/>
      <c r="X23" s="877"/>
      <c r="Y23" s="864">
        <f>☆入力!AC31</f>
        <v>0</v>
      </c>
      <c r="Z23" s="864"/>
      <c r="AA23" s="864"/>
      <c r="AB23" s="864"/>
      <c r="AD23" s="62"/>
      <c r="AF23" s="875"/>
      <c r="AG23" s="875"/>
      <c r="AH23" s="875"/>
      <c r="AI23" s="875"/>
      <c r="AJ23" s="875"/>
      <c r="AK23" s="875"/>
      <c r="AL23" s="875"/>
      <c r="AM23" s="875"/>
      <c r="AN23" s="875"/>
      <c r="AO23" s="875"/>
      <c r="AP23" s="875"/>
      <c r="AQ23" s="875"/>
      <c r="AR23" s="875"/>
      <c r="AS23" s="875"/>
      <c r="AT23" s="875"/>
      <c r="AU23" s="875"/>
      <c r="AV23" s="875"/>
      <c r="AW23" s="875"/>
      <c r="AX23" s="875"/>
      <c r="AY23" s="875"/>
      <c r="AZ23" s="875"/>
      <c r="BA23" s="875"/>
    </row>
    <row r="24" spans="1:53" s="3" customFormat="1" ht="21" customHeight="1" thickTop="1">
      <c r="A24" s="913">
        <v>17</v>
      </c>
      <c r="B24" s="913"/>
      <c r="C24" s="914">
        <f>IF($C$6=☆入力!$B$15,☆入力!$B32,☆入力!$C32)</f>
        <v>0</v>
      </c>
      <c r="D24" s="915"/>
      <c r="E24" s="915"/>
      <c r="F24" s="916"/>
      <c r="G24" s="917">
        <f>☆入力!D32</f>
        <v>0</v>
      </c>
      <c r="H24" s="917"/>
      <c r="I24" s="917"/>
      <c r="J24" s="917"/>
      <c r="K24" s="917"/>
      <c r="L24" s="867">
        <f>☆入力!H32</f>
        <v>0</v>
      </c>
      <c r="M24" s="867"/>
      <c r="N24" s="867"/>
      <c r="O24" s="867"/>
      <c r="P24" s="865">
        <f>☆入力!L32</f>
        <v>0</v>
      </c>
      <c r="Q24" s="865"/>
      <c r="R24" s="878">
        <f>☆入力!AA32</f>
        <v>0</v>
      </c>
      <c r="S24" s="878"/>
      <c r="T24" s="878"/>
      <c r="U24" s="877">
        <f>☆入力!AB32</f>
        <v>0</v>
      </c>
      <c r="V24" s="877"/>
      <c r="W24" s="877"/>
      <c r="X24" s="877"/>
      <c r="Y24" s="864">
        <f>☆入力!AC32</f>
        <v>0</v>
      </c>
      <c r="Z24" s="864"/>
      <c r="AA24" s="864"/>
      <c r="AB24" s="864"/>
      <c r="AD24" s="62"/>
      <c r="AS24" s="946">
        <f>☆入力!L12*8000*2</f>
        <v>0</v>
      </c>
      <c r="AT24" s="947"/>
      <c r="AU24" s="947"/>
      <c r="AV24" s="947"/>
      <c r="AW24" s="947"/>
      <c r="AX24" s="947"/>
      <c r="AY24" s="947"/>
      <c r="AZ24" s="947"/>
      <c r="BA24" s="948"/>
    </row>
    <row r="25" spans="1:53" s="3" customFormat="1" ht="21" customHeight="1" thickBot="1">
      <c r="A25" s="913">
        <v>18</v>
      </c>
      <c r="B25" s="913"/>
      <c r="C25" s="914">
        <f>IF($C$6=☆入力!$B$15,☆入力!$B33,☆入力!$C33)</f>
        <v>0</v>
      </c>
      <c r="D25" s="915"/>
      <c r="E25" s="915"/>
      <c r="F25" s="916"/>
      <c r="G25" s="917">
        <f>☆入力!D33</f>
        <v>0</v>
      </c>
      <c r="H25" s="917"/>
      <c r="I25" s="917"/>
      <c r="J25" s="917"/>
      <c r="K25" s="917"/>
      <c r="L25" s="867">
        <f>☆入力!H33</f>
        <v>0</v>
      </c>
      <c r="M25" s="867"/>
      <c r="N25" s="867"/>
      <c r="O25" s="867"/>
      <c r="P25" s="865">
        <f>☆入力!L33</f>
        <v>0</v>
      </c>
      <c r="Q25" s="865"/>
      <c r="R25" s="878">
        <f>☆入力!AA33</f>
        <v>0</v>
      </c>
      <c r="S25" s="878"/>
      <c r="T25" s="878"/>
      <c r="U25" s="877">
        <f>☆入力!AB33</f>
        <v>0</v>
      </c>
      <c r="V25" s="877"/>
      <c r="W25" s="877"/>
      <c r="X25" s="877"/>
      <c r="Y25" s="864">
        <f>☆入力!AC33</f>
        <v>0</v>
      </c>
      <c r="Z25" s="864"/>
      <c r="AA25" s="864"/>
      <c r="AB25" s="864"/>
      <c r="AD25" s="62"/>
      <c r="AF25" s="52"/>
      <c r="AS25" s="949"/>
      <c r="AT25" s="950"/>
      <c r="AU25" s="950"/>
      <c r="AV25" s="950"/>
      <c r="AW25" s="950"/>
      <c r="AX25" s="950"/>
      <c r="AY25" s="950"/>
      <c r="AZ25" s="950"/>
      <c r="BA25" s="951"/>
    </row>
    <row r="26" spans="1:53" s="3" customFormat="1" ht="21" customHeight="1" thickTop="1">
      <c r="A26" s="913">
        <v>19</v>
      </c>
      <c r="B26" s="913"/>
      <c r="C26" s="914">
        <f>IF($C$6=☆入力!$B$15,☆入力!$B34,☆入力!$C34)</f>
        <v>0</v>
      </c>
      <c r="D26" s="915"/>
      <c r="E26" s="915"/>
      <c r="F26" s="916"/>
      <c r="G26" s="917">
        <f>☆入力!D34</f>
        <v>0</v>
      </c>
      <c r="H26" s="917"/>
      <c r="I26" s="917"/>
      <c r="J26" s="917"/>
      <c r="K26" s="917"/>
      <c r="L26" s="867">
        <f>☆入力!H34</f>
        <v>0</v>
      </c>
      <c r="M26" s="867"/>
      <c r="N26" s="867"/>
      <c r="O26" s="867"/>
      <c r="P26" s="865">
        <f>☆入力!L34</f>
        <v>0</v>
      </c>
      <c r="Q26" s="865"/>
      <c r="R26" s="878">
        <f>☆入力!AA34</f>
        <v>0</v>
      </c>
      <c r="S26" s="878"/>
      <c r="T26" s="878"/>
      <c r="U26" s="877">
        <f>☆入力!AB34</f>
        <v>0</v>
      </c>
      <c r="V26" s="877"/>
      <c r="W26" s="877"/>
      <c r="X26" s="877"/>
      <c r="Y26" s="864">
        <f>☆入力!AC34</f>
        <v>0</v>
      </c>
      <c r="Z26" s="864"/>
      <c r="AA26" s="864"/>
      <c r="AB26" s="864"/>
      <c r="AD26" s="62"/>
      <c r="AG26" s="66" t="s">
        <v>329</v>
      </c>
      <c r="AH26" s="66"/>
      <c r="AI26" s="66"/>
      <c r="AJ26" s="66"/>
      <c r="AK26" s="66"/>
      <c r="AL26" s="66"/>
      <c r="AM26" s="66"/>
      <c r="AO26" s="868">
        <f>☆入力!L12</f>
        <v>0</v>
      </c>
      <c r="AP26" s="868"/>
      <c r="AQ26" s="868"/>
      <c r="AR26" s="66" t="s">
        <v>344</v>
      </c>
      <c r="AS26" s="66"/>
      <c r="AT26" s="66"/>
      <c r="AU26" s="66"/>
      <c r="AV26" s="66"/>
      <c r="AW26" s="66"/>
      <c r="AX26" s="66"/>
      <c r="AY26" s="66"/>
      <c r="AZ26" s="66"/>
      <c r="BA26" s="66"/>
    </row>
    <row r="27" spans="1:53" s="3" customFormat="1" ht="21" customHeight="1">
      <c r="A27" s="913">
        <v>20</v>
      </c>
      <c r="B27" s="913"/>
      <c r="C27" s="914">
        <f>IF($C$6=☆入力!$B$15,☆入力!$B35,☆入力!$C35)</f>
        <v>0</v>
      </c>
      <c r="D27" s="915"/>
      <c r="E27" s="915"/>
      <c r="F27" s="916"/>
      <c r="G27" s="917">
        <f>☆入力!D35</f>
        <v>0</v>
      </c>
      <c r="H27" s="917"/>
      <c r="I27" s="917"/>
      <c r="J27" s="917"/>
      <c r="K27" s="917"/>
      <c r="L27" s="867">
        <f>☆入力!H35</f>
        <v>0</v>
      </c>
      <c r="M27" s="867"/>
      <c r="N27" s="867"/>
      <c r="O27" s="867"/>
      <c r="P27" s="865">
        <f>☆入力!L35</f>
        <v>0</v>
      </c>
      <c r="Q27" s="865"/>
      <c r="R27" s="878">
        <f>☆入力!AA35</f>
        <v>0</v>
      </c>
      <c r="S27" s="878"/>
      <c r="T27" s="878"/>
      <c r="U27" s="877">
        <f>☆入力!AB35</f>
        <v>0</v>
      </c>
      <c r="V27" s="877"/>
      <c r="W27" s="877"/>
      <c r="X27" s="877"/>
      <c r="Y27" s="864">
        <f>☆入力!AC35</f>
        <v>0</v>
      </c>
      <c r="Z27" s="864"/>
      <c r="AA27" s="864"/>
      <c r="AB27" s="864"/>
      <c r="AD27" s="62"/>
    </row>
    <row r="28" spans="1:53" s="3" customFormat="1" ht="21" customHeight="1">
      <c r="A28" s="913">
        <v>21</v>
      </c>
      <c r="B28" s="913"/>
      <c r="C28" s="914">
        <f>IF($C$6=☆入力!$B$15,☆入力!$B36,☆入力!$C36)</f>
        <v>0</v>
      </c>
      <c r="D28" s="915"/>
      <c r="E28" s="915"/>
      <c r="F28" s="916"/>
      <c r="G28" s="917">
        <f>☆入力!D36</f>
        <v>0</v>
      </c>
      <c r="H28" s="917"/>
      <c r="I28" s="917"/>
      <c r="J28" s="917"/>
      <c r="K28" s="917"/>
      <c r="L28" s="867">
        <f>☆入力!H36</f>
        <v>0</v>
      </c>
      <c r="M28" s="867"/>
      <c r="N28" s="867"/>
      <c r="O28" s="867"/>
      <c r="P28" s="865">
        <f>☆入力!L36</f>
        <v>0</v>
      </c>
      <c r="Q28" s="865"/>
      <c r="R28" s="878">
        <f>☆入力!AA36</f>
        <v>0</v>
      </c>
      <c r="S28" s="878"/>
      <c r="T28" s="878"/>
      <c r="U28" s="877">
        <f>☆入力!AB36</f>
        <v>0</v>
      </c>
      <c r="V28" s="877"/>
      <c r="W28" s="877"/>
      <c r="X28" s="877"/>
      <c r="Y28" s="864">
        <f>☆入力!AC36</f>
        <v>0</v>
      </c>
      <c r="Z28" s="864"/>
      <c r="AA28" s="864"/>
      <c r="AB28" s="864"/>
      <c r="AD28" s="62"/>
      <c r="AG28" s="1" t="s">
        <v>345</v>
      </c>
    </row>
    <row r="29" spans="1:53" s="3" customFormat="1" ht="21" customHeight="1">
      <c r="A29" s="913">
        <v>22</v>
      </c>
      <c r="B29" s="913"/>
      <c r="C29" s="914">
        <f>IF($C$6=☆入力!$B$15,☆入力!$B37,☆入力!$C37)</f>
        <v>0</v>
      </c>
      <c r="D29" s="915"/>
      <c r="E29" s="915"/>
      <c r="F29" s="916"/>
      <c r="G29" s="917">
        <f>☆入力!D37</f>
        <v>0</v>
      </c>
      <c r="H29" s="917"/>
      <c r="I29" s="917"/>
      <c r="J29" s="917"/>
      <c r="K29" s="917"/>
      <c r="L29" s="867">
        <f>☆入力!H37</f>
        <v>0</v>
      </c>
      <c r="M29" s="867"/>
      <c r="N29" s="867"/>
      <c r="O29" s="867"/>
      <c r="P29" s="865">
        <f>☆入力!L37</f>
        <v>0</v>
      </c>
      <c r="Q29" s="865"/>
      <c r="R29" s="878">
        <f>☆入力!AA37</f>
        <v>0</v>
      </c>
      <c r="S29" s="878"/>
      <c r="T29" s="878"/>
      <c r="U29" s="877">
        <f>☆入力!AB37</f>
        <v>0</v>
      </c>
      <c r="V29" s="877"/>
      <c r="W29" s="877"/>
      <c r="X29" s="877"/>
      <c r="Y29" s="864">
        <f>☆入力!AC37</f>
        <v>0</v>
      </c>
      <c r="Z29" s="864"/>
      <c r="AA29" s="864"/>
      <c r="AB29" s="864"/>
      <c r="AD29" s="62"/>
      <c r="AG29" s="1" t="s">
        <v>332</v>
      </c>
    </row>
    <row r="30" spans="1:53" s="3" customFormat="1" ht="21" customHeight="1">
      <c r="A30" s="913">
        <v>23</v>
      </c>
      <c r="B30" s="913"/>
      <c r="C30" s="914">
        <f>IF($C$6=☆入力!$B$15,☆入力!$B38,☆入力!$C38)</f>
        <v>0</v>
      </c>
      <c r="D30" s="915"/>
      <c r="E30" s="915"/>
      <c r="F30" s="916"/>
      <c r="G30" s="917">
        <f>☆入力!D38</f>
        <v>0</v>
      </c>
      <c r="H30" s="917"/>
      <c r="I30" s="917"/>
      <c r="J30" s="917"/>
      <c r="K30" s="917"/>
      <c r="L30" s="867">
        <f>☆入力!H38</f>
        <v>0</v>
      </c>
      <c r="M30" s="867"/>
      <c r="N30" s="867"/>
      <c r="O30" s="867"/>
      <c r="P30" s="865">
        <f>☆入力!L38</f>
        <v>0</v>
      </c>
      <c r="Q30" s="865"/>
      <c r="R30" s="878">
        <f>☆入力!AA38</f>
        <v>0</v>
      </c>
      <c r="S30" s="878"/>
      <c r="T30" s="878"/>
      <c r="U30" s="877">
        <f>☆入力!AB38</f>
        <v>0</v>
      </c>
      <c r="V30" s="877"/>
      <c r="W30" s="877"/>
      <c r="X30" s="877"/>
      <c r="Y30" s="864">
        <f>☆入力!AC38</f>
        <v>0</v>
      </c>
      <c r="Z30" s="864"/>
      <c r="AA30" s="864"/>
      <c r="AB30" s="864"/>
      <c r="AD30" s="62"/>
      <c r="AS30" s="55"/>
      <c r="AT30" s="55"/>
      <c r="AU30" s="55"/>
      <c r="AV30" s="55"/>
      <c r="AW30" s="55"/>
      <c r="AX30" s="55"/>
      <c r="AY30" s="55"/>
      <c r="AZ30" s="55"/>
      <c r="BA30" s="55"/>
    </row>
    <row r="31" spans="1:53" s="3" customFormat="1" ht="21" customHeight="1">
      <c r="A31" s="913">
        <v>24</v>
      </c>
      <c r="B31" s="913"/>
      <c r="C31" s="914">
        <f>IF($C$6=☆入力!$B$15,☆入力!$B39,☆入力!$C39)</f>
        <v>0</v>
      </c>
      <c r="D31" s="915"/>
      <c r="E31" s="915"/>
      <c r="F31" s="916"/>
      <c r="G31" s="917">
        <f>☆入力!D39</f>
        <v>0</v>
      </c>
      <c r="H31" s="917"/>
      <c r="I31" s="917"/>
      <c r="J31" s="917"/>
      <c r="K31" s="917"/>
      <c r="L31" s="867">
        <f>☆入力!H39</f>
        <v>0</v>
      </c>
      <c r="M31" s="867"/>
      <c r="N31" s="867"/>
      <c r="O31" s="867"/>
      <c r="P31" s="865">
        <f>☆入力!L39</f>
        <v>0</v>
      </c>
      <c r="Q31" s="865"/>
      <c r="R31" s="878">
        <f>☆入力!AA39</f>
        <v>0</v>
      </c>
      <c r="S31" s="878"/>
      <c r="T31" s="878"/>
      <c r="U31" s="877">
        <f>☆入力!AB39</f>
        <v>0</v>
      </c>
      <c r="V31" s="877"/>
      <c r="W31" s="877"/>
      <c r="X31" s="877"/>
      <c r="Y31" s="864">
        <f>☆入力!AC39</f>
        <v>0</v>
      </c>
      <c r="Z31" s="864"/>
      <c r="AA31" s="864"/>
      <c r="AB31" s="864"/>
      <c r="AD31" s="62"/>
      <c r="AS31" s="55"/>
      <c r="AT31" s="55"/>
      <c r="AU31" s="55"/>
      <c r="AV31" s="55"/>
      <c r="AW31" s="55"/>
      <c r="AX31" s="55"/>
      <c r="AY31" s="55"/>
      <c r="AZ31" s="55"/>
      <c r="BA31" s="55"/>
    </row>
    <row r="32" spans="1:53" s="3" customFormat="1" ht="21" customHeight="1">
      <c r="A32" s="913">
        <v>25</v>
      </c>
      <c r="B32" s="913"/>
      <c r="C32" s="914">
        <f>IF($C$6=☆入力!$B$15,☆入力!$B40,☆入力!$C40)</f>
        <v>0</v>
      </c>
      <c r="D32" s="915"/>
      <c r="E32" s="915"/>
      <c r="F32" s="916"/>
      <c r="G32" s="917">
        <f>☆入力!D40</f>
        <v>0</v>
      </c>
      <c r="H32" s="917"/>
      <c r="I32" s="917"/>
      <c r="J32" s="917"/>
      <c r="K32" s="917"/>
      <c r="L32" s="867">
        <f>☆入力!H40</f>
        <v>0</v>
      </c>
      <c r="M32" s="867"/>
      <c r="N32" s="867"/>
      <c r="O32" s="867"/>
      <c r="P32" s="865">
        <f>☆入力!L40</f>
        <v>0</v>
      </c>
      <c r="Q32" s="865"/>
      <c r="R32" s="878">
        <f>☆入力!AA40</f>
        <v>0</v>
      </c>
      <c r="S32" s="878"/>
      <c r="T32" s="878"/>
      <c r="U32" s="877">
        <f>☆入力!AB40</f>
        <v>0</v>
      </c>
      <c r="V32" s="877"/>
      <c r="W32" s="877"/>
      <c r="X32" s="877"/>
      <c r="Y32" s="864">
        <f>☆入力!AC40</f>
        <v>0</v>
      </c>
      <c r="Z32" s="864"/>
      <c r="AA32" s="864"/>
      <c r="AB32" s="864"/>
      <c r="AD32" s="62"/>
    </row>
    <row r="33" spans="1:56" s="3" customFormat="1" ht="21" customHeight="1" outlineLevel="1">
      <c r="A33" s="913">
        <v>26</v>
      </c>
      <c r="B33" s="913"/>
      <c r="C33" s="914">
        <f>IF($C$6=☆入力!$B$15,☆入力!$B41,☆入力!$C41)</f>
        <v>0</v>
      </c>
      <c r="D33" s="915"/>
      <c r="E33" s="915"/>
      <c r="F33" s="916"/>
      <c r="G33" s="917">
        <f>☆入力!D41</f>
        <v>0</v>
      </c>
      <c r="H33" s="917"/>
      <c r="I33" s="917"/>
      <c r="J33" s="917"/>
      <c r="K33" s="917"/>
      <c r="L33" s="867">
        <f>☆入力!H41</f>
        <v>0</v>
      </c>
      <c r="M33" s="867"/>
      <c r="N33" s="867"/>
      <c r="O33" s="867"/>
      <c r="P33" s="865">
        <f>☆入力!L41</f>
        <v>0</v>
      </c>
      <c r="Q33" s="865"/>
      <c r="R33" s="878">
        <f>☆入力!AA41</f>
        <v>0</v>
      </c>
      <c r="S33" s="878"/>
      <c r="T33" s="878"/>
      <c r="U33" s="877">
        <f>☆入力!AB41</f>
        <v>0</v>
      </c>
      <c r="V33" s="877"/>
      <c r="W33" s="877"/>
      <c r="X33" s="877"/>
      <c r="Y33" s="864">
        <f>☆入力!AC41</f>
        <v>0</v>
      </c>
      <c r="Z33" s="864"/>
      <c r="AA33" s="864"/>
      <c r="AB33" s="864"/>
      <c r="AD33" s="62"/>
    </row>
    <row r="34" spans="1:56" s="3" customFormat="1" ht="21" customHeight="1" outlineLevel="1">
      <c r="A34" s="913">
        <v>27</v>
      </c>
      <c r="B34" s="913"/>
      <c r="C34" s="914">
        <f>IF($C$6=☆入力!$B$15,☆入力!$B42,☆入力!$C42)</f>
        <v>0</v>
      </c>
      <c r="D34" s="915"/>
      <c r="E34" s="915"/>
      <c r="F34" s="916"/>
      <c r="G34" s="917">
        <f>☆入力!D42</f>
        <v>0</v>
      </c>
      <c r="H34" s="917"/>
      <c r="I34" s="917"/>
      <c r="J34" s="917"/>
      <c r="K34" s="917"/>
      <c r="L34" s="867">
        <f>☆入力!H42</f>
        <v>0</v>
      </c>
      <c r="M34" s="867"/>
      <c r="N34" s="867"/>
      <c r="O34" s="867"/>
      <c r="P34" s="865">
        <f>☆入力!L42</f>
        <v>0</v>
      </c>
      <c r="Q34" s="865"/>
      <c r="R34" s="878">
        <f>☆入力!AA42</f>
        <v>0</v>
      </c>
      <c r="S34" s="878"/>
      <c r="T34" s="878"/>
      <c r="U34" s="877">
        <f>☆入力!AB42</f>
        <v>0</v>
      </c>
      <c r="V34" s="877"/>
      <c r="W34" s="877"/>
      <c r="X34" s="877"/>
      <c r="Y34" s="864">
        <f>☆入力!AC42</f>
        <v>0</v>
      </c>
      <c r="Z34" s="864"/>
      <c r="AA34" s="864"/>
      <c r="AB34" s="864"/>
      <c r="AD34" s="62"/>
    </row>
    <row r="35" spans="1:56" s="3" customFormat="1" ht="21" customHeight="1" outlineLevel="1">
      <c r="A35" s="913">
        <v>28</v>
      </c>
      <c r="B35" s="913"/>
      <c r="C35" s="914">
        <f>IF($C$6=☆入力!$B$15,☆入力!$B43,☆入力!$C43)</f>
        <v>0</v>
      </c>
      <c r="D35" s="915"/>
      <c r="E35" s="915"/>
      <c r="F35" s="916"/>
      <c r="G35" s="917">
        <f>☆入力!D43</f>
        <v>0</v>
      </c>
      <c r="H35" s="917"/>
      <c r="I35" s="917"/>
      <c r="J35" s="917"/>
      <c r="K35" s="917"/>
      <c r="L35" s="867">
        <f>☆入力!H43</f>
        <v>0</v>
      </c>
      <c r="M35" s="867"/>
      <c r="N35" s="867"/>
      <c r="O35" s="867"/>
      <c r="P35" s="865">
        <f>☆入力!L43</f>
        <v>0</v>
      </c>
      <c r="Q35" s="865"/>
      <c r="R35" s="878">
        <f>☆入力!AA43</f>
        <v>0</v>
      </c>
      <c r="S35" s="878"/>
      <c r="T35" s="878"/>
      <c r="U35" s="877">
        <f>☆入力!AB43</f>
        <v>0</v>
      </c>
      <c r="V35" s="877"/>
      <c r="W35" s="877"/>
      <c r="X35" s="877"/>
      <c r="Y35" s="864">
        <f>☆入力!AC43</f>
        <v>0</v>
      </c>
      <c r="Z35" s="864"/>
      <c r="AA35" s="864"/>
      <c r="AB35" s="864"/>
      <c r="AD35" s="62"/>
    </row>
    <row r="36" spans="1:56" s="3" customFormat="1" ht="21" customHeight="1" outlineLevel="1">
      <c r="A36" s="913">
        <v>29</v>
      </c>
      <c r="B36" s="913"/>
      <c r="C36" s="914">
        <f>IF($C$6=☆入力!$B$15,☆入力!$B44,☆入力!$C44)</f>
        <v>0</v>
      </c>
      <c r="D36" s="915"/>
      <c r="E36" s="915"/>
      <c r="F36" s="916"/>
      <c r="G36" s="917">
        <f>☆入力!D44</f>
        <v>0</v>
      </c>
      <c r="H36" s="917"/>
      <c r="I36" s="917"/>
      <c r="J36" s="917"/>
      <c r="K36" s="917"/>
      <c r="L36" s="867">
        <f>☆入力!H44</f>
        <v>0</v>
      </c>
      <c r="M36" s="867"/>
      <c r="N36" s="867"/>
      <c r="O36" s="867"/>
      <c r="P36" s="865">
        <f>☆入力!L44</f>
        <v>0</v>
      </c>
      <c r="Q36" s="865"/>
      <c r="R36" s="878">
        <f>☆入力!AA44</f>
        <v>0</v>
      </c>
      <c r="S36" s="878"/>
      <c r="T36" s="878"/>
      <c r="U36" s="877">
        <f>☆入力!AB44</f>
        <v>0</v>
      </c>
      <c r="V36" s="877"/>
      <c r="W36" s="877"/>
      <c r="X36" s="877"/>
      <c r="Y36" s="864">
        <f>☆入力!AC44</f>
        <v>0</v>
      </c>
      <c r="Z36" s="864"/>
      <c r="AA36" s="864"/>
      <c r="AB36" s="864"/>
      <c r="AD36" s="62"/>
    </row>
    <row r="37" spans="1:56" s="3" customFormat="1" ht="21" customHeight="1" outlineLevel="1">
      <c r="A37" s="922">
        <v>30</v>
      </c>
      <c r="B37" s="922"/>
      <c r="C37" s="923">
        <f>IF($C$6=☆入力!$B$15,☆入力!$B45,☆入力!$C45)</f>
        <v>0</v>
      </c>
      <c r="D37" s="924"/>
      <c r="E37" s="924"/>
      <c r="F37" s="925"/>
      <c r="G37" s="926">
        <f>☆入力!D45</f>
        <v>0</v>
      </c>
      <c r="H37" s="926"/>
      <c r="I37" s="926"/>
      <c r="J37" s="926"/>
      <c r="K37" s="926"/>
      <c r="L37" s="927">
        <f>☆入力!H45</f>
        <v>0</v>
      </c>
      <c r="M37" s="927"/>
      <c r="N37" s="927"/>
      <c r="O37" s="927"/>
      <c r="P37" s="928">
        <f>☆入力!L45</f>
        <v>0</v>
      </c>
      <c r="Q37" s="928"/>
      <c r="R37" s="930">
        <f>☆入力!AA45</f>
        <v>0</v>
      </c>
      <c r="S37" s="930"/>
      <c r="T37" s="930"/>
      <c r="U37" s="931">
        <f>☆入力!AB45</f>
        <v>0</v>
      </c>
      <c r="V37" s="931"/>
      <c r="W37" s="931"/>
      <c r="X37" s="931"/>
      <c r="Y37" s="932">
        <f>☆入力!AC45</f>
        <v>0</v>
      </c>
      <c r="Z37" s="932"/>
      <c r="AA37" s="932"/>
      <c r="AB37" s="932"/>
      <c r="AD37" s="62"/>
    </row>
    <row r="38" spans="1:56" s="13" customFormat="1" ht="21" customHeight="1">
      <c r="C38" s="479"/>
      <c r="D38" s="479"/>
      <c r="E38" s="479"/>
      <c r="F38" s="479"/>
      <c r="G38" s="479"/>
      <c r="H38" s="479"/>
      <c r="I38" s="479"/>
      <c r="J38" s="479"/>
      <c r="K38" s="74" t="s">
        <v>333</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91" t="s">
        <v>43</v>
      </c>
      <c r="L39" s="891"/>
      <c r="M39" s="891"/>
      <c r="N39" s="891"/>
      <c r="O39" s="891"/>
      <c r="P39" s="893">
        <f>SUM(P8:Q37)</f>
        <v>0</v>
      </c>
      <c r="Q39" s="893"/>
      <c r="R39" s="895" t="s">
        <v>334</v>
      </c>
      <c r="S39" s="895"/>
      <c r="T39" s="895"/>
      <c r="U39" s="897">
        <f>SUM(U8:X37)</f>
        <v>0</v>
      </c>
      <c r="V39" s="897"/>
      <c r="W39" s="897"/>
      <c r="X39" s="897"/>
      <c r="Y39" s="899">
        <f>SUM(Y8:AB37)</f>
        <v>0</v>
      </c>
      <c r="Z39" s="899"/>
      <c r="AA39" s="899"/>
      <c r="AB39" s="899"/>
      <c r="AD39" s="64"/>
      <c r="AF39" s="875" t="s">
        <v>335</v>
      </c>
      <c r="AG39" s="875"/>
      <c r="AH39" s="875"/>
      <c r="AI39" s="875"/>
      <c r="AJ39" s="875"/>
      <c r="AK39" s="875"/>
      <c r="AL39" s="875"/>
      <c r="AM39" s="875"/>
      <c r="AN39" s="875"/>
      <c r="AO39" s="875"/>
      <c r="AP39" s="875"/>
      <c r="AQ39" s="875"/>
      <c r="AR39" s="875"/>
      <c r="AS39" s="875"/>
      <c r="AT39" s="875"/>
      <c r="AU39" s="875"/>
      <c r="AV39" s="875"/>
      <c r="AW39" s="875"/>
      <c r="AX39" s="875"/>
      <c r="AY39" s="875"/>
      <c r="AZ39" s="875"/>
      <c r="BA39" s="875"/>
    </row>
    <row r="40" spans="1:56" s="13" customFormat="1" ht="21" customHeight="1" thickBot="1">
      <c r="C40" s="14"/>
      <c r="D40" s="14"/>
      <c r="E40" s="14"/>
      <c r="F40" s="14"/>
      <c r="G40" s="14"/>
      <c r="H40" s="14"/>
      <c r="I40" s="14"/>
      <c r="J40" s="14"/>
      <c r="K40" s="892"/>
      <c r="L40" s="892"/>
      <c r="M40" s="892"/>
      <c r="N40" s="892"/>
      <c r="O40" s="892"/>
      <c r="P40" s="894"/>
      <c r="Q40" s="894"/>
      <c r="R40" s="896"/>
      <c r="S40" s="896"/>
      <c r="T40" s="896"/>
      <c r="U40" s="898"/>
      <c r="V40" s="898"/>
      <c r="W40" s="898"/>
      <c r="X40" s="898"/>
      <c r="Y40" s="900"/>
      <c r="Z40" s="900"/>
      <c r="AA40" s="900"/>
      <c r="AB40" s="900"/>
      <c r="AD40" s="64"/>
      <c r="AF40" s="875"/>
      <c r="AG40" s="875"/>
      <c r="AH40" s="875"/>
      <c r="AI40" s="875"/>
      <c r="AJ40" s="875"/>
      <c r="AK40" s="875"/>
      <c r="AL40" s="875"/>
      <c r="AM40" s="875"/>
      <c r="AN40" s="875"/>
      <c r="AO40" s="875"/>
      <c r="AP40" s="875"/>
      <c r="AQ40" s="875"/>
      <c r="AR40" s="875"/>
      <c r="AS40" s="875"/>
      <c r="AT40" s="875"/>
      <c r="AU40" s="875"/>
      <c r="AV40" s="875"/>
      <c r="AW40" s="875"/>
      <c r="AX40" s="875"/>
      <c r="AY40" s="875"/>
      <c r="AZ40" s="875"/>
      <c r="BA40" s="875"/>
    </row>
    <row r="41" spans="1:56" s="13" customFormat="1" ht="21" customHeight="1" thickTop="1">
      <c r="C41" s="14"/>
      <c r="D41" s="14"/>
      <c r="E41" s="14"/>
      <c r="F41" s="14"/>
      <c r="G41" s="14"/>
      <c r="H41" s="14"/>
      <c r="I41" s="14"/>
      <c r="J41" s="14"/>
      <c r="L41" s="14"/>
      <c r="M41" s="14"/>
      <c r="AD41" s="64"/>
      <c r="AS41" s="952">
        <f>AS6+AS13+AS24</f>
        <v>0</v>
      </c>
      <c r="AT41" s="953"/>
      <c r="AU41" s="953"/>
      <c r="AV41" s="953"/>
      <c r="AW41" s="953"/>
      <c r="AX41" s="953"/>
      <c r="AY41" s="953"/>
      <c r="AZ41" s="953"/>
      <c r="BA41" s="954"/>
    </row>
    <row r="42" spans="1:56" s="13" customFormat="1" ht="21" customHeight="1" thickBot="1">
      <c r="C42" s="14"/>
      <c r="D42" s="14"/>
      <c r="E42" s="14"/>
      <c r="F42" s="14"/>
      <c r="G42" s="14"/>
      <c r="H42" s="14"/>
      <c r="I42" s="14"/>
      <c r="J42" s="14"/>
      <c r="K42" s="14"/>
      <c r="L42" s="14"/>
      <c r="M42" s="14"/>
      <c r="AD42" s="64"/>
      <c r="AS42" s="955"/>
      <c r="AT42" s="956"/>
      <c r="AU42" s="956"/>
      <c r="AV42" s="956"/>
      <c r="AW42" s="956"/>
      <c r="AX42" s="956"/>
      <c r="AY42" s="956"/>
      <c r="AZ42" s="956"/>
      <c r="BA42" s="957"/>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0">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A22:B22"/>
    <mergeCell ref="C22:F22"/>
    <mergeCell ref="P22:Q22"/>
    <mergeCell ref="A21:B21"/>
    <mergeCell ref="C21:F21"/>
    <mergeCell ref="P21:Q21"/>
    <mergeCell ref="R22:T22"/>
    <mergeCell ref="L21:O21"/>
    <mergeCell ref="L22:O22"/>
    <mergeCell ref="G21:K21"/>
    <mergeCell ref="G22:K22"/>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R31:T31"/>
    <mergeCell ref="U31:X31"/>
    <mergeCell ref="Y31:AB31"/>
    <mergeCell ref="A30:B30"/>
    <mergeCell ref="C30:F30"/>
    <mergeCell ref="P30:Q30"/>
    <mergeCell ref="R30:T30"/>
    <mergeCell ref="U30:X30"/>
    <mergeCell ref="G30:K30"/>
    <mergeCell ref="G31:K31"/>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84" t="s">
        <v>346</v>
      </c>
      <c r="B1" s="884"/>
      <c r="C1" s="884"/>
      <c r="D1" s="884"/>
      <c r="E1" s="884"/>
      <c r="F1" s="884"/>
      <c r="G1" s="884"/>
      <c r="H1" s="884"/>
      <c r="I1" s="884"/>
      <c r="J1" s="884"/>
      <c r="K1" s="884"/>
      <c r="L1" s="884"/>
      <c r="M1" s="884"/>
      <c r="N1" s="884"/>
      <c r="O1" s="884"/>
      <c r="P1" s="884"/>
      <c r="Q1" s="884"/>
      <c r="R1" s="884"/>
      <c r="S1" s="884"/>
      <c r="T1" s="884"/>
      <c r="U1" s="884"/>
      <c r="V1" s="884"/>
      <c r="W1" s="884"/>
      <c r="X1" s="884"/>
      <c r="Y1" s="884"/>
      <c r="Z1" s="884"/>
      <c r="AA1" s="884"/>
      <c r="AB1" s="884"/>
      <c r="AC1" s="884"/>
      <c r="AD1" s="884"/>
      <c r="AE1" s="884"/>
      <c r="AF1" s="884"/>
      <c r="AG1" s="884"/>
      <c r="AH1" s="884"/>
      <c r="AI1" s="884"/>
      <c r="AJ1" s="884"/>
      <c r="AK1" s="884"/>
      <c r="AL1" s="884"/>
      <c r="AM1" s="884"/>
      <c r="AN1" s="884"/>
      <c r="AO1" s="884"/>
      <c r="AP1" s="884"/>
      <c r="AQ1" s="884"/>
      <c r="AR1" s="884"/>
      <c r="AS1" s="884"/>
      <c r="AT1" s="884"/>
      <c r="AU1" s="884"/>
      <c r="AV1" s="884"/>
      <c r="AW1" s="884"/>
      <c r="AX1" s="884"/>
      <c r="AY1" s="884"/>
      <c r="AZ1" s="884"/>
      <c r="BA1" s="884"/>
      <c r="BB1" s="884"/>
      <c r="BC1" s="884"/>
      <c r="BD1" s="884"/>
      <c r="BE1" s="884"/>
      <c r="BF1" s="884"/>
      <c r="BG1" s="884"/>
      <c r="BH1" s="884"/>
      <c r="BI1" s="884"/>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1029" t="s">
        <v>347</v>
      </c>
      <c r="L3" s="1030"/>
      <c r="M3" s="1030"/>
      <c r="N3" s="1031"/>
      <c r="O3" s="60"/>
      <c r="P3" s="60"/>
      <c r="Q3" s="967" t="s">
        <v>348</v>
      </c>
      <c r="R3" s="968"/>
      <c r="S3" s="968"/>
      <c r="T3" s="968"/>
      <c r="U3" s="968"/>
      <c r="V3" s="968"/>
      <c r="W3" s="969"/>
      <c r="X3" s="38"/>
      <c r="Y3" s="61"/>
      <c r="Z3" s="38"/>
      <c r="AA3" s="1011" t="s">
        <v>312</v>
      </c>
      <c r="AB3" s="1011"/>
      <c r="AC3" s="1011"/>
      <c r="AD3" s="1011"/>
      <c r="AE3" s="1011"/>
      <c r="AF3" s="1011"/>
      <c r="AG3" s="1011"/>
      <c r="AH3" s="1011"/>
      <c r="AI3" s="1011"/>
      <c r="AJ3" s="60"/>
      <c r="AK3" s="60"/>
      <c r="AL3" s="60"/>
      <c r="AM3" s="60"/>
      <c r="AN3" s="934" t="s">
        <v>337</v>
      </c>
      <c r="AO3" s="934"/>
      <c r="AP3" s="934"/>
      <c r="AQ3" s="934"/>
      <c r="AR3" s="934"/>
      <c r="AS3" s="934"/>
      <c r="AT3" s="934"/>
      <c r="AU3" s="934"/>
      <c r="AV3" s="934"/>
      <c r="AW3" s="60"/>
      <c r="AX3" s="60"/>
      <c r="AY3" s="60"/>
      <c r="AZ3" s="60"/>
      <c r="BA3" s="962" t="s">
        <v>349</v>
      </c>
      <c r="BB3" s="962"/>
      <c r="BC3" s="962"/>
      <c r="BD3" s="962"/>
      <c r="BE3" s="962"/>
      <c r="BF3" s="962"/>
      <c r="BG3" s="962"/>
      <c r="BH3" s="962"/>
      <c r="BI3" s="962"/>
    </row>
    <row r="4" spans="1:61" s="3" customFormat="1" ht="21" customHeight="1" thickTop="1">
      <c r="A4" s="51"/>
      <c r="B4" s="52"/>
      <c r="C4" s="53"/>
      <c r="D4" s="53"/>
      <c r="E4" s="53"/>
      <c r="F4" s="53"/>
      <c r="G4" s="53"/>
      <c r="H4" s="53"/>
      <c r="I4" s="53"/>
      <c r="J4" s="53"/>
      <c r="K4" s="52"/>
      <c r="L4" s="52"/>
      <c r="M4" s="52"/>
      <c r="N4" s="52"/>
      <c r="Y4" s="62"/>
      <c r="AA4" s="1012"/>
      <c r="AB4" s="1012"/>
      <c r="AC4" s="1012"/>
      <c r="AD4" s="1012"/>
      <c r="AE4" s="1012"/>
      <c r="AF4" s="1012"/>
      <c r="AG4" s="1012"/>
      <c r="AH4" s="1012"/>
      <c r="AI4" s="1012"/>
      <c r="AJ4" s="58"/>
      <c r="AK4" s="58"/>
      <c r="AL4" s="58"/>
      <c r="AM4" s="58"/>
      <c r="AN4" s="961"/>
      <c r="AO4" s="961"/>
      <c r="AP4" s="961"/>
      <c r="AQ4" s="961"/>
      <c r="AR4" s="961"/>
      <c r="AS4" s="961"/>
      <c r="AT4" s="961"/>
      <c r="AU4" s="961"/>
      <c r="AV4" s="961"/>
      <c r="BA4" s="963"/>
      <c r="BB4" s="963"/>
      <c r="BC4" s="963"/>
      <c r="BD4" s="963"/>
      <c r="BE4" s="963"/>
      <c r="BF4" s="963"/>
      <c r="BG4" s="963"/>
      <c r="BH4" s="963"/>
      <c r="BI4" s="963"/>
    </row>
    <row r="5" spans="1:61" ht="21" customHeight="1">
      <c r="A5" s="903" t="s">
        <v>314</v>
      </c>
      <c r="B5" s="907"/>
      <c r="C5" s="908" t="str">
        <f>LED計算式!M32</f>
        <v>試算エリア</v>
      </c>
      <c r="D5" s="909"/>
      <c r="E5" s="909"/>
      <c r="F5" s="910"/>
      <c r="G5" s="908" t="s">
        <v>315</v>
      </c>
      <c r="H5" s="909"/>
      <c r="I5" s="909"/>
      <c r="J5" s="910"/>
      <c r="K5" s="906" t="s">
        <v>318</v>
      </c>
      <c r="L5" s="906"/>
      <c r="M5" s="906"/>
      <c r="N5" s="906"/>
      <c r="O5" s="56"/>
      <c r="P5" s="56"/>
      <c r="Q5" s="906" t="s">
        <v>318</v>
      </c>
      <c r="R5" s="906"/>
      <c r="S5" s="906"/>
      <c r="T5" s="906"/>
      <c r="U5" s="984" t="s">
        <v>350</v>
      </c>
      <c r="V5" s="984"/>
      <c r="W5" s="984"/>
      <c r="Y5" s="63"/>
      <c r="AA5" s="875" t="s">
        <v>351</v>
      </c>
      <c r="AB5" s="875"/>
      <c r="AC5" s="875"/>
      <c r="AD5" s="875"/>
      <c r="AE5" s="875"/>
      <c r="AF5" s="875"/>
      <c r="AG5" s="875"/>
      <c r="AH5" s="875"/>
      <c r="AI5" s="875"/>
      <c r="AJ5" s="875"/>
      <c r="AK5" s="875"/>
      <c r="AL5" s="875"/>
      <c r="AM5" s="875"/>
      <c r="AN5" s="875"/>
      <c r="AO5" s="875"/>
      <c r="AP5" s="875"/>
      <c r="AQ5" s="875"/>
      <c r="AR5" s="875"/>
      <c r="AS5" s="875"/>
      <c r="AT5" s="875"/>
      <c r="AU5" s="875"/>
      <c r="AV5" s="875"/>
    </row>
    <row r="6" spans="1:61" ht="21" customHeight="1" thickBot="1">
      <c r="A6" s="14"/>
      <c r="B6" s="14"/>
      <c r="C6" s="15"/>
      <c r="D6" s="15"/>
      <c r="E6" s="15"/>
      <c r="F6" s="15"/>
      <c r="G6" s="15"/>
      <c r="H6" s="15"/>
      <c r="I6" s="15"/>
      <c r="J6" s="15"/>
      <c r="K6" s="16"/>
      <c r="L6" s="16"/>
      <c r="M6" s="16"/>
      <c r="N6" s="16"/>
      <c r="O6" s="16"/>
      <c r="P6" s="16"/>
      <c r="Q6" s="16"/>
      <c r="R6" s="16"/>
      <c r="Y6" s="63"/>
      <c r="AA6" s="875"/>
      <c r="AB6" s="875"/>
      <c r="AC6" s="875"/>
      <c r="AD6" s="875"/>
      <c r="AE6" s="875"/>
      <c r="AF6" s="875"/>
      <c r="AG6" s="875"/>
      <c r="AH6" s="875"/>
      <c r="AI6" s="875"/>
      <c r="AJ6" s="875"/>
      <c r="AK6" s="875"/>
      <c r="AL6" s="875"/>
      <c r="AM6" s="875"/>
      <c r="AN6" s="875"/>
      <c r="AO6" s="875"/>
      <c r="AP6" s="875"/>
      <c r="AQ6" s="875"/>
      <c r="AR6" s="875"/>
      <c r="AS6" s="875"/>
      <c r="AT6" s="875"/>
      <c r="AU6" s="875"/>
      <c r="AV6" s="875"/>
    </row>
    <row r="7" spans="1:61" s="3" customFormat="1" ht="21" customHeight="1" thickTop="1">
      <c r="A7" s="911">
        <v>1</v>
      </c>
      <c r="B7" s="911"/>
      <c r="C7" s="912" t="str">
        <f>IF($C$5=☆入力!$B$15,☆入力!$B16,☆入力!$C16)</f>
        <v>あいえうお</v>
      </c>
      <c r="D7" s="912"/>
      <c r="E7" s="912"/>
      <c r="F7" s="912"/>
      <c r="G7" s="912">
        <f>☆入力!D16</f>
        <v>0</v>
      </c>
      <c r="H7" s="912"/>
      <c r="I7" s="912"/>
      <c r="J7" s="912"/>
      <c r="K7" s="883">
        <f>☆入力!Y16</f>
        <v>0</v>
      </c>
      <c r="L7" s="883"/>
      <c r="M7" s="883"/>
      <c r="N7" s="883"/>
      <c r="O7" s="965" t="s">
        <v>352</v>
      </c>
      <c r="P7" s="966"/>
      <c r="Q7" s="883">
        <f>☆入力!AC16</f>
        <v>0</v>
      </c>
      <c r="R7" s="883"/>
      <c r="S7" s="883"/>
      <c r="T7" s="883"/>
      <c r="U7" s="1010" t="str">
        <f t="shared" ref="U7:U31" si="0">IFERROR(100%-(Q7/K7),"")</f>
        <v/>
      </c>
      <c r="V7" s="1010"/>
      <c r="W7" s="1010"/>
      <c r="Y7" s="62"/>
      <c r="AA7" s="970">
        <f>②前a!$AS$6</f>
        <v>0</v>
      </c>
      <c r="AB7" s="971"/>
      <c r="AC7" s="971"/>
      <c r="AD7" s="971"/>
      <c r="AE7" s="971"/>
      <c r="AF7" s="971"/>
      <c r="AG7" s="971"/>
      <c r="AH7" s="971"/>
      <c r="AI7" s="972"/>
      <c r="AJ7" s="982" t="s">
        <v>353</v>
      </c>
      <c r="AK7" s="964"/>
      <c r="AL7" s="964"/>
      <c r="AM7" s="983"/>
      <c r="AN7" s="976">
        <f>③後a!AS6</f>
        <v>0</v>
      </c>
      <c r="AO7" s="977"/>
      <c r="AP7" s="977"/>
      <c r="AQ7" s="977"/>
      <c r="AR7" s="977"/>
      <c r="AS7" s="977"/>
      <c r="AT7" s="977"/>
      <c r="AU7" s="977"/>
      <c r="AV7" s="978"/>
      <c r="AW7" s="1004" t="s">
        <v>354</v>
      </c>
      <c r="AX7" s="964"/>
      <c r="AY7" s="964"/>
      <c r="AZ7" s="1005"/>
      <c r="BA7" s="985">
        <f>AA7-AN7</f>
        <v>0</v>
      </c>
      <c r="BB7" s="986"/>
      <c r="BC7" s="986"/>
      <c r="BD7" s="986"/>
      <c r="BE7" s="986"/>
      <c r="BF7" s="986"/>
      <c r="BG7" s="986"/>
      <c r="BH7" s="986"/>
      <c r="BI7" s="987"/>
    </row>
    <row r="8" spans="1:61" s="3" customFormat="1" ht="21" customHeight="1" thickBot="1">
      <c r="A8" s="913">
        <v>2</v>
      </c>
      <c r="B8" s="913"/>
      <c r="C8" s="914" t="str">
        <f>IF($C$5=☆入力!$B$15,☆入力!$B17,☆入力!$C17)</f>
        <v>あいえうお</v>
      </c>
      <c r="D8" s="915"/>
      <c r="E8" s="915"/>
      <c r="F8" s="916"/>
      <c r="G8" s="917">
        <f>☆入力!D17</f>
        <v>0</v>
      </c>
      <c r="H8" s="917"/>
      <c r="I8" s="917"/>
      <c r="J8" s="917"/>
      <c r="K8" s="864">
        <f>☆入力!Y17</f>
        <v>0</v>
      </c>
      <c r="L8" s="864"/>
      <c r="M8" s="864"/>
      <c r="N8" s="864"/>
      <c r="O8" s="965" t="s">
        <v>352</v>
      </c>
      <c r="P8" s="966"/>
      <c r="Q8" s="864">
        <f>☆入力!AC17</f>
        <v>0</v>
      </c>
      <c r="R8" s="864"/>
      <c r="S8" s="864"/>
      <c r="T8" s="864"/>
      <c r="U8" s="1006" t="str">
        <f t="shared" si="0"/>
        <v/>
      </c>
      <c r="V8" s="1006"/>
      <c r="W8" s="1006"/>
      <c r="Y8" s="62"/>
      <c r="AA8" s="973"/>
      <c r="AB8" s="974"/>
      <c r="AC8" s="974"/>
      <c r="AD8" s="974"/>
      <c r="AE8" s="974"/>
      <c r="AF8" s="974"/>
      <c r="AG8" s="974"/>
      <c r="AH8" s="974"/>
      <c r="AI8" s="975"/>
      <c r="AJ8" s="982"/>
      <c r="AK8" s="964"/>
      <c r="AL8" s="964"/>
      <c r="AM8" s="983"/>
      <c r="AN8" s="979"/>
      <c r="AO8" s="980"/>
      <c r="AP8" s="980"/>
      <c r="AQ8" s="980"/>
      <c r="AR8" s="980"/>
      <c r="AS8" s="980"/>
      <c r="AT8" s="980"/>
      <c r="AU8" s="980"/>
      <c r="AV8" s="981"/>
      <c r="AW8" s="1004"/>
      <c r="AX8" s="964"/>
      <c r="AY8" s="964"/>
      <c r="AZ8" s="1005"/>
      <c r="BA8" s="988"/>
      <c r="BB8" s="989"/>
      <c r="BC8" s="989"/>
      <c r="BD8" s="989"/>
      <c r="BE8" s="989"/>
      <c r="BF8" s="989"/>
      <c r="BG8" s="989"/>
      <c r="BH8" s="989"/>
      <c r="BI8" s="990"/>
    </row>
    <row r="9" spans="1:61" s="3" customFormat="1" ht="21" customHeight="1" thickTop="1">
      <c r="A9" s="913">
        <v>3</v>
      </c>
      <c r="B9" s="913"/>
      <c r="C9" s="914" t="str">
        <f>IF($C$5=☆入力!$B$15,☆入力!$B18,☆入力!$C18)</f>
        <v>あいえうお</v>
      </c>
      <c r="D9" s="915"/>
      <c r="E9" s="915"/>
      <c r="F9" s="916"/>
      <c r="G9" s="917">
        <f>☆入力!D18</f>
        <v>0</v>
      </c>
      <c r="H9" s="917"/>
      <c r="I9" s="917"/>
      <c r="J9" s="917"/>
      <c r="K9" s="864">
        <f>☆入力!Y18</f>
        <v>0</v>
      </c>
      <c r="L9" s="864"/>
      <c r="M9" s="864"/>
      <c r="N9" s="864"/>
      <c r="O9" s="965" t="s">
        <v>352</v>
      </c>
      <c r="P9" s="966"/>
      <c r="Q9" s="864">
        <f>☆入力!AC18</f>
        <v>0</v>
      </c>
      <c r="R9" s="864"/>
      <c r="S9" s="864"/>
      <c r="T9" s="864"/>
      <c r="U9" s="1006" t="str">
        <f t="shared" si="0"/>
        <v/>
      </c>
      <c r="V9" s="1006"/>
      <c r="W9" s="1006"/>
      <c r="Y9" s="62"/>
      <c r="AA9" s="876" t="s">
        <v>322</v>
      </c>
      <c r="AB9" s="876"/>
      <c r="AC9" s="876"/>
      <c r="AD9" s="876"/>
      <c r="AE9" s="876"/>
      <c r="AF9" s="876"/>
      <c r="AG9" s="876"/>
      <c r="AH9" s="876"/>
      <c r="AI9" s="876"/>
      <c r="AN9" s="945" t="s">
        <v>322</v>
      </c>
      <c r="AO9" s="945"/>
      <c r="AP9" s="945"/>
      <c r="AQ9" s="945"/>
      <c r="AR9" s="945"/>
      <c r="AS9" s="945"/>
      <c r="AT9" s="945"/>
      <c r="AU9" s="945"/>
      <c r="AV9" s="945"/>
      <c r="BA9" s="991" t="s">
        <v>322</v>
      </c>
      <c r="BB9" s="991"/>
      <c r="BC9" s="991"/>
      <c r="BD9" s="991"/>
      <c r="BE9" s="991"/>
      <c r="BF9" s="991"/>
      <c r="BG9" s="991"/>
      <c r="BH9" s="991"/>
      <c r="BI9" s="991"/>
    </row>
    <row r="10" spans="1:61" s="3" customFormat="1" ht="21" customHeight="1">
      <c r="A10" s="913">
        <v>4</v>
      </c>
      <c r="B10" s="913"/>
      <c r="C10" s="914" t="str">
        <f>IF($C$5=☆入力!$B$15,☆入力!$B19,☆入力!$C19)</f>
        <v>あいえうお</v>
      </c>
      <c r="D10" s="915"/>
      <c r="E10" s="915"/>
      <c r="F10" s="916"/>
      <c r="G10" s="917">
        <f>☆入力!D19</f>
        <v>0</v>
      </c>
      <c r="H10" s="917"/>
      <c r="I10" s="917"/>
      <c r="J10" s="917"/>
      <c r="K10" s="864">
        <f>☆入力!Y19</f>
        <v>0</v>
      </c>
      <c r="L10" s="864"/>
      <c r="M10" s="864"/>
      <c r="N10" s="864"/>
      <c r="O10" s="965" t="s">
        <v>352</v>
      </c>
      <c r="P10" s="966"/>
      <c r="Q10" s="864">
        <f>☆入力!AC19</f>
        <v>0</v>
      </c>
      <c r="R10" s="864"/>
      <c r="S10" s="864"/>
      <c r="T10" s="864"/>
      <c r="U10" s="1006" t="str">
        <f t="shared" si="0"/>
        <v/>
      </c>
      <c r="V10" s="1006"/>
      <c r="W10" s="1006"/>
      <c r="Y10" s="62"/>
      <c r="AA10" s="876"/>
      <c r="AB10" s="876"/>
      <c r="AC10" s="876"/>
      <c r="AD10" s="876"/>
      <c r="AE10" s="876"/>
      <c r="AF10" s="876"/>
      <c r="AG10" s="876"/>
      <c r="AH10" s="876"/>
      <c r="AI10" s="876"/>
      <c r="AN10" s="945"/>
      <c r="AO10" s="945"/>
      <c r="AP10" s="945"/>
      <c r="AQ10" s="945"/>
      <c r="AR10" s="945"/>
      <c r="AS10" s="945"/>
      <c r="AT10" s="945"/>
      <c r="AU10" s="945"/>
      <c r="AV10" s="945"/>
      <c r="BA10" s="991"/>
      <c r="BB10" s="991"/>
      <c r="BC10" s="991"/>
      <c r="BD10" s="991"/>
      <c r="BE10" s="991"/>
      <c r="BF10" s="991"/>
      <c r="BG10" s="991"/>
      <c r="BH10" s="991"/>
      <c r="BI10" s="991"/>
    </row>
    <row r="11" spans="1:61" s="3" customFormat="1" ht="21" customHeight="1">
      <c r="A11" s="913">
        <v>5</v>
      </c>
      <c r="B11" s="913"/>
      <c r="C11" s="914" t="str">
        <f>IF($C$5=☆入力!$B$15,☆入力!$B20,☆入力!$C20)</f>
        <v>あいえうお</v>
      </c>
      <c r="D11" s="915"/>
      <c r="E11" s="915"/>
      <c r="F11" s="916"/>
      <c r="G11" s="917">
        <f>☆入力!D20</f>
        <v>0</v>
      </c>
      <c r="H11" s="917"/>
      <c r="I11" s="917"/>
      <c r="J11" s="917"/>
      <c r="K11" s="864">
        <f>☆入力!Y20</f>
        <v>0</v>
      </c>
      <c r="L11" s="864"/>
      <c r="M11" s="864"/>
      <c r="N11" s="864"/>
      <c r="O11" s="965" t="s">
        <v>352</v>
      </c>
      <c r="P11" s="966"/>
      <c r="Q11" s="864">
        <f>☆入力!AC20</f>
        <v>0</v>
      </c>
      <c r="R11" s="864"/>
      <c r="S11" s="864"/>
      <c r="T11" s="864"/>
      <c r="U11" s="1006" t="str">
        <f t="shared" si="0"/>
        <v/>
      </c>
      <c r="V11" s="1006"/>
      <c r="W11" s="1006"/>
      <c r="Y11" s="62"/>
      <c r="AA11" s="875" t="s">
        <v>355</v>
      </c>
      <c r="AB11" s="875"/>
      <c r="AC11" s="875"/>
      <c r="AD11" s="875"/>
      <c r="AE11" s="875"/>
      <c r="AF11" s="875"/>
      <c r="AG11" s="875"/>
      <c r="AH11" s="875"/>
      <c r="AI11" s="875"/>
      <c r="AJ11" s="875"/>
      <c r="AK11" s="875"/>
      <c r="AL11" s="875"/>
      <c r="AM11" s="875"/>
      <c r="AN11" s="875"/>
      <c r="AO11" s="875"/>
      <c r="AP11" s="875"/>
      <c r="AQ11" s="875"/>
      <c r="AR11" s="875"/>
      <c r="AS11" s="875"/>
      <c r="AT11" s="875"/>
      <c r="AU11" s="875"/>
      <c r="AV11" s="875"/>
    </row>
    <row r="12" spans="1:61" s="3" customFormat="1" ht="21" customHeight="1" thickBot="1">
      <c r="A12" s="913">
        <v>6</v>
      </c>
      <c r="B12" s="913"/>
      <c r="C12" s="914" t="str">
        <f>IF($C$5=☆入力!$B$15,☆入力!$B21,☆入力!$C21)</f>
        <v>あいえうお</v>
      </c>
      <c r="D12" s="915"/>
      <c r="E12" s="915"/>
      <c r="F12" s="916"/>
      <c r="G12" s="917">
        <f>☆入力!D21</f>
        <v>0</v>
      </c>
      <c r="H12" s="917"/>
      <c r="I12" s="917"/>
      <c r="J12" s="917"/>
      <c r="K12" s="864">
        <f>☆入力!Y21</f>
        <v>0</v>
      </c>
      <c r="L12" s="864"/>
      <c r="M12" s="864"/>
      <c r="N12" s="864"/>
      <c r="O12" s="965" t="s">
        <v>352</v>
      </c>
      <c r="P12" s="966"/>
      <c r="Q12" s="864">
        <f>☆入力!AC21</f>
        <v>0</v>
      </c>
      <c r="R12" s="864"/>
      <c r="S12" s="864"/>
      <c r="T12" s="864"/>
      <c r="U12" s="1006" t="str">
        <f t="shared" si="0"/>
        <v/>
      </c>
      <c r="V12" s="1006"/>
      <c r="W12" s="1006"/>
      <c r="Y12" s="62"/>
      <c r="AA12" s="875"/>
      <c r="AB12" s="875"/>
      <c r="AC12" s="875"/>
      <c r="AD12" s="875"/>
      <c r="AE12" s="875"/>
      <c r="AF12" s="875"/>
      <c r="AG12" s="875"/>
      <c r="AH12" s="875"/>
      <c r="AI12" s="875"/>
      <c r="AJ12" s="875"/>
      <c r="AK12" s="875"/>
      <c r="AL12" s="875"/>
      <c r="AM12" s="875"/>
      <c r="AN12" s="875"/>
      <c r="AO12" s="875"/>
      <c r="AP12" s="875"/>
      <c r="AQ12" s="875"/>
      <c r="AR12" s="875"/>
      <c r="AS12" s="875"/>
      <c r="AT12" s="875"/>
      <c r="AU12" s="875"/>
      <c r="AV12" s="875"/>
    </row>
    <row r="13" spans="1:61" s="3" customFormat="1" ht="21" customHeight="1" thickTop="1">
      <c r="A13" s="913">
        <v>7</v>
      </c>
      <c r="B13" s="913"/>
      <c r="C13" s="914">
        <f>IF($C$5=☆入力!$B$15,☆入力!$B22,☆入力!$C22)</f>
        <v>0</v>
      </c>
      <c r="D13" s="915"/>
      <c r="E13" s="915"/>
      <c r="F13" s="916"/>
      <c r="G13" s="917">
        <f>☆入力!D22</f>
        <v>0</v>
      </c>
      <c r="H13" s="917"/>
      <c r="I13" s="917"/>
      <c r="J13" s="917"/>
      <c r="K13" s="864">
        <f>☆入力!Y22</f>
        <v>0</v>
      </c>
      <c r="L13" s="864"/>
      <c r="M13" s="864"/>
      <c r="N13" s="864"/>
      <c r="O13" s="965" t="s">
        <v>352</v>
      </c>
      <c r="P13" s="966"/>
      <c r="Q13" s="864">
        <f>☆入力!AC22</f>
        <v>0</v>
      </c>
      <c r="R13" s="864"/>
      <c r="S13" s="864"/>
      <c r="T13" s="864"/>
      <c r="U13" s="1006" t="str">
        <f t="shared" si="0"/>
        <v/>
      </c>
      <c r="V13" s="1006"/>
      <c r="W13" s="1006"/>
      <c r="Y13" s="62"/>
      <c r="AA13" s="970">
        <f>②前a!$AS$13</f>
        <v>0</v>
      </c>
      <c r="AB13" s="971"/>
      <c r="AC13" s="971"/>
      <c r="AD13" s="971"/>
      <c r="AE13" s="971"/>
      <c r="AF13" s="971"/>
      <c r="AG13" s="971"/>
      <c r="AH13" s="971"/>
      <c r="AI13" s="972"/>
      <c r="AJ13" s="982" t="s">
        <v>353</v>
      </c>
      <c r="AK13" s="964"/>
      <c r="AL13" s="964"/>
      <c r="AM13" s="983"/>
      <c r="AN13" s="976">
        <f>③後a!AS13</f>
        <v>0</v>
      </c>
      <c r="AO13" s="977"/>
      <c r="AP13" s="977"/>
      <c r="AQ13" s="977"/>
      <c r="AR13" s="977"/>
      <c r="AS13" s="977"/>
      <c r="AT13" s="977"/>
      <c r="AU13" s="977"/>
      <c r="AV13" s="978"/>
      <c r="AW13" s="1004" t="s">
        <v>354</v>
      </c>
      <c r="AX13" s="964"/>
      <c r="AY13" s="964"/>
      <c r="AZ13" s="1005"/>
      <c r="BA13" s="992">
        <f>AA13-AN13</f>
        <v>0</v>
      </c>
      <c r="BB13" s="993"/>
      <c r="BC13" s="993"/>
      <c r="BD13" s="993"/>
      <c r="BE13" s="993"/>
      <c r="BF13" s="993"/>
      <c r="BG13" s="993"/>
      <c r="BH13" s="993"/>
      <c r="BI13" s="994"/>
    </row>
    <row r="14" spans="1:61" s="3" customFormat="1" ht="21" customHeight="1" thickBot="1">
      <c r="A14" s="913">
        <v>8</v>
      </c>
      <c r="B14" s="913"/>
      <c r="C14" s="914">
        <f>IF($C$5=☆入力!$B$15,☆入力!$B23,☆入力!$C23)</f>
        <v>0</v>
      </c>
      <c r="D14" s="915"/>
      <c r="E14" s="915"/>
      <c r="F14" s="916"/>
      <c r="G14" s="917">
        <f>☆入力!D23</f>
        <v>0</v>
      </c>
      <c r="H14" s="917"/>
      <c r="I14" s="917"/>
      <c r="J14" s="917"/>
      <c r="K14" s="864">
        <f>☆入力!Y23</f>
        <v>0</v>
      </c>
      <c r="L14" s="864"/>
      <c r="M14" s="864"/>
      <c r="N14" s="864"/>
      <c r="O14" s="965" t="s">
        <v>352</v>
      </c>
      <c r="P14" s="966"/>
      <c r="Q14" s="864">
        <f>☆入力!AC23</f>
        <v>0</v>
      </c>
      <c r="R14" s="864"/>
      <c r="S14" s="864"/>
      <c r="T14" s="864"/>
      <c r="U14" s="1006" t="str">
        <f t="shared" si="0"/>
        <v/>
      </c>
      <c r="V14" s="1006"/>
      <c r="W14" s="1006"/>
      <c r="Y14" s="62"/>
      <c r="AA14" s="973"/>
      <c r="AB14" s="974"/>
      <c r="AC14" s="974"/>
      <c r="AD14" s="974"/>
      <c r="AE14" s="974"/>
      <c r="AF14" s="974"/>
      <c r="AG14" s="974"/>
      <c r="AH14" s="974"/>
      <c r="AI14" s="975"/>
      <c r="AJ14" s="982"/>
      <c r="AK14" s="964"/>
      <c r="AL14" s="964"/>
      <c r="AM14" s="983"/>
      <c r="AN14" s="979"/>
      <c r="AO14" s="980"/>
      <c r="AP14" s="980"/>
      <c r="AQ14" s="980"/>
      <c r="AR14" s="980"/>
      <c r="AS14" s="980"/>
      <c r="AT14" s="980"/>
      <c r="AU14" s="980"/>
      <c r="AV14" s="981"/>
      <c r="AW14" s="1004"/>
      <c r="AX14" s="964"/>
      <c r="AY14" s="964"/>
      <c r="AZ14" s="1005"/>
      <c r="BA14" s="995"/>
      <c r="BB14" s="996"/>
      <c r="BC14" s="996"/>
      <c r="BD14" s="996"/>
      <c r="BE14" s="996"/>
      <c r="BF14" s="996"/>
      <c r="BG14" s="996"/>
      <c r="BH14" s="996"/>
      <c r="BI14" s="997"/>
    </row>
    <row r="15" spans="1:61" s="3" customFormat="1" ht="21" customHeight="1" thickTop="1">
      <c r="A15" s="913">
        <v>9</v>
      </c>
      <c r="B15" s="913"/>
      <c r="C15" s="914">
        <f>IF($C$5=☆入力!$B$15,☆入力!$B24,☆入力!$C24)</f>
        <v>0</v>
      </c>
      <c r="D15" s="915"/>
      <c r="E15" s="915"/>
      <c r="F15" s="916"/>
      <c r="G15" s="917">
        <f>☆入力!D24</f>
        <v>0</v>
      </c>
      <c r="H15" s="917"/>
      <c r="I15" s="917"/>
      <c r="J15" s="917"/>
      <c r="K15" s="864">
        <f>☆入力!Y24</f>
        <v>0</v>
      </c>
      <c r="L15" s="864"/>
      <c r="M15" s="864"/>
      <c r="N15" s="864"/>
      <c r="O15" s="965" t="s">
        <v>352</v>
      </c>
      <c r="P15" s="966"/>
      <c r="Q15" s="864">
        <f>☆入力!AC24</f>
        <v>0</v>
      </c>
      <c r="R15" s="864"/>
      <c r="S15" s="864"/>
      <c r="T15" s="864"/>
      <c r="U15" s="1006" t="str">
        <f t="shared" si="0"/>
        <v/>
      </c>
      <c r="V15" s="1006"/>
      <c r="W15" s="1006"/>
      <c r="Y15" s="62"/>
      <c r="AA15" s="876" t="s">
        <v>322</v>
      </c>
      <c r="AB15" s="876"/>
      <c r="AC15" s="876"/>
      <c r="AD15" s="876"/>
      <c r="AE15" s="876"/>
      <c r="AF15" s="876"/>
      <c r="AG15" s="876"/>
      <c r="AH15" s="876"/>
      <c r="AI15" s="876"/>
      <c r="AN15" s="945" t="s">
        <v>322</v>
      </c>
      <c r="AO15" s="945"/>
      <c r="AP15" s="945"/>
      <c r="AQ15" s="945"/>
      <c r="AR15" s="945"/>
      <c r="AS15" s="945"/>
      <c r="AT15" s="945"/>
      <c r="AU15" s="945"/>
      <c r="AV15" s="945"/>
      <c r="BA15" s="991" t="s">
        <v>322</v>
      </c>
      <c r="BB15" s="991"/>
      <c r="BC15" s="991"/>
      <c r="BD15" s="991"/>
      <c r="BE15" s="991"/>
      <c r="BF15" s="991"/>
      <c r="BG15" s="991"/>
      <c r="BH15" s="991"/>
      <c r="BI15" s="991"/>
    </row>
    <row r="16" spans="1:61" s="3" customFormat="1" ht="21" customHeight="1">
      <c r="A16" s="913">
        <v>10</v>
      </c>
      <c r="B16" s="913"/>
      <c r="C16" s="914">
        <f>IF($C$5=☆入力!$B$15,☆入力!$B25,☆入力!$C25)</f>
        <v>0</v>
      </c>
      <c r="D16" s="915"/>
      <c r="E16" s="915"/>
      <c r="F16" s="916"/>
      <c r="G16" s="917">
        <f>☆入力!D25</f>
        <v>0</v>
      </c>
      <c r="H16" s="917"/>
      <c r="I16" s="917"/>
      <c r="J16" s="917"/>
      <c r="K16" s="864">
        <f>☆入力!Y25</f>
        <v>0</v>
      </c>
      <c r="L16" s="864"/>
      <c r="M16" s="864"/>
      <c r="N16" s="864"/>
      <c r="O16" s="965" t="s">
        <v>352</v>
      </c>
      <c r="P16" s="966"/>
      <c r="Q16" s="864">
        <f>☆入力!AC25</f>
        <v>0</v>
      </c>
      <c r="R16" s="864"/>
      <c r="S16" s="864"/>
      <c r="T16" s="864"/>
      <c r="U16" s="1006" t="str">
        <f t="shared" si="0"/>
        <v/>
      </c>
      <c r="V16" s="1006"/>
      <c r="W16" s="1006"/>
      <c r="Y16" s="62"/>
      <c r="AA16" s="876"/>
      <c r="AB16" s="876"/>
      <c r="AC16" s="876"/>
      <c r="AD16" s="876"/>
      <c r="AE16" s="876"/>
      <c r="AF16" s="876"/>
      <c r="AG16" s="876"/>
      <c r="AH16" s="876"/>
      <c r="AI16" s="876"/>
      <c r="AN16" s="945"/>
      <c r="AO16" s="945"/>
      <c r="AP16" s="945"/>
      <c r="AQ16" s="945"/>
      <c r="AR16" s="945"/>
      <c r="AS16" s="945"/>
      <c r="AT16" s="945"/>
      <c r="AU16" s="945"/>
      <c r="AV16" s="945"/>
      <c r="BA16" s="991"/>
      <c r="BB16" s="991"/>
      <c r="BC16" s="991"/>
      <c r="BD16" s="991"/>
      <c r="BE16" s="991"/>
      <c r="BF16" s="991"/>
      <c r="BG16" s="991"/>
      <c r="BH16" s="991"/>
      <c r="BI16" s="991"/>
    </row>
    <row r="17" spans="1:61" s="3" customFormat="1" ht="21" customHeight="1">
      <c r="A17" s="913">
        <v>11</v>
      </c>
      <c r="B17" s="913"/>
      <c r="C17" s="914">
        <f>IF($C$5=☆入力!$B$15,☆入力!$B26,☆入力!$C26)</f>
        <v>0</v>
      </c>
      <c r="D17" s="915"/>
      <c r="E17" s="915"/>
      <c r="F17" s="916"/>
      <c r="G17" s="917">
        <f>☆入力!D26</f>
        <v>0</v>
      </c>
      <c r="H17" s="917"/>
      <c r="I17" s="917"/>
      <c r="J17" s="917"/>
      <c r="K17" s="864">
        <f>☆入力!Y26</f>
        <v>0</v>
      </c>
      <c r="L17" s="864"/>
      <c r="M17" s="864"/>
      <c r="N17" s="864"/>
      <c r="O17" s="965" t="s">
        <v>352</v>
      </c>
      <c r="P17" s="966"/>
      <c r="Q17" s="864">
        <f>☆入力!AC26</f>
        <v>0</v>
      </c>
      <c r="R17" s="864"/>
      <c r="S17" s="864"/>
      <c r="T17" s="864"/>
      <c r="U17" s="1006" t="str">
        <f t="shared" si="0"/>
        <v/>
      </c>
      <c r="V17" s="1006"/>
      <c r="W17" s="1006"/>
      <c r="Y17" s="62"/>
      <c r="AA17" s="875" t="s">
        <v>356</v>
      </c>
      <c r="AB17" s="875"/>
      <c r="AC17" s="875"/>
      <c r="AD17" s="875"/>
      <c r="AE17" s="875"/>
      <c r="AF17" s="875"/>
      <c r="AG17" s="875"/>
      <c r="AH17" s="875"/>
      <c r="AI17" s="875"/>
      <c r="AJ17" s="875"/>
      <c r="AK17" s="875"/>
      <c r="AL17" s="875"/>
      <c r="AM17" s="875"/>
      <c r="AN17" s="875"/>
      <c r="AO17" s="875"/>
      <c r="AP17" s="875"/>
      <c r="AQ17" s="875"/>
      <c r="AR17" s="875"/>
      <c r="AS17" s="875"/>
      <c r="AT17" s="875"/>
      <c r="AU17" s="875"/>
      <c r="AV17" s="875"/>
    </row>
    <row r="18" spans="1:61" s="3" customFormat="1" ht="21" customHeight="1" thickBot="1">
      <c r="A18" s="913">
        <v>12</v>
      </c>
      <c r="B18" s="913"/>
      <c r="C18" s="914">
        <f>IF($C$5=☆入力!$B$15,☆入力!$B27,☆入力!$C27)</f>
        <v>0</v>
      </c>
      <c r="D18" s="915"/>
      <c r="E18" s="915"/>
      <c r="F18" s="916"/>
      <c r="G18" s="917">
        <f>☆入力!D27</f>
        <v>0</v>
      </c>
      <c r="H18" s="917"/>
      <c r="I18" s="917"/>
      <c r="J18" s="917"/>
      <c r="K18" s="864">
        <f>☆入力!Y27</f>
        <v>0</v>
      </c>
      <c r="L18" s="864"/>
      <c r="M18" s="864"/>
      <c r="N18" s="864"/>
      <c r="O18" s="965" t="s">
        <v>352</v>
      </c>
      <c r="P18" s="966"/>
      <c r="Q18" s="864">
        <f>☆入力!AC27</f>
        <v>0</v>
      </c>
      <c r="R18" s="864"/>
      <c r="S18" s="864"/>
      <c r="T18" s="864"/>
      <c r="U18" s="1006" t="str">
        <f t="shared" si="0"/>
        <v/>
      </c>
      <c r="V18" s="1006"/>
      <c r="W18" s="1006"/>
      <c r="Y18" s="62"/>
      <c r="AA18" s="875"/>
      <c r="AB18" s="875"/>
      <c r="AC18" s="875"/>
      <c r="AD18" s="875"/>
      <c r="AE18" s="875"/>
      <c r="AF18" s="875"/>
      <c r="AG18" s="875"/>
      <c r="AH18" s="875"/>
      <c r="AI18" s="875"/>
      <c r="AJ18" s="875"/>
      <c r="AK18" s="875"/>
      <c r="AL18" s="875"/>
      <c r="AM18" s="875"/>
      <c r="AN18" s="875"/>
      <c r="AO18" s="875"/>
      <c r="AP18" s="875"/>
      <c r="AQ18" s="875"/>
      <c r="AR18" s="875"/>
      <c r="AS18" s="875"/>
      <c r="AT18" s="875"/>
      <c r="AU18" s="875"/>
      <c r="AV18" s="875"/>
    </row>
    <row r="19" spans="1:61" s="3" customFormat="1" ht="21" customHeight="1" thickTop="1">
      <c r="A19" s="913">
        <v>13</v>
      </c>
      <c r="B19" s="913"/>
      <c r="C19" s="914">
        <f>IF($C$5=☆入力!$B$15,☆入力!$B28,☆入力!$C28)</f>
        <v>0</v>
      </c>
      <c r="D19" s="915"/>
      <c r="E19" s="915"/>
      <c r="F19" s="916"/>
      <c r="G19" s="917">
        <f>☆入力!D28</f>
        <v>0</v>
      </c>
      <c r="H19" s="917"/>
      <c r="I19" s="917"/>
      <c r="J19" s="917"/>
      <c r="K19" s="864">
        <f>☆入力!Y28</f>
        <v>0</v>
      </c>
      <c r="L19" s="864"/>
      <c r="M19" s="864"/>
      <c r="N19" s="864"/>
      <c r="O19" s="965" t="s">
        <v>352</v>
      </c>
      <c r="P19" s="966"/>
      <c r="Q19" s="864">
        <f>☆入力!AC28</f>
        <v>0</v>
      </c>
      <c r="R19" s="864"/>
      <c r="S19" s="864"/>
      <c r="T19" s="864"/>
      <c r="U19" s="1006" t="str">
        <f t="shared" si="0"/>
        <v/>
      </c>
      <c r="V19" s="1006"/>
      <c r="W19" s="1006"/>
      <c r="Y19" s="62"/>
      <c r="AA19" s="970">
        <f>②前a!$AS$24</f>
        <v>0</v>
      </c>
      <c r="AB19" s="971"/>
      <c r="AC19" s="971"/>
      <c r="AD19" s="971"/>
      <c r="AE19" s="971"/>
      <c r="AF19" s="971"/>
      <c r="AG19" s="971"/>
      <c r="AH19" s="971"/>
      <c r="AI19" s="972"/>
      <c r="AJ19" s="982" t="s">
        <v>353</v>
      </c>
      <c r="AK19" s="964"/>
      <c r="AL19" s="964"/>
      <c r="AM19" s="983"/>
      <c r="AN19" s="976">
        <f>③後a!AS24</f>
        <v>0</v>
      </c>
      <c r="AO19" s="977"/>
      <c r="AP19" s="977"/>
      <c r="AQ19" s="977"/>
      <c r="AR19" s="977"/>
      <c r="AS19" s="977"/>
      <c r="AT19" s="977"/>
      <c r="AU19" s="977"/>
      <c r="AV19" s="978"/>
      <c r="AW19" s="1004" t="s">
        <v>354</v>
      </c>
      <c r="AX19" s="964"/>
      <c r="AY19" s="964"/>
      <c r="AZ19" s="1005"/>
      <c r="BA19" s="992">
        <f>AA19-AN19</f>
        <v>0</v>
      </c>
      <c r="BB19" s="993"/>
      <c r="BC19" s="993"/>
      <c r="BD19" s="993"/>
      <c r="BE19" s="993"/>
      <c r="BF19" s="993"/>
      <c r="BG19" s="993"/>
      <c r="BH19" s="993"/>
      <c r="BI19" s="994"/>
    </row>
    <row r="20" spans="1:61" s="3" customFormat="1" ht="21" customHeight="1" thickBot="1">
      <c r="A20" s="913">
        <v>14</v>
      </c>
      <c r="B20" s="913"/>
      <c r="C20" s="914">
        <f>IF($C$5=☆入力!$B$15,☆入力!$B29,☆入力!$C29)</f>
        <v>0</v>
      </c>
      <c r="D20" s="915"/>
      <c r="E20" s="915"/>
      <c r="F20" s="916"/>
      <c r="G20" s="917">
        <f>☆入力!D29</f>
        <v>0</v>
      </c>
      <c r="H20" s="917"/>
      <c r="I20" s="917"/>
      <c r="J20" s="917"/>
      <c r="K20" s="864">
        <f>☆入力!Y29</f>
        <v>0</v>
      </c>
      <c r="L20" s="864"/>
      <c r="M20" s="864"/>
      <c r="N20" s="864"/>
      <c r="O20" s="965" t="s">
        <v>352</v>
      </c>
      <c r="P20" s="966"/>
      <c r="Q20" s="864">
        <f>☆入力!AC29</f>
        <v>0</v>
      </c>
      <c r="R20" s="864"/>
      <c r="S20" s="864"/>
      <c r="T20" s="864"/>
      <c r="U20" s="1006" t="str">
        <f t="shared" si="0"/>
        <v/>
      </c>
      <c r="V20" s="1006"/>
      <c r="W20" s="1006"/>
      <c r="Y20" s="62"/>
      <c r="AA20" s="973"/>
      <c r="AB20" s="974"/>
      <c r="AC20" s="974"/>
      <c r="AD20" s="974"/>
      <c r="AE20" s="974"/>
      <c r="AF20" s="974"/>
      <c r="AG20" s="974"/>
      <c r="AH20" s="974"/>
      <c r="AI20" s="975"/>
      <c r="AJ20" s="982"/>
      <c r="AK20" s="964"/>
      <c r="AL20" s="964"/>
      <c r="AM20" s="983"/>
      <c r="AN20" s="979"/>
      <c r="AO20" s="980"/>
      <c r="AP20" s="980"/>
      <c r="AQ20" s="980"/>
      <c r="AR20" s="980"/>
      <c r="AS20" s="980"/>
      <c r="AT20" s="980"/>
      <c r="AU20" s="980"/>
      <c r="AV20" s="981"/>
      <c r="AW20" s="1004"/>
      <c r="AX20" s="964"/>
      <c r="AY20" s="964"/>
      <c r="AZ20" s="1005"/>
      <c r="BA20" s="995"/>
      <c r="BB20" s="996"/>
      <c r="BC20" s="996"/>
      <c r="BD20" s="996"/>
      <c r="BE20" s="996"/>
      <c r="BF20" s="996"/>
      <c r="BG20" s="996"/>
      <c r="BH20" s="996"/>
      <c r="BI20" s="997"/>
    </row>
    <row r="21" spans="1:61" s="3" customFormat="1" ht="21" customHeight="1" thickTop="1">
      <c r="A21" s="913">
        <v>15</v>
      </c>
      <c r="B21" s="913"/>
      <c r="C21" s="914">
        <f>IF($C$5=☆入力!$B$15,☆入力!$B30,☆入力!$C30)</f>
        <v>0</v>
      </c>
      <c r="D21" s="915"/>
      <c r="E21" s="915"/>
      <c r="F21" s="916"/>
      <c r="G21" s="917">
        <f>☆入力!D30</f>
        <v>0</v>
      </c>
      <c r="H21" s="917"/>
      <c r="I21" s="917"/>
      <c r="J21" s="917"/>
      <c r="K21" s="864">
        <f>☆入力!Y30</f>
        <v>0</v>
      </c>
      <c r="L21" s="864"/>
      <c r="M21" s="864"/>
      <c r="N21" s="864"/>
      <c r="O21" s="965" t="s">
        <v>352</v>
      </c>
      <c r="P21" s="966"/>
      <c r="Q21" s="864">
        <f>☆入力!AC30</f>
        <v>0</v>
      </c>
      <c r="R21" s="864"/>
      <c r="S21" s="864"/>
      <c r="T21" s="864"/>
      <c r="U21" s="1006" t="str">
        <f t="shared" si="0"/>
        <v/>
      </c>
      <c r="V21" s="1006"/>
      <c r="W21" s="1006"/>
      <c r="Y21" s="62"/>
    </row>
    <row r="22" spans="1:61" s="3" customFormat="1" ht="21" customHeight="1">
      <c r="A22" s="913">
        <v>16</v>
      </c>
      <c r="B22" s="913"/>
      <c r="C22" s="914">
        <f>IF($C$5=☆入力!$B$15,☆入力!$B31,☆入力!$C31)</f>
        <v>0</v>
      </c>
      <c r="D22" s="915"/>
      <c r="E22" s="915"/>
      <c r="F22" s="916"/>
      <c r="G22" s="917">
        <f>☆入力!D31</f>
        <v>0</v>
      </c>
      <c r="H22" s="917"/>
      <c r="I22" s="917"/>
      <c r="J22" s="917"/>
      <c r="K22" s="864">
        <f>☆入力!Y31</f>
        <v>0</v>
      </c>
      <c r="L22" s="864"/>
      <c r="M22" s="864"/>
      <c r="N22" s="864"/>
      <c r="O22" s="965" t="s">
        <v>352</v>
      </c>
      <c r="P22" s="966"/>
      <c r="Q22" s="864">
        <f>☆入力!AC31</f>
        <v>0</v>
      </c>
      <c r="R22" s="864"/>
      <c r="S22" s="864"/>
      <c r="T22" s="864"/>
      <c r="U22" s="1006" t="str">
        <f t="shared" si="0"/>
        <v/>
      </c>
      <c r="V22" s="1006"/>
      <c r="W22" s="1006"/>
      <c r="Y22" s="62"/>
    </row>
    <row r="23" spans="1:61" s="3" customFormat="1" ht="21" customHeight="1">
      <c r="A23" s="913">
        <v>17</v>
      </c>
      <c r="B23" s="913"/>
      <c r="C23" s="914">
        <f>IF($C$5=☆入力!$B$15,☆入力!$B32,☆入力!$C32)</f>
        <v>0</v>
      </c>
      <c r="D23" s="915"/>
      <c r="E23" s="915"/>
      <c r="F23" s="916"/>
      <c r="G23" s="917">
        <f>☆入力!D32</f>
        <v>0</v>
      </c>
      <c r="H23" s="917"/>
      <c r="I23" s="917"/>
      <c r="J23" s="917"/>
      <c r="K23" s="864">
        <f>☆入力!Y32</f>
        <v>0</v>
      </c>
      <c r="L23" s="864"/>
      <c r="M23" s="864"/>
      <c r="N23" s="864"/>
      <c r="O23" s="965" t="s">
        <v>352</v>
      </c>
      <c r="P23" s="966"/>
      <c r="Q23" s="864">
        <f>☆入力!AC32</f>
        <v>0</v>
      </c>
      <c r="R23" s="864"/>
      <c r="S23" s="864"/>
      <c r="T23" s="864"/>
      <c r="U23" s="1006" t="str">
        <f t="shared" si="0"/>
        <v/>
      </c>
      <c r="V23" s="1006"/>
      <c r="W23" s="1006"/>
      <c r="Y23" s="62"/>
    </row>
    <row r="24" spans="1:61" s="3" customFormat="1" ht="21" customHeight="1">
      <c r="A24" s="913">
        <v>18</v>
      </c>
      <c r="B24" s="913"/>
      <c r="C24" s="914">
        <f>IF($C$5=☆入力!$B$15,☆入力!$B33,☆入力!$C33)</f>
        <v>0</v>
      </c>
      <c r="D24" s="915"/>
      <c r="E24" s="915"/>
      <c r="F24" s="916"/>
      <c r="G24" s="917">
        <f>☆入力!D33</f>
        <v>0</v>
      </c>
      <c r="H24" s="917"/>
      <c r="I24" s="917"/>
      <c r="J24" s="917"/>
      <c r="K24" s="864">
        <f>☆入力!Y33</f>
        <v>0</v>
      </c>
      <c r="L24" s="864"/>
      <c r="M24" s="864"/>
      <c r="N24" s="864"/>
      <c r="O24" s="965" t="s">
        <v>352</v>
      </c>
      <c r="P24" s="966"/>
      <c r="Q24" s="864">
        <f>☆入力!AC33</f>
        <v>0</v>
      </c>
      <c r="R24" s="864"/>
      <c r="S24" s="864"/>
      <c r="T24" s="864"/>
      <c r="U24" s="1006" t="str">
        <f t="shared" si="0"/>
        <v/>
      </c>
      <c r="V24" s="1006"/>
      <c r="W24" s="1006"/>
      <c r="Y24" s="62"/>
    </row>
    <row r="25" spans="1:61" s="3" customFormat="1" ht="21" customHeight="1">
      <c r="A25" s="913">
        <v>19</v>
      </c>
      <c r="B25" s="913"/>
      <c r="C25" s="914">
        <f>IF($C$5=☆入力!$B$15,☆入力!$B34,☆入力!$C34)</f>
        <v>0</v>
      </c>
      <c r="D25" s="915"/>
      <c r="E25" s="915"/>
      <c r="F25" s="916"/>
      <c r="G25" s="917">
        <f>☆入力!D34</f>
        <v>0</v>
      </c>
      <c r="H25" s="917"/>
      <c r="I25" s="917"/>
      <c r="J25" s="917"/>
      <c r="K25" s="864">
        <f>☆入力!Y34</f>
        <v>0</v>
      </c>
      <c r="L25" s="864"/>
      <c r="M25" s="864"/>
      <c r="N25" s="864"/>
      <c r="O25" s="965" t="s">
        <v>352</v>
      </c>
      <c r="P25" s="966"/>
      <c r="Q25" s="864">
        <f>☆入力!AC34</f>
        <v>0</v>
      </c>
      <c r="R25" s="864"/>
      <c r="S25" s="864"/>
      <c r="T25" s="864"/>
      <c r="U25" s="1006" t="str">
        <f t="shared" si="0"/>
        <v/>
      </c>
      <c r="V25" s="1006"/>
      <c r="W25" s="1006"/>
      <c r="Y25" s="62"/>
    </row>
    <row r="26" spans="1:61" s="3" customFormat="1" ht="21" customHeight="1">
      <c r="A26" s="913">
        <v>20</v>
      </c>
      <c r="B26" s="913"/>
      <c r="C26" s="914">
        <f>IF($C$5=☆入力!$B$15,☆入力!$B35,☆入力!$C35)</f>
        <v>0</v>
      </c>
      <c r="D26" s="915"/>
      <c r="E26" s="915"/>
      <c r="F26" s="916"/>
      <c r="G26" s="917">
        <f>☆入力!D35</f>
        <v>0</v>
      </c>
      <c r="H26" s="917"/>
      <c r="I26" s="917"/>
      <c r="J26" s="917"/>
      <c r="K26" s="864">
        <f>☆入力!Y35</f>
        <v>0</v>
      </c>
      <c r="L26" s="864"/>
      <c r="M26" s="864"/>
      <c r="N26" s="864"/>
      <c r="O26" s="965" t="s">
        <v>352</v>
      </c>
      <c r="P26" s="966"/>
      <c r="Q26" s="864">
        <f>☆入力!AC35</f>
        <v>0</v>
      </c>
      <c r="R26" s="864"/>
      <c r="S26" s="864"/>
      <c r="T26" s="864"/>
      <c r="U26" s="1006" t="str">
        <f t="shared" si="0"/>
        <v/>
      </c>
      <c r="V26" s="1006"/>
      <c r="W26" s="1006"/>
      <c r="Y26" s="62"/>
    </row>
    <row r="27" spans="1:61" s="3" customFormat="1" ht="21" customHeight="1">
      <c r="A27" s="913">
        <v>21</v>
      </c>
      <c r="B27" s="913"/>
      <c r="C27" s="914">
        <f>IF($C$5=☆入力!$B$15,☆入力!$B36,☆入力!$C36)</f>
        <v>0</v>
      </c>
      <c r="D27" s="915"/>
      <c r="E27" s="915"/>
      <c r="F27" s="916"/>
      <c r="G27" s="917">
        <f>☆入力!D36</f>
        <v>0</v>
      </c>
      <c r="H27" s="917"/>
      <c r="I27" s="917"/>
      <c r="J27" s="917"/>
      <c r="K27" s="864">
        <f>☆入力!Y36</f>
        <v>0</v>
      </c>
      <c r="L27" s="864"/>
      <c r="M27" s="864"/>
      <c r="N27" s="864"/>
      <c r="O27" s="965" t="s">
        <v>352</v>
      </c>
      <c r="P27" s="966"/>
      <c r="Q27" s="864">
        <f>☆入力!AC36</f>
        <v>0</v>
      </c>
      <c r="R27" s="864"/>
      <c r="S27" s="864"/>
      <c r="T27" s="864"/>
      <c r="U27" s="1006" t="str">
        <f t="shared" si="0"/>
        <v/>
      </c>
      <c r="V27" s="1006"/>
      <c r="W27" s="1006"/>
      <c r="Y27" s="62"/>
      <c r="AA27" s="964" t="s">
        <v>357</v>
      </c>
      <c r="AB27" s="964"/>
      <c r="AC27" s="964"/>
      <c r="AD27" s="964"/>
      <c r="AE27" s="964"/>
      <c r="AF27" s="964"/>
      <c r="AG27" s="964"/>
      <c r="AH27" s="964"/>
      <c r="AI27" s="964"/>
      <c r="AJ27" s="964"/>
      <c r="AK27" s="964"/>
      <c r="AL27" s="964"/>
      <c r="AM27" s="964"/>
      <c r="AN27" s="964"/>
      <c r="AO27" s="964"/>
      <c r="AP27" s="964"/>
      <c r="AQ27" s="964"/>
      <c r="AR27" s="964"/>
      <c r="AS27" s="964"/>
      <c r="AT27" s="964"/>
      <c r="AU27" s="964"/>
      <c r="AV27" s="964"/>
      <c r="AW27" s="964"/>
      <c r="AX27" s="964"/>
      <c r="AY27" s="964"/>
      <c r="AZ27" s="964"/>
      <c r="BA27" s="964"/>
      <c r="BB27" s="964"/>
      <c r="BC27" s="964"/>
      <c r="BD27" s="964"/>
      <c r="BE27" s="964"/>
      <c r="BF27" s="964"/>
      <c r="BG27" s="964"/>
      <c r="BH27" s="964"/>
      <c r="BI27" s="964"/>
    </row>
    <row r="28" spans="1:61" s="3" customFormat="1" ht="21" customHeight="1" thickBot="1">
      <c r="A28" s="913">
        <v>22</v>
      </c>
      <c r="B28" s="913"/>
      <c r="C28" s="914">
        <f>IF($C$5=☆入力!$B$15,☆入力!$B37,☆入力!$C37)</f>
        <v>0</v>
      </c>
      <c r="D28" s="915"/>
      <c r="E28" s="915"/>
      <c r="F28" s="916"/>
      <c r="G28" s="917">
        <f>☆入力!D37</f>
        <v>0</v>
      </c>
      <c r="H28" s="917"/>
      <c r="I28" s="917"/>
      <c r="J28" s="917"/>
      <c r="K28" s="864">
        <f>☆入力!Y37</f>
        <v>0</v>
      </c>
      <c r="L28" s="864"/>
      <c r="M28" s="864"/>
      <c r="N28" s="864"/>
      <c r="O28" s="965" t="s">
        <v>352</v>
      </c>
      <c r="P28" s="966"/>
      <c r="Q28" s="864">
        <f>☆入力!AC37</f>
        <v>0</v>
      </c>
      <c r="R28" s="864"/>
      <c r="S28" s="864"/>
      <c r="T28" s="864"/>
      <c r="U28" s="1006" t="str">
        <f t="shared" si="0"/>
        <v/>
      </c>
      <c r="V28" s="1006"/>
      <c r="W28" s="1006"/>
      <c r="Y28" s="62"/>
      <c r="AA28" s="964"/>
      <c r="AB28" s="964"/>
      <c r="AC28" s="964"/>
      <c r="AD28" s="964"/>
      <c r="AE28" s="964"/>
      <c r="AF28" s="964"/>
      <c r="AG28" s="964"/>
      <c r="AH28" s="964"/>
      <c r="AI28" s="964"/>
      <c r="AJ28" s="964"/>
      <c r="AK28" s="964"/>
      <c r="AL28" s="964"/>
      <c r="AM28" s="964"/>
      <c r="AN28" s="964"/>
      <c r="AO28" s="964"/>
      <c r="AP28" s="964"/>
      <c r="AQ28" s="964"/>
      <c r="AR28" s="964"/>
      <c r="AS28" s="964"/>
      <c r="AT28" s="964"/>
      <c r="AU28" s="964"/>
      <c r="AV28" s="964"/>
      <c r="AW28" s="964"/>
      <c r="AX28" s="964"/>
      <c r="AY28" s="964"/>
      <c r="AZ28" s="964"/>
      <c r="BA28" s="964"/>
      <c r="BB28" s="964"/>
      <c r="BC28" s="964"/>
      <c r="BD28" s="964"/>
      <c r="BE28" s="964"/>
      <c r="BF28" s="964"/>
      <c r="BG28" s="964"/>
      <c r="BH28" s="964"/>
      <c r="BI28" s="964"/>
    </row>
    <row r="29" spans="1:61" s="3" customFormat="1" ht="21" customHeight="1" thickTop="1">
      <c r="A29" s="913">
        <v>23</v>
      </c>
      <c r="B29" s="913"/>
      <c r="C29" s="914">
        <f>IF($C$5=☆入力!$B$15,☆入力!$B38,☆入力!$C38)</f>
        <v>0</v>
      </c>
      <c r="D29" s="915"/>
      <c r="E29" s="915"/>
      <c r="F29" s="916"/>
      <c r="G29" s="917">
        <f>☆入力!D38</f>
        <v>0</v>
      </c>
      <c r="H29" s="917"/>
      <c r="I29" s="917"/>
      <c r="J29" s="917"/>
      <c r="K29" s="864">
        <f>☆入力!Y38</f>
        <v>0</v>
      </c>
      <c r="L29" s="864"/>
      <c r="M29" s="864"/>
      <c r="N29" s="864"/>
      <c r="O29" s="965" t="s">
        <v>352</v>
      </c>
      <c r="P29" s="966"/>
      <c r="Q29" s="864">
        <f>☆入力!AC38</f>
        <v>0</v>
      </c>
      <c r="R29" s="864"/>
      <c r="S29" s="864"/>
      <c r="T29" s="864"/>
      <c r="U29" s="1006" t="str">
        <f t="shared" si="0"/>
        <v/>
      </c>
      <c r="V29" s="1006"/>
      <c r="W29" s="1006"/>
      <c r="Y29" s="62"/>
      <c r="AA29" s="869">
        <f>AA7+AA13+AA19</f>
        <v>0</v>
      </c>
      <c r="AB29" s="870"/>
      <c r="AC29" s="870"/>
      <c r="AD29" s="870"/>
      <c r="AE29" s="870"/>
      <c r="AF29" s="870"/>
      <c r="AG29" s="870"/>
      <c r="AH29" s="870"/>
      <c r="AI29" s="871"/>
      <c r="AJ29" s="982" t="s">
        <v>353</v>
      </c>
      <c r="AK29" s="964"/>
      <c r="AL29" s="964"/>
      <c r="AM29" s="983"/>
      <c r="AN29" s="946">
        <f>AN7+AN13+AN19</f>
        <v>0</v>
      </c>
      <c r="AO29" s="947"/>
      <c r="AP29" s="947"/>
      <c r="AQ29" s="947"/>
      <c r="AR29" s="947"/>
      <c r="AS29" s="947"/>
      <c r="AT29" s="947"/>
      <c r="AU29" s="947"/>
      <c r="AV29" s="948"/>
      <c r="AW29" s="1004" t="s">
        <v>354</v>
      </c>
      <c r="AX29" s="964"/>
      <c r="AY29" s="964"/>
      <c r="AZ29" s="1005"/>
      <c r="BA29" s="998">
        <f>AA29-AN29</f>
        <v>0</v>
      </c>
      <c r="BB29" s="999"/>
      <c r="BC29" s="999"/>
      <c r="BD29" s="999"/>
      <c r="BE29" s="999"/>
      <c r="BF29" s="999"/>
      <c r="BG29" s="999"/>
      <c r="BH29" s="999"/>
      <c r="BI29" s="1000"/>
    </row>
    <row r="30" spans="1:61" s="3" customFormat="1" ht="21" customHeight="1" thickBot="1">
      <c r="A30" s="1018">
        <v>24</v>
      </c>
      <c r="B30" s="1018"/>
      <c r="C30" s="1019">
        <f>IF($C$5=☆入力!$B$15,☆入力!$B39,☆入力!$C39)</f>
        <v>0</v>
      </c>
      <c r="D30" s="1020"/>
      <c r="E30" s="1020"/>
      <c r="F30" s="1021"/>
      <c r="G30" s="1022">
        <f>☆入力!D39</f>
        <v>0</v>
      </c>
      <c r="H30" s="1022"/>
      <c r="I30" s="1022"/>
      <c r="J30" s="1022"/>
      <c r="K30" s="1013">
        <f>☆入力!Y39</f>
        <v>0</v>
      </c>
      <c r="L30" s="1013"/>
      <c r="M30" s="1013"/>
      <c r="N30" s="1013"/>
      <c r="O30" s="965" t="s">
        <v>352</v>
      </c>
      <c r="P30" s="966"/>
      <c r="Q30" s="1013">
        <f>☆入力!AC39</f>
        <v>0</v>
      </c>
      <c r="R30" s="1013"/>
      <c r="S30" s="1013"/>
      <c r="T30" s="1013"/>
      <c r="U30" s="1009" t="str">
        <f t="shared" si="0"/>
        <v/>
      </c>
      <c r="V30" s="1009"/>
      <c r="W30" s="1009"/>
      <c r="Y30" s="62"/>
      <c r="AA30" s="872"/>
      <c r="AB30" s="873"/>
      <c r="AC30" s="873"/>
      <c r="AD30" s="873"/>
      <c r="AE30" s="873"/>
      <c r="AF30" s="873"/>
      <c r="AG30" s="873"/>
      <c r="AH30" s="873"/>
      <c r="AI30" s="874"/>
      <c r="AJ30" s="982"/>
      <c r="AK30" s="964"/>
      <c r="AL30" s="964"/>
      <c r="AM30" s="983"/>
      <c r="AN30" s="949"/>
      <c r="AO30" s="950"/>
      <c r="AP30" s="950"/>
      <c r="AQ30" s="950"/>
      <c r="AR30" s="950"/>
      <c r="AS30" s="950"/>
      <c r="AT30" s="950"/>
      <c r="AU30" s="950"/>
      <c r="AV30" s="951"/>
      <c r="AW30" s="1004"/>
      <c r="AX30" s="964"/>
      <c r="AY30" s="964"/>
      <c r="AZ30" s="1005"/>
      <c r="BA30" s="1001"/>
      <c r="BB30" s="1002"/>
      <c r="BC30" s="1002"/>
      <c r="BD30" s="1002"/>
      <c r="BE30" s="1002"/>
      <c r="BF30" s="1002"/>
      <c r="BG30" s="1002"/>
      <c r="BH30" s="1002"/>
      <c r="BI30" s="1003"/>
    </row>
    <row r="31" spans="1:61" s="3" customFormat="1" ht="21" customHeight="1" thickTop="1">
      <c r="A31" s="913">
        <v>25</v>
      </c>
      <c r="B31" s="913"/>
      <c r="C31" s="914">
        <f>IF($C$5=☆入力!$B$15,☆入力!$B40,☆入力!$C40)</f>
        <v>0</v>
      </c>
      <c r="D31" s="915"/>
      <c r="E31" s="915"/>
      <c r="F31" s="916"/>
      <c r="G31" s="917">
        <f>☆入力!D40</f>
        <v>0</v>
      </c>
      <c r="H31" s="917"/>
      <c r="I31" s="917"/>
      <c r="J31" s="917"/>
      <c r="K31" s="864">
        <f>☆入力!Y40</f>
        <v>0</v>
      </c>
      <c r="L31" s="864"/>
      <c r="M31" s="864"/>
      <c r="N31" s="864"/>
      <c r="O31" s="965" t="s">
        <v>352</v>
      </c>
      <c r="P31" s="966"/>
      <c r="Q31" s="864">
        <f>☆入力!AC40</f>
        <v>0</v>
      </c>
      <c r="R31" s="864"/>
      <c r="S31" s="864"/>
      <c r="T31" s="864"/>
      <c r="U31" s="1006" t="str">
        <f t="shared" si="0"/>
        <v/>
      </c>
      <c r="V31" s="1006"/>
      <c r="W31" s="1006"/>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913">
        <v>26</v>
      </c>
      <c r="B32" s="913"/>
      <c r="C32" s="914">
        <f>IF($C$5=☆入力!$B$15,☆入力!$B41,☆入力!$C41)</f>
        <v>0</v>
      </c>
      <c r="D32" s="915"/>
      <c r="E32" s="915"/>
      <c r="F32" s="916"/>
      <c r="G32" s="917">
        <f>☆入力!D41</f>
        <v>0</v>
      </c>
      <c r="H32" s="917"/>
      <c r="I32" s="917"/>
      <c r="J32" s="917"/>
      <c r="K32" s="864">
        <f>☆入力!Y41</f>
        <v>0</v>
      </c>
      <c r="L32" s="864"/>
      <c r="M32" s="864"/>
      <c r="N32" s="864"/>
      <c r="O32" s="965" t="s">
        <v>352</v>
      </c>
      <c r="P32" s="966"/>
      <c r="Q32" s="864">
        <f>☆入力!AC41</f>
        <v>0</v>
      </c>
      <c r="R32" s="864"/>
      <c r="S32" s="864"/>
      <c r="T32" s="864"/>
      <c r="U32" s="1006" t="str">
        <f>IFERROR(100%-(Q32/K32),"")</f>
        <v/>
      </c>
      <c r="V32" s="1006"/>
      <c r="W32" s="1006"/>
      <c r="Y32" s="62"/>
      <c r="Z32" s="13" t="s">
        <v>358</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913">
        <v>27</v>
      </c>
      <c r="B33" s="913"/>
      <c r="C33" s="914">
        <f>IF($C$5=☆入力!$B$15,☆入力!$B42,☆入力!$C42)</f>
        <v>0</v>
      </c>
      <c r="D33" s="915"/>
      <c r="E33" s="915"/>
      <c r="F33" s="916"/>
      <c r="G33" s="917">
        <f>☆入力!D42</f>
        <v>0</v>
      </c>
      <c r="H33" s="917"/>
      <c r="I33" s="917"/>
      <c r="J33" s="917"/>
      <c r="K33" s="864">
        <f>☆入力!Y42</f>
        <v>0</v>
      </c>
      <c r="L33" s="864"/>
      <c r="M33" s="864"/>
      <c r="N33" s="864"/>
      <c r="O33" s="965" t="s">
        <v>352</v>
      </c>
      <c r="P33" s="966"/>
      <c r="Q33" s="864">
        <f>☆入力!AC42</f>
        <v>0</v>
      </c>
      <c r="R33" s="864"/>
      <c r="S33" s="864"/>
      <c r="T33" s="864"/>
      <c r="U33" s="1006" t="str">
        <f>IFERROR(100%-(Q33/K33),"")</f>
        <v/>
      </c>
      <c r="V33" s="1006"/>
      <c r="W33" s="1006"/>
      <c r="Y33" s="62"/>
      <c r="Z33" s="1041">
        <f>☆入力!X2</f>
        <v>0</v>
      </c>
      <c r="AA33" s="1042"/>
      <c r="AB33" s="1042"/>
      <c r="AC33" s="1042"/>
      <c r="AD33" s="1042"/>
      <c r="AE33" s="1042"/>
      <c r="AF33" s="1042"/>
      <c r="AG33" s="1042"/>
      <c r="AH33" s="1042"/>
      <c r="AI33" s="1042"/>
      <c r="AJ33" s="1042"/>
      <c r="AK33" s="1042"/>
      <c r="AL33" s="1042"/>
      <c r="AM33" s="1042"/>
      <c r="AN33" s="1042"/>
      <c r="AO33" s="1042"/>
      <c r="AP33" s="1042"/>
      <c r="AQ33" s="1042"/>
      <c r="AR33" s="1042"/>
      <c r="AS33" s="1042"/>
      <c r="AT33" s="1042"/>
      <c r="AU33" s="1042"/>
      <c r="AV33" s="1042"/>
      <c r="AW33" s="1042"/>
      <c r="AX33" s="1042"/>
      <c r="AY33" s="1042"/>
      <c r="AZ33" s="1042"/>
      <c r="BA33" s="1042"/>
      <c r="BB33" s="1042"/>
      <c r="BC33" s="1042"/>
      <c r="BD33" s="1042"/>
      <c r="BE33" s="1042"/>
      <c r="BF33" s="1042"/>
      <c r="BG33" s="1042"/>
      <c r="BH33" s="1042"/>
      <c r="BI33" s="1043"/>
    </row>
    <row r="34" spans="1:61" s="3" customFormat="1" ht="21" customHeight="1">
      <c r="A34" s="913">
        <v>28</v>
      </c>
      <c r="B34" s="913"/>
      <c r="C34" s="914">
        <f>IF($C$5=☆入力!$B$15,☆入力!$B43,☆入力!$C43)</f>
        <v>0</v>
      </c>
      <c r="D34" s="915"/>
      <c r="E34" s="915"/>
      <c r="F34" s="916"/>
      <c r="G34" s="917">
        <f>☆入力!D43</f>
        <v>0</v>
      </c>
      <c r="H34" s="917"/>
      <c r="I34" s="917"/>
      <c r="J34" s="917"/>
      <c r="K34" s="864">
        <f>☆入力!Y43</f>
        <v>0</v>
      </c>
      <c r="L34" s="864"/>
      <c r="M34" s="864"/>
      <c r="N34" s="864"/>
      <c r="O34" s="965" t="s">
        <v>352</v>
      </c>
      <c r="P34" s="966"/>
      <c r="Q34" s="864">
        <f>☆入力!AC43</f>
        <v>0</v>
      </c>
      <c r="R34" s="864"/>
      <c r="S34" s="864"/>
      <c r="T34" s="864"/>
      <c r="U34" s="1006" t="str">
        <f>IFERROR(100%-(Q34/K34),"")</f>
        <v/>
      </c>
      <c r="V34" s="1006"/>
      <c r="W34" s="1006"/>
      <c r="Y34" s="62"/>
      <c r="Z34" s="1035">
        <f>☆入力!X3</f>
        <v>0</v>
      </c>
      <c r="AA34" s="1036"/>
      <c r="AB34" s="1036"/>
      <c r="AC34" s="1036"/>
      <c r="AD34" s="1036"/>
      <c r="AE34" s="1036"/>
      <c r="AF34" s="1036"/>
      <c r="AG34" s="1036"/>
      <c r="AH34" s="1036"/>
      <c r="AI34" s="1036"/>
      <c r="AJ34" s="1036"/>
      <c r="AK34" s="1036"/>
      <c r="AL34" s="1036"/>
      <c r="AM34" s="1036"/>
      <c r="AN34" s="1036"/>
      <c r="AO34" s="1036"/>
      <c r="AP34" s="1036"/>
      <c r="AQ34" s="1036"/>
      <c r="AR34" s="1036"/>
      <c r="AS34" s="1036"/>
      <c r="AT34" s="1036"/>
      <c r="AU34" s="1036"/>
      <c r="AV34" s="1036"/>
      <c r="AW34" s="1036"/>
      <c r="AX34" s="1036"/>
      <c r="AY34" s="1036"/>
      <c r="AZ34" s="1036"/>
      <c r="BA34" s="1036"/>
      <c r="BB34" s="1036"/>
      <c r="BC34" s="1036"/>
      <c r="BD34" s="1036"/>
      <c r="BE34" s="1036"/>
      <c r="BF34" s="1036"/>
      <c r="BG34" s="1036"/>
      <c r="BH34" s="1036"/>
      <c r="BI34" s="1037"/>
    </row>
    <row r="35" spans="1:61" s="3" customFormat="1" ht="21" customHeight="1">
      <c r="A35" s="913">
        <v>29</v>
      </c>
      <c r="B35" s="913"/>
      <c r="C35" s="914">
        <f>IF($C$5=☆入力!$B$15,☆入力!$B44,☆入力!$C44)</f>
        <v>0</v>
      </c>
      <c r="D35" s="915"/>
      <c r="E35" s="915"/>
      <c r="F35" s="916"/>
      <c r="G35" s="917">
        <f>☆入力!D44</f>
        <v>0</v>
      </c>
      <c r="H35" s="917"/>
      <c r="I35" s="917"/>
      <c r="J35" s="917"/>
      <c r="K35" s="864">
        <f>☆入力!Y44</f>
        <v>0</v>
      </c>
      <c r="L35" s="864"/>
      <c r="M35" s="864"/>
      <c r="N35" s="864"/>
      <c r="O35" s="965" t="s">
        <v>352</v>
      </c>
      <c r="P35" s="966"/>
      <c r="Q35" s="864">
        <f>☆入力!AC44</f>
        <v>0</v>
      </c>
      <c r="R35" s="864"/>
      <c r="S35" s="864"/>
      <c r="T35" s="864"/>
      <c r="U35" s="1006" t="str">
        <f>IFERROR(100%-(Q35/K35),"")</f>
        <v/>
      </c>
      <c r="V35" s="1006"/>
      <c r="W35" s="1006"/>
      <c r="Y35" s="62"/>
      <c r="Z35" s="1035">
        <f>☆入力!X4</f>
        <v>0</v>
      </c>
      <c r="AA35" s="1036"/>
      <c r="AB35" s="1036"/>
      <c r="AC35" s="1036"/>
      <c r="AD35" s="1036"/>
      <c r="AE35" s="1036"/>
      <c r="AF35" s="1036"/>
      <c r="AG35" s="1036"/>
      <c r="AH35" s="1036"/>
      <c r="AI35" s="1036"/>
      <c r="AJ35" s="1036"/>
      <c r="AK35" s="1036"/>
      <c r="AL35" s="1036"/>
      <c r="AM35" s="1036"/>
      <c r="AN35" s="1036"/>
      <c r="AO35" s="1036"/>
      <c r="AP35" s="1036"/>
      <c r="AQ35" s="1036"/>
      <c r="AR35" s="1036"/>
      <c r="AS35" s="1036"/>
      <c r="AT35" s="1036"/>
      <c r="AU35" s="1036"/>
      <c r="AV35" s="1036"/>
      <c r="AW35" s="1036"/>
      <c r="AX35" s="1036"/>
      <c r="AY35" s="1036"/>
      <c r="AZ35" s="1036"/>
      <c r="BA35" s="1036"/>
      <c r="BB35" s="1036"/>
      <c r="BC35" s="1036"/>
      <c r="BD35" s="1036"/>
      <c r="BE35" s="1036"/>
      <c r="BF35" s="1036"/>
      <c r="BG35" s="1036"/>
      <c r="BH35" s="1036"/>
      <c r="BI35" s="1037"/>
    </row>
    <row r="36" spans="1:61" s="3" customFormat="1" ht="21" customHeight="1">
      <c r="A36" s="922">
        <v>30</v>
      </c>
      <c r="B36" s="922"/>
      <c r="C36" s="923">
        <f>IF($C$5=☆入力!$B$15,☆入力!$B45,☆入力!$C45)</f>
        <v>0</v>
      </c>
      <c r="D36" s="924"/>
      <c r="E36" s="924"/>
      <c r="F36" s="925"/>
      <c r="G36" s="926">
        <f>☆入力!D45</f>
        <v>0</v>
      </c>
      <c r="H36" s="926"/>
      <c r="I36" s="926"/>
      <c r="J36" s="926"/>
      <c r="K36" s="932">
        <f>☆入力!Y45</f>
        <v>0</v>
      </c>
      <c r="L36" s="932"/>
      <c r="M36" s="932"/>
      <c r="N36" s="932"/>
      <c r="O36" s="965" t="s">
        <v>352</v>
      </c>
      <c r="P36" s="966"/>
      <c r="Q36" s="932">
        <f>☆入力!AC45</f>
        <v>0</v>
      </c>
      <c r="R36" s="932"/>
      <c r="S36" s="932"/>
      <c r="T36" s="932"/>
      <c r="U36" s="1034" t="str">
        <f>IFERROR(100%-(Q36/K36),"")</f>
        <v/>
      </c>
      <c r="V36" s="1034"/>
      <c r="W36" s="1034"/>
      <c r="Y36" s="62"/>
      <c r="Z36" s="1035">
        <f>☆入力!X5</f>
        <v>0</v>
      </c>
      <c r="AA36" s="1036"/>
      <c r="AB36" s="1036"/>
      <c r="AC36" s="1036"/>
      <c r="AD36" s="1036"/>
      <c r="AE36" s="1036"/>
      <c r="AF36" s="1036"/>
      <c r="AG36" s="1036"/>
      <c r="AH36" s="1036"/>
      <c r="AI36" s="1036"/>
      <c r="AJ36" s="1036"/>
      <c r="AK36" s="1036"/>
      <c r="AL36" s="1036"/>
      <c r="AM36" s="1036"/>
      <c r="AN36" s="1036"/>
      <c r="AO36" s="1036"/>
      <c r="AP36" s="1036"/>
      <c r="AQ36" s="1036"/>
      <c r="AR36" s="1036"/>
      <c r="AS36" s="1036"/>
      <c r="AT36" s="1036"/>
      <c r="AU36" s="1036"/>
      <c r="AV36" s="1036"/>
      <c r="AW36" s="1036"/>
      <c r="AX36" s="1036"/>
      <c r="AY36" s="1036"/>
      <c r="AZ36" s="1036"/>
      <c r="BA36" s="1036"/>
      <c r="BB36" s="1036"/>
      <c r="BC36" s="1036"/>
      <c r="BD36" s="1036"/>
      <c r="BE36" s="1036"/>
      <c r="BF36" s="1036"/>
      <c r="BG36" s="1036"/>
      <c r="BH36" s="1036"/>
      <c r="BI36" s="1037"/>
    </row>
    <row r="37" spans="1:61" s="13" customFormat="1" ht="21" customHeight="1">
      <c r="C37" s="479"/>
      <c r="D37" s="479"/>
      <c r="E37" s="479"/>
      <c r="F37" s="479"/>
      <c r="G37" s="479"/>
      <c r="H37" s="479"/>
      <c r="I37" s="479"/>
      <c r="J37" s="479"/>
      <c r="Y37" s="62"/>
      <c r="Z37" s="1035">
        <f>☆入力!X6</f>
        <v>0</v>
      </c>
      <c r="AA37" s="1036"/>
      <c r="AB37" s="1036"/>
      <c r="AC37" s="1036"/>
      <c r="AD37" s="1036"/>
      <c r="AE37" s="1036"/>
      <c r="AF37" s="1036"/>
      <c r="AG37" s="1036"/>
      <c r="AH37" s="1036"/>
      <c r="AI37" s="1036"/>
      <c r="AJ37" s="1036"/>
      <c r="AK37" s="1036"/>
      <c r="AL37" s="1036"/>
      <c r="AM37" s="1036"/>
      <c r="AN37" s="1036"/>
      <c r="AO37" s="1036"/>
      <c r="AP37" s="1036"/>
      <c r="AQ37" s="1036"/>
      <c r="AR37" s="1036"/>
      <c r="AS37" s="1036"/>
      <c r="AT37" s="1036"/>
      <c r="AU37" s="1036"/>
      <c r="AV37" s="1036"/>
      <c r="AW37" s="1036"/>
      <c r="AX37" s="1036"/>
      <c r="AY37" s="1036"/>
      <c r="AZ37" s="1036"/>
      <c r="BA37" s="1036"/>
      <c r="BB37" s="1036"/>
      <c r="BC37" s="1036"/>
      <c r="BD37" s="1036"/>
      <c r="BE37" s="1036"/>
      <c r="BF37" s="1036"/>
      <c r="BG37" s="1036"/>
      <c r="BH37" s="1036"/>
      <c r="BI37" s="1037"/>
    </row>
    <row r="38" spans="1:61" s="13" customFormat="1" ht="21" customHeight="1">
      <c r="C38" s="479"/>
      <c r="D38" s="479"/>
      <c r="E38" s="479"/>
      <c r="F38" s="479"/>
      <c r="G38" s="479"/>
      <c r="H38" s="479"/>
      <c r="I38" s="479"/>
      <c r="J38" s="479"/>
      <c r="K38" s="1014">
        <f>SUM(K7:N36)</f>
        <v>0</v>
      </c>
      <c r="L38" s="1014"/>
      <c r="M38" s="1014"/>
      <c r="N38" s="1014"/>
      <c r="O38" s="1016" t="s">
        <v>352</v>
      </c>
      <c r="P38" s="1017"/>
      <c r="Q38" s="1014">
        <f>SUM(Q7:T36)</f>
        <v>0</v>
      </c>
      <c r="R38" s="1014"/>
      <c r="S38" s="1014"/>
      <c r="T38" s="1014"/>
      <c r="U38" s="1007" t="str">
        <f>IFERROR(100%-(Q38/K38),"")</f>
        <v/>
      </c>
      <c r="V38" s="1007"/>
      <c r="W38" s="1007"/>
      <c r="Y38" s="62"/>
      <c r="Z38" s="1035">
        <f>☆入力!X7</f>
        <v>0</v>
      </c>
      <c r="AA38" s="1036"/>
      <c r="AB38" s="1036"/>
      <c r="AC38" s="1036"/>
      <c r="AD38" s="1036"/>
      <c r="AE38" s="1036"/>
      <c r="AF38" s="1036"/>
      <c r="AG38" s="1036"/>
      <c r="AH38" s="1036"/>
      <c r="AI38" s="1036"/>
      <c r="AJ38" s="1036"/>
      <c r="AK38" s="1036"/>
      <c r="AL38" s="1036"/>
      <c r="AM38" s="1036"/>
      <c r="AN38" s="1036"/>
      <c r="AO38" s="1036"/>
      <c r="AP38" s="1036"/>
      <c r="AQ38" s="1036"/>
      <c r="AR38" s="1036"/>
      <c r="AS38" s="1036"/>
      <c r="AT38" s="1036"/>
      <c r="AU38" s="1036"/>
      <c r="AV38" s="1036"/>
      <c r="AW38" s="1036"/>
      <c r="AX38" s="1036"/>
      <c r="AY38" s="1036"/>
      <c r="AZ38" s="1036"/>
      <c r="BA38" s="1036"/>
      <c r="BB38" s="1036"/>
      <c r="BC38" s="1036"/>
      <c r="BD38" s="1036"/>
      <c r="BE38" s="1036"/>
      <c r="BF38" s="1036"/>
      <c r="BG38" s="1036"/>
      <c r="BH38" s="1036"/>
      <c r="BI38" s="1037"/>
    </row>
    <row r="39" spans="1:61" s="13" customFormat="1" ht="21" customHeight="1">
      <c r="C39" s="14"/>
      <c r="D39" s="14"/>
      <c r="E39" s="14"/>
      <c r="F39" s="14"/>
      <c r="G39" s="14"/>
      <c r="H39" s="14"/>
      <c r="I39" s="14"/>
      <c r="J39" s="14"/>
      <c r="K39" s="1015"/>
      <c r="L39" s="1015"/>
      <c r="M39" s="1015"/>
      <c r="N39" s="1015"/>
      <c r="O39" s="1016"/>
      <c r="P39" s="1017"/>
      <c r="Q39" s="1015"/>
      <c r="R39" s="1015"/>
      <c r="S39" s="1015"/>
      <c r="T39" s="1015"/>
      <c r="U39" s="1008"/>
      <c r="V39" s="1008"/>
      <c r="W39" s="1008"/>
      <c r="Y39" s="62"/>
      <c r="Z39" s="1035">
        <f>☆入力!X8</f>
        <v>0</v>
      </c>
      <c r="AA39" s="1036"/>
      <c r="AB39" s="1036"/>
      <c r="AC39" s="1036"/>
      <c r="AD39" s="1036"/>
      <c r="AE39" s="1036"/>
      <c r="AF39" s="1036"/>
      <c r="AG39" s="1036"/>
      <c r="AH39" s="1036"/>
      <c r="AI39" s="1036"/>
      <c r="AJ39" s="1036"/>
      <c r="AK39" s="1036"/>
      <c r="AL39" s="1036"/>
      <c r="AM39" s="1036"/>
      <c r="AN39" s="1036"/>
      <c r="AO39" s="1036"/>
      <c r="AP39" s="1036"/>
      <c r="AQ39" s="1036"/>
      <c r="AR39" s="1036"/>
      <c r="AS39" s="1036"/>
      <c r="AT39" s="1036"/>
      <c r="AU39" s="1036"/>
      <c r="AV39" s="1036"/>
      <c r="AW39" s="1036"/>
      <c r="AX39" s="1036"/>
      <c r="AY39" s="1036"/>
      <c r="AZ39" s="1036"/>
      <c r="BA39" s="1036"/>
      <c r="BB39" s="1036"/>
      <c r="BC39" s="1036"/>
      <c r="BD39" s="1036"/>
      <c r="BE39" s="1036"/>
      <c r="BF39" s="1036"/>
      <c r="BG39" s="1036"/>
      <c r="BH39" s="1036"/>
      <c r="BI39" s="1037"/>
    </row>
    <row r="40" spans="1:61" s="13" customFormat="1" ht="21" customHeight="1" thickBot="1">
      <c r="A40" s="74"/>
      <c r="C40" s="14"/>
      <c r="D40" s="14"/>
      <c r="E40" s="14"/>
      <c r="F40" s="14"/>
      <c r="G40" s="74"/>
      <c r="H40" s="14"/>
      <c r="I40" s="14"/>
      <c r="J40" s="14"/>
      <c r="K40" s="74"/>
      <c r="Q40" s="14"/>
      <c r="R40" s="14"/>
      <c r="Y40" s="62"/>
      <c r="Z40" s="1035">
        <f>☆入力!X9</f>
        <v>0</v>
      </c>
      <c r="AA40" s="1036"/>
      <c r="AB40" s="1036"/>
      <c r="AC40" s="1036"/>
      <c r="AD40" s="1036"/>
      <c r="AE40" s="1036"/>
      <c r="AF40" s="1036"/>
      <c r="AG40" s="1036"/>
      <c r="AH40" s="1036"/>
      <c r="AI40" s="1036"/>
      <c r="AJ40" s="1036"/>
      <c r="AK40" s="1036"/>
      <c r="AL40" s="1036"/>
      <c r="AM40" s="1036"/>
      <c r="AN40" s="1036"/>
      <c r="AO40" s="1036"/>
      <c r="AP40" s="1036"/>
      <c r="AQ40" s="1036"/>
      <c r="AR40" s="1036"/>
      <c r="AS40" s="1036"/>
      <c r="AT40" s="1036"/>
      <c r="AU40" s="1036"/>
      <c r="AV40" s="1036"/>
      <c r="AW40" s="1036"/>
      <c r="AX40" s="1036"/>
      <c r="AY40" s="1036"/>
      <c r="AZ40" s="1036"/>
      <c r="BA40" s="1036"/>
      <c r="BB40" s="1036"/>
      <c r="BC40" s="1036"/>
      <c r="BD40" s="1036"/>
      <c r="BE40" s="1036"/>
      <c r="BF40" s="1036"/>
      <c r="BG40" s="1036"/>
      <c r="BH40" s="1036"/>
      <c r="BI40" s="1037"/>
    </row>
    <row r="41" spans="1:61" ht="21" customHeight="1" thickTop="1">
      <c r="A41" s="1032" t="s">
        <v>359</v>
      </c>
      <c r="B41" s="1032"/>
      <c r="C41" s="1032"/>
      <c r="D41" s="1032"/>
      <c r="E41" s="1032"/>
      <c r="F41" s="1032"/>
      <c r="G41" s="1032"/>
      <c r="H41" s="1032"/>
      <c r="I41" s="1032"/>
      <c r="J41" s="1032"/>
      <c r="K41" s="1032"/>
      <c r="L41" s="1032"/>
      <c r="M41" s="1032"/>
      <c r="N41" s="1032"/>
      <c r="O41" s="1032"/>
      <c r="P41" s="1033"/>
      <c r="Q41" s="1023">
        <f>K38-Q38</f>
        <v>0</v>
      </c>
      <c r="R41" s="1024"/>
      <c r="S41" s="1024"/>
      <c r="T41" s="1024"/>
      <c r="U41" s="1024"/>
      <c r="V41" s="1024"/>
      <c r="W41" s="1025"/>
      <c r="Y41" s="62"/>
      <c r="Z41" s="1035">
        <f>☆入力!X10</f>
        <v>0</v>
      </c>
      <c r="AA41" s="1036"/>
      <c r="AB41" s="1036"/>
      <c r="AC41" s="1036"/>
      <c r="AD41" s="1036"/>
      <c r="AE41" s="1036"/>
      <c r="AF41" s="1036"/>
      <c r="AG41" s="1036"/>
      <c r="AH41" s="1036"/>
      <c r="AI41" s="1036"/>
      <c r="AJ41" s="1036"/>
      <c r="AK41" s="1036"/>
      <c r="AL41" s="1036"/>
      <c r="AM41" s="1036"/>
      <c r="AN41" s="1036"/>
      <c r="AO41" s="1036"/>
      <c r="AP41" s="1036"/>
      <c r="AQ41" s="1036"/>
      <c r="AR41" s="1036"/>
      <c r="AS41" s="1036"/>
      <c r="AT41" s="1036"/>
      <c r="AU41" s="1036"/>
      <c r="AV41" s="1036"/>
      <c r="AW41" s="1036"/>
      <c r="AX41" s="1036"/>
      <c r="AY41" s="1036"/>
      <c r="AZ41" s="1036"/>
      <c r="BA41" s="1036"/>
      <c r="BB41" s="1036"/>
      <c r="BC41" s="1036"/>
      <c r="BD41" s="1036"/>
      <c r="BE41" s="1036"/>
      <c r="BF41" s="1036"/>
      <c r="BG41" s="1036"/>
      <c r="BH41" s="1036"/>
      <c r="BI41" s="1037"/>
    </row>
    <row r="42" spans="1:61" ht="21" customHeight="1" thickBot="1">
      <c r="A42" s="1032"/>
      <c r="B42" s="1032"/>
      <c r="C42" s="1032"/>
      <c r="D42" s="1032"/>
      <c r="E42" s="1032"/>
      <c r="F42" s="1032"/>
      <c r="G42" s="1032"/>
      <c r="H42" s="1032"/>
      <c r="I42" s="1032"/>
      <c r="J42" s="1032"/>
      <c r="K42" s="1032"/>
      <c r="L42" s="1032"/>
      <c r="M42" s="1032"/>
      <c r="N42" s="1032"/>
      <c r="O42" s="1032"/>
      <c r="P42" s="1033"/>
      <c r="Q42" s="1026"/>
      <c r="R42" s="1027"/>
      <c r="S42" s="1027"/>
      <c r="T42" s="1027"/>
      <c r="U42" s="1027"/>
      <c r="V42" s="1027"/>
      <c r="W42" s="1028"/>
      <c r="Y42" s="62"/>
      <c r="Z42" s="1038">
        <f>☆入力!X11</f>
        <v>0</v>
      </c>
      <c r="AA42" s="1039"/>
      <c r="AB42" s="1039"/>
      <c r="AC42" s="1039"/>
      <c r="AD42" s="1039"/>
      <c r="AE42" s="1039"/>
      <c r="AF42" s="1039"/>
      <c r="AG42" s="1039"/>
      <c r="AH42" s="1039"/>
      <c r="AI42" s="1039"/>
      <c r="AJ42" s="1039"/>
      <c r="AK42" s="1039"/>
      <c r="AL42" s="1039"/>
      <c r="AM42" s="1039"/>
      <c r="AN42" s="1039"/>
      <c r="AO42" s="1039"/>
      <c r="AP42" s="1039"/>
      <c r="AQ42" s="1039"/>
      <c r="AR42" s="1039"/>
      <c r="AS42" s="1039"/>
      <c r="AT42" s="1039"/>
      <c r="AU42" s="1039"/>
      <c r="AV42" s="1039"/>
      <c r="AW42" s="1039"/>
      <c r="AX42" s="1039"/>
      <c r="AY42" s="1039"/>
      <c r="AZ42" s="1039"/>
      <c r="BA42" s="1039"/>
      <c r="BB42" s="1039"/>
      <c r="BC42" s="1039"/>
      <c r="BD42" s="1039"/>
      <c r="BE42" s="1039"/>
      <c r="BF42" s="1039"/>
      <c r="BG42" s="1039"/>
      <c r="BH42" s="1039"/>
      <c r="BI42" s="1040"/>
    </row>
    <row r="43" spans="1:61" ht="21" customHeight="1" thickTop="1">
      <c r="Y43" s="3"/>
    </row>
    <row r="44" spans="1:61" ht="21" customHeight="1">
      <c r="A44" s="57" t="s">
        <v>360</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0">
        <v>5</v>
      </c>
    </row>
  </sheetData>
  <mergeCells count="268">
    <mergeCell ref="Z41:BI41"/>
    <mergeCell ref="Z42:BI42"/>
    <mergeCell ref="Z33:BI33"/>
    <mergeCell ref="Z34:BI34"/>
    <mergeCell ref="Z35:BI35"/>
    <mergeCell ref="Z36:BI36"/>
    <mergeCell ref="Z37:BI37"/>
    <mergeCell ref="Z38:BI38"/>
    <mergeCell ref="Z39:BI39"/>
    <mergeCell ref="Z40:BI40"/>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6:B16"/>
    <mergeCell ref="C16:F16"/>
    <mergeCell ref="G16:J16"/>
    <mergeCell ref="K16:N16"/>
    <mergeCell ref="A17:B17"/>
    <mergeCell ref="C17:F17"/>
    <mergeCell ref="G17:J17"/>
    <mergeCell ref="K17:N17"/>
    <mergeCell ref="A15:B15"/>
    <mergeCell ref="C15:F15"/>
    <mergeCell ref="G15:J15"/>
    <mergeCell ref="K15:N15"/>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8:B28"/>
    <mergeCell ref="C28:F28"/>
    <mergeCell ref="G28:J28"/>
    <mergeCell ref="A27:B27"/>
    <mergeCell ref="C27:F27"/>
    <mergeCell ref="G27:J27"/>
    <mergeCell ref="K28:N28"/>
    <mergeCell ref="A26:B26"/>
    <mergeCell ref="C26:F26"/>
    <mergeCell ref="G26:J26"/>
    <mergeCell ref="K26:N26"/>
    <mergeCell ref="K27:N27"/>
    <mergeCell ref="A29:B29"/>
    <mergeCell ref="C29:F29"/>
    <mergeCell ref="G29:J29"/>
    <mergeCell ref="A31:B31"/>
    <mergeCell ref="C31:F31"/>
    <mergeCell ref="G31:J31"/>
    <mergeCell ref="K29:N29"/>
    <mergeCell ref="A30:B30"/>
    <mergeCell ref="C30:F30"/>
    <mergeCell ref="G30:J30"/>
    <mergeCell ref="K30:N30"/>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Q11:T11"/>
    <mergeCell ref="Q14:T14"/>
    <mergeCell ref="AA7:AI8"/>
    <mergeCell ref="U7:W7"/>
    <mergeCell ref="U8:W8"/>
    <mergeCell ref="U9:W9"/>
    <mergeCell ref="U10:W10"/>
    <mergeCell ref="U11:W11"/>
    <mergeCell ref="U12:W12"/>
    <mergeCell ref="U13:W13"/>
    <mergeCell ref="U14:W14"/>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U15:W15"/>
    <mergeCell ref="U16:W16"/>
    <mergeCell ref="U17:W17"/>
    <mergeCell ref="U18:W18"/>
    <mergeCell ref="U19:W19"/>
    <mergeCell ref="U20:W20"/>
    <mergeCell ref="O16:P16"/>
    <mergeCell ref="O17:P17"/>
    <mergeCell ref="Q16:T16"/>
    <mergeCell ref="Q17:T17"/>
    <mergeCell ref="O15:P15"/>
    <mergeCell ref="Q15:T15"/>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51" t="s">
        <v>361</v>
      </c>
      <c r="C2" s="851"/>
      <c r="D2" s="851"/>
      <c r="E2" s="851"/>
      <c r="F2" s="851"/>
      <c r="G2" s="851"/>
      <c r="H2" s="851"/>
      <c r="I2" s="851"/>
      <c r="J2" s="851"/>
    </row>
    <row r="3" spans="2:10">
      <c r="B3" s="851"/>
      <c r="C3" s="851"/>
      <c r="D3" s="851"/>
      <c r="E3" s="851"/>
      <c r="F3" s="851"/>
      <c r="G3" s="851"/>
      <c r="H3" s="851"/>
      <c r="I3" s="851"/>
      <c r="J3" s="851"/>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55" zoomScaleNormal="80" zoomScaleSheetLayoutView="55" workbookViewId="0">
      <selection activeCell="A49" sqref="A49:C49"/>
    </sheetView>
  </sheetViews>
  <sheetFormatPr defaultColWidth="3.5" defaultRowHeight="21" customHeight="1" outlineLevelRow="1"/>
  <cols>
    <col min="1" max="2" width="3.5" style="1"/>
    <col min="3" max="13" width="3.5" style="2"/>
    <col min="14" max="16384" width="3.5" style="1"/>
  </cols>
  <sheetData>
    <row r="1" spans="1:57" ht="38.25">
      <c r="A1" s="884" t="s">
        <v>311</v>
      </c>
      <c r="B1" s="884"/>
      <c r="C1" s="884"/>
      <c r="D1" s="884"/>
      <c r="E1" s="884"/>
      <c r="F1" s="884"/>
      <c r="G1" s="884"/>
      <c r="H1" s="884"/>
      <c r="I1" s="884"/>
      <c r="J1" s="884"/>
      <c r="K1" s="884"/>
      <c r="L1" s="884"/>
      <c r="M1" s="884"/>
      <c r="N1" s="884"/>
      <c r="O1" s="884"/>
      <c r="P1" s="884"/>
      <c r="Q1" s="884"/>
      <c r="R1" s="884"/>
      <c r="S1" s="884"/>
      <c r="T1" s="884"/>
      <c r="U1" s="884"/>
      <c r="V1" s="884"/>
      <c r="W1" s="884"/>
      <c r="X1" s="884"/>
      <c r="Y1" s="884"/>
      <c r="Z1" s="884"/>
      <c r="AA1" s="884"/>
      <c r="AB1" s="884"/>
      <c r="AC1" s="884"/>
      <c r="AD1" s="884"/>
      <c r="AE1" s="884"/>
      <c r="AF1" s="884"/>
      <c r="AG1" s="884"/>
      <c r="AH1" s="884"/>
      <c r="AI1" s="884"/>
      <c r="AJ1" s="884"/>
      <c r="AK1" s="884"/>
      <c r="AL1" s="884"/>
      <c r="AM1" s="884"/>
      <c r="AN1" s="884"/>
      <c r="AO1" s="884"/>
      <c r="AP1" s="884"/>
      <c r="AQ1" s="884"/>
      <c r="AR1" s="884"/>
      <c r="AS1" s="884"/>
      <c r="AT1" s="884"/>
      <c r="AU1" s="884"/>
      <c r="AV1" s="884"/>
      <c r="AW1" s="884"/>
      <c r="AX1" s="884"/>
      <c r="AY1" s="884"/>
      <c r="AZ1" s="884"/>
      <c r="BA1" s="884"/>
      <c r="BB1" s="884"/>
      <c r="BC1" s="884"/>
      <c r="BD1" s="884"/>
      <c r="BE1" s="54"/>
    </row>
    <row r="2" spans="1:57"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57" s="3" customFormat="1" ht="23.1" customHeight="1" thickTop="1">
      <c r="R3" s="852" t="s">
        <v>312</v>
      </c>
      <c r="S3" s="853"/>
      <c r="T3" s="853"/>
      <c r="U3" s="853"/>
      <c r="V3" s="853"/>
      <c r="W3" s="853"/>
      <c r="X3" s="853"/>
      <c r="Y3" s="853"/>
      <c r="Z3" s="853"/>
      <c r="AA3" s="853"/>
      <c r="AB3" s="854"/>
      <c r="AC3" s="59"/>
      <c r="AD3" s="59"/>
      <c r="AE3" s="59"/>
      <c r="AF3" s="858" t="s">
        <v>313</v>
      </c>
      <c r="AG3" s="859"/>
      <c r="AH3" s="859"/>
      <c r="AI3" s="859"/>
      <c r="AJ3" s="859"/>
      <c r="AK3" s="859"/>
      <c r="AL3" s="859"/>
      <c r="AM3" s="859"/>
      <c r="AN3" s="859"/>
      <c r="AO3" s="859"/>
      <c r="AP3" s="859"/>
      <c r="AQ3" s="859"/>
      <c r="AR3" s="859"/>
      <c r="AS3" s="859"/>
      <c r="AT3" s="859"/>
      <c r="AU3" s="859"/>
      <c r="AV3" s="859"/>
      <c r="AW3" s="859"/>
      <c r="AX3" s="859"/>
      <c r="AY3" s="859"/>
      <c r="AZ3" s="859"/>
      <c r="BA3" s="860"/>
      <c r="BB3" s="59"/>
      <c r="BC3" s="59"/>
      <c r="BD3" s="59"/>
    </row>
    <row r="4" spans="1:57" s="12" customFormat="1" ht="21" customHeight="1" thickBot="1">
      <c r="B4" s="11"/>
      <c r="C4" s="11"/>
      <c r="D4" s="11"/>
      <c r="E4" s="11"/>
      <c r="F4" s="11"/>
      <c r="G4" s="11"/>
      <c r="H4" s="11"/>
      <c r="I4" s="11"/>
      <c r="J4" s="11"/>
      <c r="K4" s="11"/>
      <c r="L4" s="11"/>
      <c r="M4" s="11"/>
      <c r="N4" s="11"/>
      <c r="O4" s="11"/>
      <c r="P4" s="11"/>
      <c r="Q4" s="11"/>
      <c r="R4" s="855"/>
      <c r="S4" s="856"/>
      <c r="T4" s="856"/>
      <c r="U4" s="856"/>
      <c r="V4" s="856"/>
      <c r="W4" s="856"/>
      <c r="X4" s="856"/>
      <c r="Y4" s="856"/>
      <c r="Z4" s="856"/>
      <c r="AA4" s="856"/>
      <c r="AB4" s="857"/>
      <c r="AD4" s="65"/>
      <c r="AF4" s="861"/>
      <c r="AG4" s="862"/>
      <c r="AH4" s="862"/>
      <c r="AI4" s="862"/>
      <c r="AJ4" s="862"/>
      <c r="AK4" s="862"/>
      <c r="AL4" s="862"/>
      <c r="AM4" s="862"/>
      <c r="AN4" s="862"/>
      <c r="AO4" s="862"/>
      <c r="AP4" s="862"/>
      <c r="AQ4" s="862"/>
      <c r="AR4" s="862"/>
      <c r="AS4" s="862"/>
      <c r="AT4" s="862"/>
      <c r="AU4" s="862"/>
      <c r="AV4" s="862"/>
      <c r="AW4" s="862"/>
      <c r="AX4" s="862"/>
      <c r="AY4" s="862"/>
      <c r="AZ4" s="862"/>
      <c r="BA4" s="863"/>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903" t="s">
        <v>314</v>
      </c>
      <c r="B6" s="907"/>
      <c r="C6" s="908" t="str">
        <f>LED計算式!M32</f>
        <v>試算エリア</v>
      </c>
      <c r="D6" s="909"/>
      <c r="E6" s="909"/>
      <c r="F6" s="910"/>
      <c r="G6" s="920" t="s">
        <v>315</v>
      </c>
      <c r="H6" s="920"/>
      <c r="I6" s="920"/>
      <c r="J6" s="920"/>
      <c r="K6" s="920"/>
      <c r="L6" s="921" t="s">
        <v>316</v>
      </c>
      <c r="M6" s="921"/>
      <c r="N6" s="921"/>
      <c r="O6" s="921"/>
      <c r="P6" s="902" t="s">
        <v>211</v>
      </c>
      <c r="Q6" s="903"/>
      <c r="R6" s="904" t="s">
        <v>117</v>
      </c>
      <c r="S6" s="904"/>
      <c r="T6" s="904"/>
      <c r="U6" s="905" t="s">
        <v>317</v>
      </c>
      <c r="V6" s="905"/>
      <c r="W6" s="905"/>
      <c r="X6" s="905"/>
      <c r="Y6" s="906" t="s">
        <v>318</v>
      </c>
      <c r="Z6" s="906"/>
      <c r="AA6" s="906"/>
      <c r="AB6" s="906"/>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5" t="s">
        <v>319</v>
      </c>
      <c r="AG7" s="875"/>
      <c r="AH7" s="875"/>
      <c r="AI7" s="875"/>
      <c r="AJ7" s="875"/>
      <c r="AK7" s="875"/>
      <c r="AL7" s="875"/>
      <c r="AM7" s="875"/>
      <c r="AN7" s="875"/>
      <c r="AO7" s="875"/>
      <c r="AP7" s="875"/>
      <c r="AQ7" s="875"/>
      <c r="AR7" s="875"/>
      <c r="AS7" s="869">
        <f>Y39*120</f>
        <v>0</v>
      </c>
      <c r="AT7" s="870"/>
      <c r="AU7" s="870"/>
      <c r="AV7" s="870"/>
      <c r="AW7" s="870"/>
      <c r="AX7" s="870"/>
      <c r="AY7" s="870"/>
      <c r="AZ7" s="870"/>
      <c r="BA7" s="871"/>
    </row>
    <row r="8" spans="1:57" s="3" customFormat="1" ht="21" customHeight="1" thickBot="1">
      <c r="A8" s="911">
        <v>1</v>
      </c>
      <c r="B8" s="911"/>
      <c r="C8" s="912" t="str">
        <f>IF($C$6=☆入力!$B$15,☆入力!$B16,☆入力!$C16)</f>
        <v>あいえうお</v>
      </c>
      <c r="D8" s="912"/>
      <c r="E8" s="912"/>
      <c r="F8" s="912"/>
      <c r="G8" s="912">
        <f>☆入力!D16</f>
        <v>0</v>
      </c>
      <c r="H8" s="912"/>
      <c r="I8" s="912"/>
      <c r="J8" s="912"/>
      <c r="K8" s="912"/>
      <c r="L8" s="919">
        <f>☆入力!H16</f>
        <v>0</v>
      </c>
      <c r="M8" s="919"/>
      <c r="N8" s="919"/>
      <c r="O8" s="919"/>
      <c r="P8" s="879">
        <f>☆入力!L16</f>
        <v>0</v>
      </c>
      <c r="Q8" s="880"/>
      <c r="R8" s="881">
        <f>☆入力!K16</f>
        <v>0</v>
      </c>
      <c r="S8" s="881"/>
      <c r="T8" s="881"/>
      <c r="U8" s="882">
        <f>☆入力!W16</f>
        <v>0</v>
      </c>
      <c r="V8" s="882"/>
      <c r="W8" s="882"/>
      <c r="X8" s="882"/>
      <c r="Y8" s="883">
        <f>☆入力!Y16</f>
        <v>0</v>
      </c>
      <c r="Z8" s="883"/>
      <c r="AA8" s="883"/>
      <c r="AB8" s="883"/>
      <c r="AD8" s="62"/>
      <c r="AF8" s="875"/>
      <c r="AG8" s="875"/>
      <c r="AH8" s="875"/>
      <c r="AI8" s="875"/>
      <c r="AJ8" s="875"/>
      <c r="AK8" s="875"/>
      <c r="AL8" s="875"/>
      <c r="AM8" s="875"/>
      <c r="AN8" s="875"/>
      <c r="AO8" s="875"/>
      <c r="AP8" s="875"/>
      <c r="AQ8" s="875"/>
      <c r="AR8" s="875"/>
      <c r="AS8" s="872"/>
      <c r="AT8" s="873"/>
      <c r="AU8" s="873"/>
      <c r="AV8" s="873"/>
      <c r="AW8" s="873"/>
      <c r="AX8" s="873"/>
      <c r="AY8" s="873"/>
      <c r="AZ8" s="873"/>
      <c r="BA8" s="874"/>
    </row>
    <row r="9" spans="1:57" s="3" customFormat="1" ht="21" customHeight="1" thickTop="1">
      <c r="A9" s="913">
        <v>2</v>
      </c>
      <c r="B9" s="913"/>
      <c r="C9" s="914" t="str">
        <f>IF($C$6=☆入力!$B$15,☆入力!$B17,☆入力!$C17)</f>
        <v>あいえうお</v>
      </c>
      <c r="D9" s="915"/>
      <c r="E9" s="915"/>
      <c r="F9" s="916"/>
      <c r="G9" s="917">
        <f>☆入力!D17</f>
        <v>0</v>
      </c>
      <c r="H9" s="917"/>
      <c r="I9" s="917"/>
      <c r="J9" s="917"/>
      <c r="K9" s="917"/>
      <c r="L9" s="867">
        <f>☆入力!H17</f>
        <v>0</v>
      </c>
      <c r="M9" s="867"/>
      <c r="N9" s="867"/>
      <c r="O9" s="867"/>
      <c r="P9" s="865">
        <f>☆入力!L17</f>
        <v>0</v>
      </c>
      <c r="Q9" s="866"/>
      <c r="R9" s="878">
        <f>☆入力!K17</f>
        <v>0</v>
      </c>
      <c r="S9" s="878"/>
      <c r="T9" s="878"/>
      <c r="U9" s="877">
        <f>☆入力!W17</f>
        <v>0</v>
      </c>
      <c r="V9" s="877"/>
      <c r="W9" s="877"/>
      <c r="X9" s="877"/>
      <c r="Y9" s="864">
        <f>☆入力!Y17</f>
        <v>0</v>
      </c>
      <c r="Z9" s="864"/>
      <c r="AA9" s="864"/>
      <c r="AB9" s="864"/>
      <c r="AD9" s="62"/>
    </row>
    <row r="10" spans="1:57" s="3" customFormat="1" ht="21" customHeight="1">
      <c r="A10" s="913">
        <v>3</v>
      </c>
      <c r="B10" s="913"/>
      <c r="C10" s="914" t="str">
        <f>IF($C$6=☆入力!$B$15,☆入力!$B18,☆入力!$C18)</f>
        <v>あいえうお</v>
      </c>
      <c r="D10" s="915"/>
      <c r="E10" s="915"/>
      <c r="F10" s="916"/>
      <c r="G10" s="917">
        <f>☆入力!D18</f>
        <v>0</v>
      </c>
      <c r="H10" s="917"/>
      <c r="I10" s="917"/>
      <c r="J10" s="917"/>
      <c r="K10" s="917"/>
      <c r="L10" s="867">
        <f>☆入力!H18</f>
        <v>0</v>
      </c>
      <c r="M10" s="867"/>
      <c r="N10" s="867"/>
      <c r="O10" s="867"/>
      <c r="P10" s="865">
        <f>☆入力!L18</f>
        <v>0</v>
      </c>
      <c r="Q10" s="866"/>
      <c r="R10" s="878">
        <f>☆入力!K18</f>
        <v>0</v>
      </c>
      <c r="S10" s="878"/>
      <c r="T10" s="878"/>
      <c r="U10" s="877">
        <f>☆入力!W18</f>
        <v>0</v>
      </c>
      <c r="V10" s="877"/>
      <c r="W10" s="877"/>
      <c r="X10" s="877"/>
      <c r="Y10" s="864">
        <f>☆入力!Y18</f>
        <v>0</v>
      </c>
      <c r="Z10" s="864"/>
      <c r="AA10" s="864"/>
      <c r="AB10" s="864"/>
      <c r="AD10" s="62"/>
      <c r="AG10" s="66" t="s">
        <v>320</v>
      </c>
      <c r="AH10" s="66"/>
      <c r="AI10" s="66"/>
      <c r="AJ10" s="66"/>
      <c r="AK10" s="66"/>
      <c r="AL10" s="66"/>
      <c r="AM10" s="66"/>
      <c r="AN10" s="13"/>
      <c r="AO10" s="918">
        <f>Y39</f>
        <v>0</v>
      </c>
      <c r="AP10" s="918"/>
      <c r="AQ10" s="918"/>
      <c r="AR10" s="918"/>
      <c r="AS10" s="66" t="s">
        <v>321</v>
      </c>
      <c r="AT10" s="66"/>
      <c r="AU10" s="66"/>
      <c r="AV10" s="66"/>
      <c r="AW10" s="66"/>
      <c r="AX10" s="66"/>
      <c r="AY10" s="66"/>
      <c r="AZ10" s="66"/>
      <c r="BA10" s="66"/>
    </row>
    <row r="11" spans="1:57" s="3" customFormat="1" ht="21" customHeight="1">
      <c r="A11" s="913">
        <v>4</v>
      </c>
      <c r="B11" s="913"/>
      <c r="C11" s="914" t="str">
        <f>IF($C$6=☆入力!$B$15,☆入力!$B19,☆入力!$C19)</f>
        <v>あいえうお</v>
      </c>
      <c r="D11" s="915"/>
      <c r="E11" s="915"/>
      <c r="F11" s="916"/>
      <c r="G11" s="917">
        <f>☆入力!D19</f>
        <v>0</v>
      </c>
      <c r="H11" s="917"/>
      <c r="I11" s="917"/>
      <c r="J11" s="917"/>
      <c r="K11" s="917"/>
      <c r="L11" s="867">
        <f>☆入力!H19</f>
        <v>0</v>
      </c>
      <c r="M11" s="867"/>
      <c r="N11" s="867"/>
      <c r="O11" s="867"/>
      <c r="P11" s="865">
        <f>☆入力!L19</f>
        <v>0</v>
      </c>
      <c r="Q11" s="866"/>
      <c r="R11" s="878">
        <f>☆入力!K19</f>
        <v>0</v>
      </c>
      <c r="S11" s="878"/>
      <c r="T11" s="878"/>
      <c r="U11" s="877">
        <f>☆入力!W19</f>
        <v>0</v>
      </c>
      <c r="V11" s="877"/>
      <c r="W11" s="877"/>
      <c r="X11" s="877"/>
      <c r="Y11" s="864">
        <f>☆入力!Y19</f>
        <v>0</v>
      </c>
      <c r="Z11" s="864"/>
      <c r="AA11" s="864"/>
      <c r="AB11" s="864"/>
      <c r="AD11" s="62"/>
    </row>
    <row r="12" spans="1:57" s="3" customFormat="1" ht="21" customHeight="1">
      <c r="A12" s="913">
        <v>5</v>
      </c>
      <c r="B12" s="913"/>
      <c r="C12" s="914" t="str">
        <f>IF($C$6=☆入力!$B$15,☆入力!$B20,☆入力!$C20)</f>
        <v>あいえうお</v>
      </c>
      <c r="D12" s="915"/>
      <c r="E12" s="915"/>
      <c r="F12" s="916"/>
      <c r="G12" s="917">
        <f>☆入力!D20</f>
        <v>0</v>
      </c>
      <c r="H12" s="917"/>
      <c r="I12" s="917"/>
      <c r="J12" s="917"/>
      <c r="K12" s="917"/>
      <c r="L12" s="867">
        <f>☆入力!H20</f>
        <v>0</v>
      </c>
      <c r="M12" s="867"/>
      <c r="N12" s="867"/>
      <c r="O12" s="867"/>
      <c r="P12" s="865">
        <f>☆入力!L20</f>
        <v>0</v>
      </c>
      <c r="Q12" s="866"/>
      <c r="R12" s="878">
        <f>☆入力!K20</f>
        <v>0</v>
      </c>
      <c r="S12" s="878"/>
      <c r="T12" s="878"/>
      <c r="U12" s="877">
        <f>☆入力!W20</f>
        <v>0</v>
      </c>
      <c r="V12" s="877"/>
      <c r="W12" s="877"/>
      <c r="X12" s="877"/>
      <c r="Y12" s="864">
        <f>☆入力!Y20</f>
        <v>0</v>
      </c>
      <c r="Z12" s="864"/>
      <c r="AA12" s="864"/>
      <c r="AB12" s="864"/>
      <c r="AD12" s="62"/>
    </row>
    <row r="13" spans="1:57" s="3" customFormat="1" ht="21" customHeight="1">
      <c r="A13" s="913">
        <v>6</v>
      </c>
      <c r="B13" s="913"/>
      <c r="C13" s="914" t="str">
        <f>IF($C$6=☆入力!$B$15,☆入力!$B21,☆入力!$C21)</f>
        <v>あいえうお</v>
      </c>
      <c r="D13" s="915"/>
      <c r="E13" s="915"/>
      <c r="F13" s="916"/>
      <c r="G13" s="917">
        <f>☆入力!D21</f>
        <v>0</v>
      </c>
      <c r="H13" s="917"/>
      <c r="I13" s="917"/>
      <c r="J13" s="917"/>
      <c r="K13" s="917"/>
      <c r="L13" s="867">
        <f>☆入力!H21</f>
        <v>0</v>
      </c>
      <c r="M13" s="867"/>
      <c r="N13" s="867"/>
      <c r="O13" s="867"/>
      <c r="P13" s="865">
        <f>☆入力!L21</f>
        <v>0</v>
      </c>
      <c r="Q13" s="866"/>
      <c r="R13" s="878">
        <f>☆入力!K21</f>
        <v>0</v>
      </c>
      <c r="S13" s="878"/>
      <c r="T13" s="878"/>
      <c r="U13" s="877">
        <f>☆入力!W21</f>
        <v>0</v>
      </c>
      <c r="V13" s="877"/>
      <c r="W13" s="877"/>
      <c r="X13" s="877"/>
      <c r="Y13" s="864">
        <f>☆入力!Y21</f>
        <v>0</v>
      </c>
      <c r="Z13" s="864"/>
      <c r="AA13" s="864"/>
      <c r="AB13" s="864"/>
      <c r="AD13" s="62"/>
      <c r="AS13" s="901" t="s">
        <v>322</v>
      </c>
      <c r="AT13" s="901"/>
      <c r="AU13" s="901"/>
      <c r="AV13" s="901"/>
      <c r="AW13" s="901"/>
      <c r="AX13" s="901"/>
      <c r="AY13" s="901"/>
      <c r="AZ13" s="901"/>
      <c r="BA13" s="901"/>
    </row>
    <row r="14" spans="1:57" s="3" customFormat="1" ht="21" customHeight="1">
      <c r="A14" s="913">
        <v>7</v>
      </c>
      <c r="B14" s="913"/>
      <c r="C14" s="914">
        <f>IF($C$6=☆入力!$B$15,☆入力!$B22,☆入力!$C22)</f>
        <v>0</v>
      </c>
      <c r="D14" s="915"/>
      <c r="E14" s="915"/>
      <c r="F14" s="916"/>
      <c r="G14" s="917">
        <f>☆入力!D22</f>
        <v>0</v>
      </c>
      <c r="H14" s="917"/>
      <c r="I14" s="917"/>
      <c r="J14" s="917"/>
      <c r="K14" s="917"/>
      <c r="L14" s="867">
        <f>☆入力!H22</f>
        <v>0</v>
      </c>
      <c r="M14" s="867"/>
      <c r="N14" s="867"/>
      <c r="O14" s="867"/>
      <c r="P14" s="865">
        <f>☆入力!L22</f>
        <v>0</v>
      </c>
      <c r="Q14" s="866"/>
      <c r="R14" s="878">
        <f>☆入力!K22</f>
        <v>0</v>
      </c>
      <c r="S14" s="878"/>
      <c r="T14" s="878"/>
      <c r="U14" s="877">
        <f>☆入力!W22</f>
        <v>0</v>
      </c>
      <c r="V14" s="877"/>
      <c r="W14" s="877"/>
      <c r="X14" s="877"/>
      <c r="Y14" s="864">
        <f>☆入力!Y22</f>
        <v>0</v>
      </c>
      <c r="Z14" s="864"/>
      <c r="AA14" s="864"/>
      <c r="AB14" s="864"/>
      <c r="AD14" s="62"/>
      <c r="AS14" s="901"/>
      <c r="AT14" s="901"/>
      <c r="AU14" s="901"/>
      <c r="AV14" s="901"/>
      <c r="AW14" s="901"/>
      <c r="AX14" s="901"/>
      <c r="AY14" s="901"/>
      <c r="AZ14" s="901"/>
      <c r="BA14" s="901"/>
    </row>
    <row r="15" spans="1:57" s="3" customFormat="1" ht="21" customHeight="1">
      <c r="A15" s="913">
        <v>8</v>
      </c>
      <c r="B15" s="913"/>
      <c r="C15" s="914">
        <f>IF($C$6=☆入力!$B$15,☆入力!$B23,☆入力!$C23)</f>
        <v>0</v>
      </c>
      <c r="D15" s="915"/>
      <c r="E15" s="915"/>
      <c r="F15" s="916"/>
      <c r="G15" s="917">
        <f>☆入力!D23</f>
        <v>0</v>
      </c>
      <c r="H15" s="917"/>
      <c r="I15" s="917"/>
      <c r="J15" s="917"/>
      <c r="K15" s="917"/>
      <c r="L15" s="867">
        <f>☆入力!H23</f>
        <v>0</v>
      </c>
      <c r="M15" s="867"/>
      <c r="N15" s="867"/>
      <c r="O15" s="867"/>
      <c r="P15" s="865">
        <f>☆入力!L23</f>
        <v>0</v>
      </c>
      <c r="Q15" s="866"/>
      <c r="R15" s="878">
        <f>☆入力!K23</f>
        <v>0</v>
      </c>
      <c r="S15" s="878"/>
      <c r="T15" s="878"/>
      <c r="U15" s="877">
        <f>☆入力!W23</f>
        <v>0</v>
      </c>
      <c r="V15" s="877"/>
      <c r="W15" s="877"/>
      <c r="X15" s="877"/>
      <c r="Y15" s="864">
        <f>☆入力!Y23</f>
        <v>0</v>
      </c>
      <c r="Z15" s="864"/>
      <c r="AA15" s="864"/>
      <c r="AB15" s="864"/>
      <c r="AD15" s="62"/>
    </row>
    <row r="16" spans="1:57" s="3" customFormat="1" ht="21" customHeight="1">
      <c r="A16" s="913">
        <v>9</v>
      </c>
      <c r="B16" s="913"/>
      <c r="C16" s="914">
        <f>IF($C$6=☆入力!$B$15,☆入力!$B24,☆入力!$C24)</f>
        <v>0</v>
      </c>
      <c r="D16" s="915"/>
      <c r="E16" s="915"/>
      <c r="F16" s="916"/>
      <c r="G16" s="917">
        <f>☆入力!D24</f>
        <v>0</v>
      </c>
      <c r="H16" s="917"/>
      <c r="I16" s="917"/>
      <c r="J16" s="917"/>
      <c r="K16" s="917"/>
      <c r="L16" s="867">
        <f>☆入力!H24</f>
        <v>0</v>
      </c>
      <c r="M16" s="867"/>
      <c r="N16" s="867"/>
      <c r="O16" s="867"/>
      <c r="P16" s="865">
        <f>☆入力!L24</f>
        <v>0</v>
      </c>
      <c r="Q16" s="866"/>
      <c r="R16" s="878">
        <f>☆入力!K24</f>
        <v>0</v>
      </c>
      <c r="S16" s="878"/>
      <c r="T16" s="878"/>
      <c r="U16" s="877">
        <f>☆入力!W24</f>
        <v>0</v>
      </c>
      <c r="V16" s="877"/>
      <c r="W16" s="877"/>
      <c r="X16" s="877"/>
      <c r="Y16" s="864">
        <f>☆入力!Y24</f>
        <v>0</v>
      </c>
      <c r="Z16" s="864"/>
      <c r="AA16" s="864"/>
      <c r="AB16" s="864"/>
      <c r="AD16" s="62"/>
      <c r="AF16" s="875" t="s">
        <v>323</v>
      </c>
      <c r="AG16" s="875"/>
      <c r="AH16" s="875"/>
      <c r="AI16" s="875"/>
      <c r="AJ16" s="875"/>
      <c r="AK16" s="875"/>
      <c r="AL16" s="875"/>
      <c r="AM16" s="875"/>
      <c r="AN16" s="875"/>
      <c r="AO16" s="875"/>
      <c r="AP16" s="875"/>
      <c r="AQ16" s="875"/>
      <c r="AR16" s="875"/>
      <c r="AS16" s="875"/>
      <c r="AT16" s="875"/>
      <c r="AU16" s="875"/>
      <c r="AV16" s="875"/>
      <c r="AW16" s="875"/>
      <c r="AX16" s="875"/>
      <c r="AY16" s="875"/>
      <c r="AZ16" s="875"/>
      <c r="BA16" s="875"/>
    </row>
    <row r="17" spans="1:53" s="3" customFormat="1" ht="21" customHeight="1">
      <c r="A17" s="913">
        <v>10</v>
      </c>
      <c r="B17" s="913"/>
      <c r="C17" s="914">
        <f>IF($C$6=☆入力!$B$15,☆入力!$B25,☆入力!$C25)</f>
        <v>0</v>
      </c>
      <c r="D17" s="915"/>
      <c r="E17" s="915"/>
      <c r="F17" s="916"/>
      <c r="G17" s="917">
        <f>☆入力!D25</f>
        <v>0</v>
      </c>
      <c r="H17" s="917"/>
      <c r="I17" s="917"/>
      <c r="J17" s="917"/>
      <c r="K17" s="917"/>
      <c r="L17" s="867">
        <f>☆入力!H25</f>
        <v>0</v>
      </c>
      <c r="M17" s="867"/>
      <c r="N17" s="867"/>
      <c r="O17" s="867"/>
      <c r="P17" s="865">
        <f>☆入力!L25</f>
        <v>0</v>
      </c>
      <c r="Q17" s="866"/>
      <c r="R17" s="878">
        <f>☆入力!K25</f>
        <v>0</v>
      </c>
      <c r="S17" s="878"/>
      <c r="T17" s="878"/>
      <c r="U17" s="877">
        <f>☆入力!W25</f>
        <v>0</v>
      </c>
      <c r="V17" s="877"/>
      <c r="W17" s="877"/>
      <c r="X17" s="877"/>
      <c r="Y17" s="864">
        <f>☆入力!Y25</f>
        <v>0</v>
      </c>
      <c r="Z17" s="864"/>
      <c r="AA17" s="864"/>
      <c r="AB17" s="864"/>
      <c r="AD17" s="62"/>
      <c r="AF17" s="875"/>
      <c r="AG17" s="875"/>
      <c r="AH17" s="875"/>
      <c r="AI17" s="875"/>
      <c r="AJ17" s="875"/>
      <c r="AK17" s="875"/>
      <c r="AL17" s="875"/>
      <c r="AM17" s="875"/>
      <c r="AN17" s="875"/>
      <c r="AO17" s="875"/>
      <c r="AP17" s="875"/>
      <c r="AQ17" s="875"/>
      <c r="AR17" s="875"/>
      <c r="AS17" s="875"/>
      <c r="AT17" s="875"/>
      <c r="AU17" s="875"/>
      <c r="AV17" s="875"/>
      <c r="AW17" s="875"/>
      <c r="AX17" s="875"/>
      <c r="AY17" s="875"/>
      <c r="AZ17" s="875"/>
      <c r="BA17" s="875"/>
    </row>
    <row r="18" spans="1:53" s="3" customFormat="1" ht="21" customHeight="1" thickBot="1">
      <c r="A18" s="913">
        <v>11</v>
      </c>
      <c r="B18" s="913"/>
      <c r="C18" s="914">
        <f>IF($C$6=☆入力!$B$15,☆入力!$B26,☆入力!$C26)</f>
        <v>0</v>
      </c>
      <c r="D18" s="915"/>
      <c r="E18" s="915"/>
      <c r="F18" s="916"/>
      <c r="G18" s="917">
        <f>☆入力!D26</f>
        <v>0</v>
      </c>
      <c r="H18" s="917"/>
      <c r="I18" s="917"/>
      <c r="J18" s="917"/>
      <c r="K18" s="917"/>
      <c r="L18" s="867">
        <f>☆入力!H26</f>
        <v>0</v>
      </c>
      <c r="M18" s="867"/>
      <c r="N18" s="867"/>
      <c r="O18" s="867"/>
      <c r="P18" s="865">
        <f>☆入力!L26</f>
        <v>0</v>
      </c>
      <c r="Q18" s="866"/>
      <c r="R18" s="878">
        <f>☆入力!K26</f>
        <v>0</v>
      </c>
      <c r="S18" s="878"/>
      <c r="T18" s="878"/>
      <c r="U18" s="877">
        <f>☆入力!W26</f>
        <v>0</v>
      </c>
      <c r="V18" s="877"/>
      <c r="W18" s="877"/>
      <c r="X18" s="877"/>
      <c r="Y18" s="864">
        <f>☆入力!Y26</f>
        <v>0</v>
      </c>
      <c r="Z18" s="864"/>
      <c r="AA18" s="864"/>
      <c r="AB18" s="864"/>
      <c r="AD18" s="62"/>
    </row>
    <row r="19" spans="1:53" s="3" customFormat="1" ht="21" customHeight="1" thickTop="1">
      <c r="A19" s="913">
        <v>12</v>
      </c>
      <c r="B19" s="913"/>
      <c r="C19" s="914">
        <f>IF($C$6=☆入力!$B$15,☆入力!$B27,☆入力!$C27)</f>
        <v>0</v>
      </c>
      <c r="D19" s="915"/>
      <c r="E19" s="915"/>
      <c r="F19" s="916"/>
      <c r="G19" s="917">
        <f>☆入力!D27</f>
        <v>0</v>
      </c>
      <c r="H19" s="917"/>
      <c r="I19" s="917"/>
      <c r="J19" s="917"/>
      <c r="K19" s="917"/>
      <c r="L19" s="867">
        <f>☆入力!H27</f>
        <v>0</v>
      </c>
      <c r="M19" s="867"/>
      <c r="N19" s="867"/>
      <c r="O19" s="867"/>
      <c r="P19" s="865">
        <f>☆入力!L27</f>
        <v>0</v>
      </c>
      <c r="Q19" s="866"/>
      <c r="R19" s="878">
        <f>☆入力!K27</f>
        <v>0</v>
      </c>
      <c r="S19" s="878"/>
      <c r="T19" s="878"/>
      <c r="U19" s="877">
        <f>☆入力!W27</f>
        <v>0</v>
      </c>
      <c r="V19" s="877"/>
      <c r="W19" s="877"/>
      <c r="X19" s="877"/>
      <c r="Y19" s="864">
        <f>☆入力!Y27</f>
        <v>0</v>
      </c>
      <c r="Z19" s="864"/>
      <c r="AA19" s="864"/>
      <c r="AB19" s="864"/>
      <c r="AD19" s="62"/>
      <c r="AS19" s="869">
        <f>(AN22*☆入力!AR9*7)+(AN23*☆入力!AR9*15)</f>
        <v>0</v>
      </c>
      <c r="AT19" s="870"/>
      <c r="AU19" s="870"/>
      <c r="AV19" s="870"/>
      <c r="AW19" s="870"/>
      <c r="AX19" s="870"/>
      <c r="AY19" s="870"/>
      <c r="AZ19" s="870"/>
      <c r="BA19" s="871"/>
    </row>
    <row r="20" spans="1:53" s="3" customFormat="1" ht="21" customHeight="1" thickBot="1">
      <c r="A20" s="913">
        <v>13</v>
      </c>
      <c r="B20" s="913"/>
      <c r="C20" s="914">
        <f>IF($C$6=☆入力!$B$15,☆入力!$B28,☆入力!$C28)</f>
        <v>0</v>
      </c>
      <c r="D20" s="915"/>
      <c r="E20" s="915"/>
      <c r="F20" s="916"/>
      <c r="G20" s="917">
        <f>☆入力!D28</f>
        <v>0</v>
      </c>
      <c r="H20" s="917"/>
      <c r="I20" s="917"/>
      <c r="J20" s="917"/>
      <c r="K20" s="917"/>
      <c r="L20" s="867">
        <f>☆入力!H28</f>
        <v>0</v>
      </c>
      <c r="M20" s="867"/>
      <c r="N20" s="867"/>
      <c r="O20" s="867"/>
      <c r="P20" s="865">
        <f>☆入力!L28</f>
        <v>0</v>
      </c>
      <c r="Q20" s="866"/>
      <c r="R20" s="878">
        <f>☆入力!K28</f>
        <v>0</v>
      </c>
      <c r="S20" s="878"/>
      <c r="T20" s="878"/>
      <c r="U20" s="877">
        <f>☆入力!W28</f>
        <v>0</v>
      </c>
      <c r="V20" s="877"/>
      <c r="W20" s="877"/>
      <c r="X20" s="877"/>
      <c r="Y20" s="864">
        <f>☆入力!Y28</f>
        <v>0</v>
      </c>
      <c r="Z20" s="864"/>
      <c r="AA20" s="864"/>
      <c r="AB20" s="864"/>
      <c r="AD20" s="62"/>
      <c r="AS20" s="872"/>
      <c r="AT20" s="873"/>
      <c r="AU20" s="873"/>
      <c r="AV20" s="873"/>
      <c r="AW20" s="873"/>
      <c r="AX20" s="873"/>
      <c r="AY20" s="873"/>
      <c r="AZ20" s="873"/>
      <c r="BA20" s="874"/>
    </row>
    <row r="21" spans="1:53" s="3" customFormat="1" ht="21" customHeight="1" thickTop="1">
      <c r="A21" s="913">
        <v>14</v>
      </c>
      <c r="B21" s="913"/>
      <c r="C21" s="914">
        <f>IF($C$6=☆入力!$B$15,☆入力!$B29,☆入力!$C29)</f>
        <v>0</v>
      </c>
      <c r="D21" s="915"/>
      <c r="E21" s="915"/>
      <c r="F21" s="916"/>
      <c r="G21" s="917">
        <f>☆入力!D29</f>
        <v>0</v>
      </c>
      <c r="H21" s="917"/>
      <c r="I21" s="917"/>
      <c r="J21" s="917"/>
      <c r="K21" s="917"/>
      <c r="L21" s="867">
        <f>☆入力!H29</f>
        <v>0</v>
      </c>
      <c r="M21" s="867"/>
      <c r="N21" s="867"/>
      <c r="O21" s="867"/>
      <c r="P21" s="865">
        <f>☆入力!L29</f>
        <v>0</v>
      </c>
      <c r="Q21" s="866"/>
      <c r="R21" s="878">
        <f>☆入力!K29</f>
        <v>0</v>
      </c>
      <c r="S21" s="878"/>
      <c r="T21" s="878"/>
      <c r="U21" s="877">
        <f>☆入力!W29</f>
        <v>0</v>
      </c>
      <c r="V21" s="877"/>
      <c r="W21" s="877"/>
      <c r="X21" s="877"/>
      <c r="Y21" s="864">
        <f>☆入力!Y29</f>
        <v>0</v>
      </c>
      <c r="Z21" s="864"/>
      <c r="AA21" s="864"/>
      <c r="AB21" s="864"/>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913">
        <v>15</v>
      </c>
      <c r="B22" s="913"/>
      <c r="C22" s="914">
        <f>IF($C$6=☆入力!$B$15,☆入力!$B30,☆入力!$C30)</f>
        <v>0</v>
      </c>
      <c r="D22" s="915"/>
      <c r="E22" s="915"/>
      <c r="F22" s="916"/>
      <c r="G22" s="917">
        <f>☆入力!D30</f>
        <v>0</v>
      </c>
      <c r="H22" s="917"/>
      <c r="I22" s="917"/>
      <c r="J22" s="917"/>
      <c r="K22" s="917"/>
      <c r="L22" s="867">
        <f>☆入力!H30</f>
        <v>0</v>
      </c>
      <c r="M22" s="867"/>
      <c r="N22" s="867"/>
      <c r="O22" s="867"/>
      <c r="P22" s="865">
        <f>☆入力!L30</f>
        <v>0</v>
      </c>
      <c r="Q22" s="866"/>
      <c r="R22" s="878">
        <f>☆入力!K30</f>
        <v>0</v>
      </c>
      <c r="S22" s="878"/>
      <c r="T22" s="878"/>
      <c r="U22" s="877">
        <f>☆入力!W30</f>
        <v>0</v>
      </c>
      <c r="V22" s="877"/>
      <c r="W22" s="877"/>
      <c r="X22" s="877"/>
      <c r="Y22" s="864">
        <f>☆入力!Y30</f>
        <v>0</v>
      </c>
      <c r="Z22" s="864"/>
      <c r="AA22" s="864"/>
      <c r="AB22" s="864"/>
      <c r="AD22" s="62"/>
      <c r="AF22" s="79"/>
      <c r="AG22" s="66" t="s">
        <v>324</v>
      </c>
      <c r="AH22" s="66"/>
      <c r="AI22" s="66"/>
      <c r="AJ22" s="66"/>
      <c r="AK22" s="66"/>
      <c r="AL22" s="66"/>
      <c r="AN22" s="868">
        <f>LED計算式!N16</f>
        <v>0</v>
      </c>
      <c r="AO22" s="868"/>
      <c r="AP22" s="868"/>
      <c r="AQ22" s="66" t="str">
        <f>"× "&amp;TEXT(☆入力!AR9,"#,#00")&amp;"円（※1）× 5回（※2）"</f>
        <v>× 2,000円（※1）× 5回（※2）</v>
      </c>
      <c r="AS22" s="66"/>
      <c r="AT22" s="66"/>
      <c r="AU22" s="66"/>
      <c r="AV22" s="66"/>
      <c r="AW22" s="66"/>
      <c r="AX22" s="66"/>
      <c r="AY22" s="66"/>
      <c r="AZ22" s="66"/>
      <c r="BA22" s="66"/>
    </row>
    <row r="23" spans="1:53" s="3" customFormat="1" ht="21" customHeight="1">
      <c r="A23" s="913">
        <v>16</v>
      </c>
      <c r="B23" s="913"/>
      <c r="C23" s="914">
        <f>IF($C$6=☆入力!$B$15,☆入力!$B31,☆入力!$C31)</f>
        <v>0</v>
      </c>
      <c r="D23" s="915"/>
      <c r="E23" s="915"/>
      <c r="F23" s="916"/>
      <c r="G23" s="917">
        <f>☆入力!D31</f>
        <v>0</v>
      </c>
      <c r="H23" s="917"/>
      <c r="I23" s="917"/>
      <c r="J23" s="917"/>
      <c r="K23" s="917"/>
      <c r="L23" s="867">
        <f>☆入力!H31</f>
        <v>0</v>
      </c>
      <c r="M23" s="867"/>
      <c r="N23" s="867"/>
      <c r="O23" s="867"/>
      <c r="P23" s="865">
        <f>☆入力!L31</f>
        <v>0</v>
      </c>
      <c r="Q23" s="866"/>
      <c r="R23" s="878">
        <f>☆入力!K31</f>
        <v>0</v>
      </c>
      <c r="S23" s="878"/>
      <c r="T23" s="878"/>
      <c r="U23" s="877">
        <f>☆入力!W31</f>
        <v>0</v>
      </c>
      <c r="V23" s="877"/>
      <c r="W23" s="877"/>
      <c r="X23" s="877"/>
      <c r="Y23" s="864">
        <f>☆入力!Y31</f>
        <v>0</v>
      </c>
      <c r="Z23" s="864"/>
      <c r="AA23" s="864"/>
      <c r="AB23" s="864"/>
      <c r="AD23" s="62"/>
      <c r="AF23" s="79"/>
      <c r="AG23" s="66" t="s">
        <v>325</v>
      </c>
      <c r="AN23" s="868">
        <f>LED計算式!N17</f>
        <v>0</v>
      </c>
      <c r="AO23" s="868"/>
      <c r="AP23" s="868"/>
      <c r="AQ23" s="66" t="str">
        <f>"× "&amp;TEXT(☆入力!AR9,"#,#00")&amp;"円（※1）× 10回（※3）"</f>
        <v>× 2,000円（※1）× 10回（※3）</v>
      </c>
      <c r="AS23" s="66"/>
      <c r="AT23" s="66"/>
      <c r="AU23" s="66"/>
      <c r="AV23" s="66"/>
      <c r="AW23" s="66"/>
      <c r="AX23" s="66"/>
      <c r="AY23" s="66"/>
    </row>
    <row r="24" spans="1:53" s="3" customFormat="1" ht="21" customHeight="1">
      <c r="A24" s="913">
        <v>17</v>
      </c>
      <c r="B24" s="913"/>
      <c r="C24" s="914">
        <f>IF($C$6=☆入力!$B$15,☆入力!$B32,☆入力!$C32)</f>
        <v>0</v>
      </c>
      <c r="D24" s="915"/>
      <c r="E24" s="915"/>
      <c r="F24" s="916"/>
      <c r="G24" s="917">
        <f>☆入力!D32</f>
        <v>0</v>
      </c>
      <c r="H24" s="917"/>
      <c r="I24" s="917"/>
      <c r="J24" s="917"/>
      <c r="K24" s="917"/>
      <c r="L24" s="867">
        <f>☆入力!H32</f>
        <v>0</v>
      </c>
      <c r="M24" s="867"/>
      <c r="N24" s="867"/>
      <c r="O24" s="867"/>
      <c r="P24" s="865">
        <f>☆入力!L32</f>
        <v>0</v>
      </c>
      <c r="Q24" s="866"/>
      <c r="R24" s="878">
        <f>☆入力!K32</f>
        <v>0</v>
      </c>
      <c r="S24" s="878"/>
      <c r="T24" s="878"/>
      <c r="U24" s="877">
        <f>☆入力!W32</f>
        <v>0</v>
      </c>
      <c r="V24" s="877"/>
      <c r="W24" s="877"/>
      <c r="X24" s="877"/>
      <c r="Y24" s="864">
        <f>☆入力!Y32</f>
        <v>0</v>
      </c>
      <c r="Z24" s="864"/>
      <c r="AA24" s="864"/>
      <c r="AB24" s="864"/>
      <c r="AD24" s="62"/>
      <c r="AS24" s="348"/>
      <c r="AT24" s="348"/>
      <c r="AU24" s="348"/>
      <c r="AV24" s="348"/>
      <c r="AW24" s="348"/>
      <c r="AX24" s="348"/>
      <c r="AY24" s="348"/>
      <c r="AZ24" s="348"/>
      <c r="BA24" s="348"/>
    </row>
    <row r="25" spans="1:53" s="3" customFormat="1" ht="21" customHeight="1">
      <c r="A25" s="913">
        <v>18</v>
      </c>
      <c r="B25" s="913"/>
      <c r="C25" s="914">
        <f>IF($C$6=☆入力!$B$15,☆入力!$B33,☆入力!$C33)</f>
        <v>0</v>
      </c>
      <c r="D25" s="915"/>
      <c r="E25" s="915"/>
      <c r="F25" s="916"/>
      <c r="G25" s="917">
        <f>☆入力!D33</f>
        <v>0</v>
      </c>
      <c r="H25" s="917"/>
      <c r="I25" s="917"/>
      <c r="J25" s="917"/>
      <c r="K25" s="917"/>
      <c r="L25" s="867">
        <f>☆入力!H33</f>
        <v>0</v>
      </c>
      <c r="M25" s="867"/>
      <c r="N25" s="867"/>
      <c r="O25" s="867"/>
      <c r="P25" s="865">
        <f>☆入力!L33</f>
        <v>0</v>
      </c>
      <c r="Q25" s="866"/>
      <c r="R25" s="878">
        <f>☆入力!K33</f>
        <v>0</v>
      </c>
      <c r="S25" s="878"/>
      <c r="T25" s="878"/>
      <c r="U25" s="877">
        <f>☆入力!W33</f>
        <v>0</v>
      </c>
      <c r="V25" s="877"/>
      <c r="W25" s="877"/>
      <c r="X25" s="877"/>
      <c r="Y25" s="864">
        <f>☆入力!Y33</f>
        <v>0</v>
      </c>
      <c r="Z25" s="864"/>
      <c r="AA25" s="864"/>
      <c r="AB25" s="864"/>
      <c r="AD25" s="62"/>
      <c r="AF25" s="52"/>
      <c r="AG25" s="1" t="str">
        <f>"(※1)白熱球の1球あたりの交換費用⇒"&amp;TEXT(☆入力!AR9,"#,#00")&amp;"円で計算(管理会社に委託している場合の平均)"</f>
        <v>(※1)白熱球の1球あたりの交換費用⇒2,000円で計算(管理会社に委託している場合の平均)</v>
      </c>
    </row>
    <row r="26" spans="1:53" s="3" customFormat="1" ht="21" customHeight="1">
      <c r="A26" s="913">
        <v>19</v>
      </c>
      <c r="B26" s="913"/>
      <c r="C26" s="914">
        <f>IF($C$6=☆入力!$B$15,☆入力!$B34,☆入力!$C34)</f>
        <v>0</v>
      </c>
      <c r="D26" s="915"/>
      <c r="E26" s="915"/>
      <c r="F26" s="916"/>
      <c r="G26" s="917">
        <f>☆入力!D34</f>
        <v>0</v>
      </c>
      <c r="H26" s="917"/>
      <c r="I26" s="917"/>
      <c r="J26" s="917"/>
      <c r="K26" s="917"/>
      <c r="L26" s="867">
        <f>☆入力!H34</f>
        <v>0</v>
      </c>
      <c r="M26" s="867"/>
      <c r="N26" s="867"/>
      <c r="O26" s="867"/>
      <c r="P26" s="865">
        <f>☆入力!L34</f>
        <v>0</v>
      </c>
      <c r="Q26" s="866"/>
      <c r="R26" s="878">
        <f>☆入力!K34</f>
        <v>0</v>
      </c>
      <c r="S26" s="878"/>
      <c r="T26" s="878"/>
      <c r="U26" s="877">
        <f>☆入力!W34</f>
        <v>0</v>
      </c>
      <c r="V26" s="877"/>
      <c r="W26" s="877"/>
      <c r="X26" s="877"/>
      <c r="Y26" s="864">
        <f>☆入力!Y34</f>
        <v>0</v>
      </c>
      <c r="Z26" s="864"/>
      <c r="AA26" s="864"/>
      <c r="AB26" s="864"/>
      <c r="AD26" s="62"/>
      <c r="AG26" s="1" t="s">
        <v>362</v>
      </c>
    </row>
    <row r="27" spans="1:53" s="3" customFormat="1" ht="21" customHeight="1">
      <c r="A27" s="913">
        <v>20</v>
      </c>
      <c r="B27" s="913"/>
      <c r="C27" s="914">
        <f>IF($C$6=☆入力!$B$15,☆入力!$B35,☆入力!$C35)</f>
        <v>0</v>
      </c>
      <c r="D27" s="915"/>
      <c r="E27" s="915"/>
      <c r="F27" s="916"/>
      <c r="G27" s="917">
        <f>☆入力!D35</f>
        <v>0</v>
      </c>
      <c r="H27" s="917"/>
      <c r="I27" s="917"/>
      <c r="J27" s="917"/>
      <c r="K27" s="917"/>
      <c r="L27" s="867">
        <f>☆入力!H35</f>
        <v>0</v>
      </c>
      <c r="M27" s="867"/>
      <c r="N27" s="867"/>
      <c r="O27" s="867"/>
      <c r="P27" s="865">
        <f>☆入力!L35</f>
        <v>0</v>
      </c>
      <c r="Q27" s="866"/>
      <c r="R27" s="878">
        <f>☆入力!K35</f>
        <v>0</v>
      </c>
      <c r="S27" s="878"/>
      <c r="T27" s="878"/>
      <c r="U27" s="877">
        <f>☆入力!W35</f>
        <v>0</v>
      </c>
      <c r="V27" s="877"/>
      <c r="W27" s="877"/>
      <c r="X27" s="877"/>
      <c r="Y27" s="864">
        <f>☆入力!Y35</f>
        <v>0</v>
      </c>
      <c r="Z27" s="864"/>
      <c r="AA27" s="864"/>
      <c r="AB27" s="864"/>
      <c r="AD27" s="62"/>
      <c r="AG27" s="1" t="s">
        <v>363</v>
      </c>
      <c r="AT27" s="80"/>
      <c r="AU27" s="80"/>
      <c r="AV27" s="80"/>
      <c r="AW27" s="80"/>
      <c r="AX27" s="80"/>
      <c r="AY27" s="80"/>
      <c r="AZ27" s="80"/>
      <c r="BA27" s="80"/>
    </row>
    <row r="28" spans="1:53" s="3" customFormat="1" ht="21" customHeight="1">
      <c r="A28" s="913">
        <v>21</v>
      </c>
      <c r="B28" s="913"/>
      <c r="C28" s="914">
        <f>IF($C$6=☆入力!$B$15,☆入力!$B36,☆入力!$C36)</f>
        <v>0</v>
      </c>
      <c r="D28" s="915"/>
      <c r="E28" s="915"/>
      <c r="F28" s="916"/>
      <c r="G28" s="917">
        <f>☆入力!D36</f>
        <v>0</v>
      </c>
      <c r="H28" s="917"/>
      <c r="I28" s="917"/>
      <c r="J28" s="917"/>
      <c r="K28" s="917"/>
      <c r="L28" s="867">
        <f>☆入力!H36</f>
        <v>0</v>
      </c>
      <c r="M28" s="867"/>
      <c r="N28" s="867"/>
      <c r="O28" s="867"/>
      <c r="P28" s="865">
        <f>☆入力!L36</f>
        <v>0</v>
      </c>
      <c r="Q28" s="866"/>
      <c r="R28" s="878">
        <f>☆入力!K36</f>
        <v>0</v>
      </c>
      <c r="S28" s="878"/>
      <c r="T28" s="878"/>
      <c r="U28" s="877">
        <f>☆入力!W36</f>
        <v>0</v>
      </c>
      <c r="V28" s="877"/>
      <c r="W28" s="877"/>
      <c r="X28" s="877"/>
      <c r="Y28" s="864">
        <f>☆入力!Y36</f>
        <v>0</v>
      </c>
      <c r="Z28" s="864"/>
      <c r="AA28" s="864"/>
      <c r="AB28" s="864"/>
      <c r="AD28" s="62"/>
      <c r="AG28" s="1"/>
    </row>
    <row r="29" spans="1:53" s="3" customFormat="1" ht="21" customHeight="1">
      <c r="A29" s="913">
        <v>22</v>
      </c>
      <c r="B29" s="913"/>
      <c r="C29" s="914">
        <f>IF($C$6=☆入力!$B$15,☆入力!$B37,☆入力!$C37)</f>
        <v>0</v>
      </c>
      <c r="D29" s="915"/>
      <c r="E29" s="915"/>
      <c r="F29" s="916"/>
      <c r="G29" s="917">
        <f>☆入力!D37</f>
        <v>0</v>
      </c>
      <c r="H29" s="917"/>
      <c r="I29" s="917"/>
      <c r="J29" s="917"/>
      <c r="K29" s="917"/>
      <c r="L29" s="867">
        <f>☆入力!H37</f>
        <v>0</v>
      </c>
      <c r="M29" s="867"/>
      <c r="N29" s="867"/>
      <c r="O29" s="867"/>
      <c r="P29" s="865">
        <f>☆入力!L37</f>
        <v>0</v>
      </c>
      <c r="Q29" s="866"/>
      <c r="R29" s="878">
        <f>☆入力!K37</f>
        <v>0</v>
      </c>
      <c r="S29" s="878"/>
      <c r="T29" s="878"/>
      <c r="U29" s="877">
        <f>☆入力!W37</f>
        <v>0</v>
      </c>
      <c r="V29" s="877"/>
      <c r="W29" s="877"/>
      <c r="X29" s="877"/>
      <c r="Y29" s="864">
        <f>☆入力!Y37</f>
        <v>0</v>
      </c>
      <c r="Z29" s="864"/>
      <c r="AA29" s="864"/>
      <c r="AB29" s="864"/>
      <c r="AD29" s="62"/>
      <c r="AG29" s="1"/>
    </row>
    <row r="30" spans="1:53" s="3" customFormat="1" ht="21" customHeight="1">
      <c r="A30" s="913">
        <v>23</v>
      </c>
      <c r="B30" s="913"/>
      <c r="C30" s="914">
        <f>IF($C$6=☆入力!$B$15,☆入力!$B38,☆入力!$C38)</f>
        <v>0</v>
      </c>
      <c r="D30" s="915"/>
      <c r="E30" s="915"/>
      <c r="F30" s="916"/>
      <c r="G30" s="917">
        <f>☆入力!D38</f>
        <v>0</v>
      </c>
      <c r="H30" s="917"/>
      <c r="I30" s="917"/>
      <c r="J30" s="917"/>
      <c r="K30" s="917"/>
      <c r="L30" s="867">
        <f>☆入力!H38</f>
        <v>0</v>
      </c>
      <c r="M30" s="867"/>
      <c r="N30" s="867"/>
      <c r="O30" s="867"/>
      <c r="P30" s="865">
        <f>☆入力!L38</f>
        <v>0</v>
      </c>
      <c r="Q30" s="866"/>
      <c r="R30" s="878">
        <f>☆入力!K38</f>
        <v>0</v>
      </c>
      <c r="S30" s="878"/>
      <c r="T30" s="878"/>
      <c r="U30" s="877">
        <f>☆入力!W38</f>
        <v>0</v>
      </c>
      <c r="V30" s="877"/>
      <c r="W30" s="877"/>
      <c r="X30" s="877"/>
      <c r="Y30" s="864">
        <f>☆入力!Y38</f>
        <v>0</v>
      </c>
      <c r="Z30" s="864"/>
      <c r="AA30" s="864"/>
      <c r="AB30" s="864"/>
      <c r="AD30" s="62"/>
      <c r="AS30" s="55"/>
      <c r="AT30" s="55"/>
      <c r="AU30" s="55"/>
      <c r="AV30" s="55"/>
      <c r="AW30" s="55"/>
      <c r="AX30" s="55"/>
      <c r="AY30" s="55"/>
      <c r="AZ30" s="55"/>
      <c r="BA30" s="55"/>
    </row>
    <row r="31" spans="1:53" s="3" customFormat="1" ht="21" customHeight="1">
      <c r="A31" s="913">
        <v>24</v>
      </c>
      <c r="B31" s="913"/>
      <c r="C31" s="914">
        <f>IF($C$6=☆入力!$B$15,☆入力!$B39,☆入力!$C39)</f>
        <v>0</v>
      </c>
      <c r="D31" s="915"/>
      <c r="E31" s="915"/>
      <c r="F31" s="916"/>
      <c r="G31" s="917">
        <f>☆入力!D39</f>
        <v>0</v>
      </c>
      <c r="H31" s="917"/>
      <c r="I31" s="917"/>
      <c r="J31" s="917"/>
      <c r="K31" s="917"/>
      <c r="L31" s="867">
        <f>☆入力!H39</f>
        <v>0</v>
      </c>
      <c r="M31" s="867"/>
      <c r="N31" s="867"/>
      <c r="O31" s="867"/>
      <c r="P31" s="865">
        <f>☆入力!L39</f>
        <v>0</v>
      </c>
      <c r="Q31" s="866"/>
      <c r="R31" s="878">
        <f>☆入力!K39</f>
        <v>0</v>
      </c>
      <c r="S31" s="878"/>
      <c r="T31" s="878"/>
      <c r="U31" s="877">
        <f>☆入力!W39</f>
        <v>0</v>
      </c>
      <c r="V31" s="877"/>
      <c r="W31" s="877"/>
      <c r="X31" s="877"/>
      <c r="Y31" s="864">
        <f>☆入力!Y39</f>
        <v>0</v>
      </c>
      <c r="Z31" s="864"/>
      <c r="AA31" s="864"/>
      <c r="AB31" s="864"/>
      <c r="AD31" s="62"/>
      <c r="AS31" s="55"/>
      <c r="AT31" s="55"/>
      <c r="AU31" s="55"/>
      <c r="AV31" s="55"/>
      <c r="AW31" s="55"/>
      <c r="AX31" s="55"/>
      <c r="AY31" s="55"/>
      <c r="AZ31" s="55"/>
      <c r="BA31" s="55"/>
    </row>
    <row r="32" spans="1:53" s="3" customFormat="1" ht="21" customHeight="1">
      <c r="A32" s="913">
        <v>25</v>
      </c>
      <c r="B32" s="913"/>
      <c r="C32" s="914">
        <f>IF($C$6=☆入力!$B$15,☆入力!$B40,☆入力!$C40)</f>
        <v>0</v>
      </c>
      <c r="D32" s="915"/>
      <c r="E32" s="915"/>
      <c r="F32" s="916"/>
      <c r="G32" s="917">
        <f>☆入力!D40</f>
        <v>0</v>
      </c>
      <c r="H32" s="917"/>
      <c r="I32" s="917"/>
      <c r="J32" s="917"/>
      <c r="K32" s="917"/>
      <c r="L32" s="867">
        <f>☆入力!H40</f>
        <v>0</v>
      </c>
      <c r="M32" s="867"/>
      <c r="N32" s="867"/>
      <c r="O32" s="867"/>
      <c r="P32" s="865">
        <f>☆入力!L40</f>
        <v>0</v>
      </c>
      <c r="Q32" s="866"/>
      <c r="R32" s="878">
        <f>☆入力!K40</f>
        <v>0</v>
      </c>
      <c r="S32" s="878"/>
      <c r="T32" s="878"/>
      <c r="U32" s="877">
        <f>☆入力!W40</f>
        <v>0</v>
      </c>
      <c r="V32" s="877"/>
      <c r="W32" s="877"/>
      <c r="X32" s="877"/>
      <c r="Y32" s="864">
        <f>☆入力!Y40</f>
        <v>0</v>
      </c>
      <c r="Z32" s="864"/>
      <c r="AA32" s="864"/>
      <c r="AB32" s="864"/>
      <c r="AD32" s="62"/>
    </row>
    <row r="33" spans="1:56" s="3" customFormat="1" ht="21" customHeight="1" outlineLevel="1">
      <c r="A33" s="913">
        <v>26</v>
      </c>
      <c r="B33" s="913"/>
      <c r="C33" s="914">
        <f>IF($C$6=☆入力!$B$15,☆入力!$B41,☆入力!$C41)</f>
        <v>0</v>
      </c>
      <c r="D33" s="915"/>
      <c r="E33" s="915"/>
      <c r="F33" s="916"/>
      <c r="G33" s="917">
        <f>☆入力!D41</f>
        <v>0</v>
      </c>
      <c r="H33" s="917"/>
      <c r="I33" s="917"/>
      <c r="J33" s="917"/>
      <c r="K33" s="917"/>
      <c r="L33" s="867">
        <f>☆入力!H41</f>
        <v>0</v>
      </c>
      <c r="M33" s="867"/>
      <c r="N33" s="867"/>
      <c r="O33" s="867"/>
      <c r="P33" s="865">
        <f>☆入力!L41</f>
        <v>0</v>
      </c>
      <c r="Q33" s="866"/>
      <c r="R33" s="878">
        <f>☆入力!K41</f>
        <v>0</v>
      </c>
      <c r="S33" s="878"/>
      <c r="T33" s="878"/>
      <c r="U33" s="877">
        <f>☆入力!W41</f>
        <v>0</v>
      </c>
      <c r="V33" s="877"/>
      <c r="W33" s="877"/>
      <c r="X33" s="877"/>
      <c r="Y33" s="864">
        <f>☆入力!Y41</f>
        <v>0</v>
      </c>
      <c r="Z33" s="864"/>
      <c r="AA33" s="864"/>
      <c r="AB33" s="864"/>
      <c r="AD33" s="62"/>
    </row>
    <row r="34" spans="1:56" s="3" customFormat="1" ht="21" customHeight="1" outlineLevel="1">
      <c r="A34" s="913">
        <v>27</v>
      </c>
      <c r="B34" s="913"/>
      <c r="C34" s="914">
        <f>IF($C$6=☆入力!$B$15,☆入力!$B42,☆入力!$C42)</f>
        <v>0</v>
      </c>
      <c r="D34" s="915"/>
      <c r="E34" s="915"/>
      <c r="F34" s="916"/>
      <c r="G34" s="917">
        <f>☆入力!D42</f>
        <v>0</v>
      </c>
      <c r="H34" s="917"/>
      <c r="I34" s="917"/>
      <c r="J34" s="917"/>
      <c r="K34" s="917"/>
      <c r="L34" s="867">
        <f>☆入力!H42</f>
        <v>0</v>
      </c>
      <c r="M34" s="867"/>
      <c r="N34" s="867"/>
      <c r="O34" s="867"/>
      <c r="P34" s="865">
        <f>☆入力!L42</f>
        <v>0</v>
      </c>
      <c r="Q34" s="866"/>
      <c r="R34" s="878">
        <f>☆入力!K42</f>
        <v>0</v>
      </c>
      <c r="S34" s="878"/>
      <c r="T34" s="878"/>
      <c r="U34" s="877">
        <f>☆入力!W42</f>
        <v>0</v>
      </c>
      <c r="V34" s="877"/>
      <c r="W34" s="877"/>
      <c r="X34" s="877"/>
      <c r="Y34" s="864">
        <f>☆入力!Y42</f>
        <v>0</v>
      </c>
      <c r="Z34" s="864"/>
      <c r="AA34" s="864"/>
      <c r="AB34" s="864"/>
      <c r="AD34" s="62"/>
    </row>
    <row r="35" spans="1:56" s="3" customFormat="1" ht="21" customHeight="1" outlineLevel="1">
      <c r="A35" s="913">
        <v>28</v>
      </c>
      <c r="B35" s="913"/>
      <c r="C35" s="914">
        <f>IF($C$6=☆入力!$B$15,☆入力!$B43,☆入力!$C43)</f>
        <v>0</v>
      </c>
      <c r="D35" s="915"/>
      <c r="E35" s="915"/>
      <c r="F35" s="916"/>
      <c r="G35" s="917">
        <f>☆入力!D43</f>
        <v>0</v>
      </c>
      <c r="H35" s="917"/>
      <c r="I35" s="917"/>
      <c r="J35" s="917"/>
      <c r="K35" s="917"/>
      <c r="L35" s="867">
        <f>☆入力!H43</f>
        <v>0</v>
      </c>
      <c r="M35" s="867"/>
      <c r="N35" s="867"/>
      <c r="O35" s="867"/>
      <c r="P35" s="865">
        <f>☆入力!L43</f>
        <v>0</v>
      </c>
      <c r="Q35" s="866"/>
      <c r="R35" s="878">
        <f>☆入力!K43</f>
        <v>0</v>
      </c>
      <c r="S35" s="878"/>
      <c r="T35" s="878"/>
      <c r="U35" s="877">
        <f>☆入力!W43</f>
        <v>0</v>
      </c>
      <c r="V35" s="877"/>
      <c r="W35" s="877"/>
      <c r="X35" s="877"/>
      <c r="Y35" s="864">
        <f>☆入力!Y43</f>
        <v>0</v>
      </c>
      <c r="Z35" s="864"/>
      <c r="AA35" s="864"/>
      <c r="AB35" s="864"/>
      <c r="AD35" s="62"/>
    </row>
    <row r="36" spans="1:56" s="3" customFormat="1" ht="21" customHeight="1" outlineLevel="1">
      <c r="A36" s="913">
        <v>29</v>
      </c>
      <c r="B36" s="913"/>
      <c r="C36" s="914">
        <f>IF($C$6=☆入力!$B$15,☆入力!$B44,☆入力!$C44)</f>
        <v>0</v>
      </c>
      <c r="D36" s="915"/>
      <c r="E36" s="915"/>
      <c r="F36" s="916"/>
      <c r="G36" s="917">
        <f>☆入力!D44</f>
        <v>0</v>
      </c>
      <c r="H36" s="917"/>
      <c r="I36" s="917"/>
      <c r="J36" s="917"/>
      <c r="K36" s="917"/>
      <c r="L36" s="867">
        <f>☆入力!H44</f>
        <v>0</v>
      </c>
      <c r="M36" s="867"/>
      <c r="N36" s="867"/>
      <c r="O36" s="867"/>
      <c r="P36" s="865">
        <f>☆入力!L44</f>
        <v>0</v>
      </c>
      <c r="Q36" s="866"/>
      <c r="R36" s="878">
        <f>☆入力!K44</f>
        <v>0</v>
      </c>
      <c r="S36" s="878"/>
      <c r="T36" s="878"/>
      <c r="U36" s="877">
        <f>☆入力!W44</f>
        <v>0</v>
      </c>
      <c r="V36" s="877"/>
      <c r="W36" s="877"/>
      <c r="X36" s="877"/>
      <c r="Y36" s="864">
        <f>☆入力!Y44</f>
        <v>0</v>
      </c>
      <c r="Z36" s="864"/>
      <c r="AA36" s="864"/>
      <c r="AB36" s="864"/>
      <c r="AD36" s="62"/>
    </row>
    <row r="37" spans="1:56" s="3" customFormat="1" ht="21" customHeight="1" outlineLevel="1">
      <c r="A37" s="922">
        <v>30</v>
      </c>
      <c r="B37" s="922"/>
      <c r="C37" s="923">
        <f>IF($C$6=☆入力!$B$15,☆入力!$B45,☆入力!$C45)</f>
        <v>0</v>
      </c>
      <c r="D37" s="924"/>
      <c r="E37" s="924"/>
      <c r="F37" s="925"/>
      <c r="G37" s="926">
        <f>☆入力!D45</f>
        <v>0</v>
      </c>
      <c r="H37" s="926"/>
      <c r="I37" s="926"/>
      <c r="J37" s="926"/>
      <c r="K37" s="926"/>
      <c r="L37" s="927">
        <f>☆入力!H45</f>
        <v>0</v>
      </c>
      <c r="M37" s="927"/>
      <c r="N37" s="927"/>
      <c r="O37" s="927"/>
      <c r="P37" s="928">
        <f>☆入力!L45</f>
        <v>0</v>
      </c>
      <c r="Q37" s="929"/>
      <c r="R37" s="930">
        <f>☆入力!K45</f>
        <v>0</v>
      </c>
      <c r="S37" s="930"/>
      <c r="T37" s="930"/>
      <c r="U37" s="931">
        <f>☆入力!W45</f>
        <v>0</v>
      </c>
      <c r="V37" s="931"/>
      <c r="W37" s="931"/>
      <c r="X37" s="931"/>
      <c r="Y37" s="932">
        <f>☆入力!Y45</f>
        <v>0</v>
      </c>
      <c r="Z37" s="932"/>
      <c r="AA37" s="932"/>
      <c r="AB37" s="932"/>
      <c r="AD37" s="62"/>
    </row>
    <row r="38" spans="1:56" s="13" customFormat="1" ht="21" customHeight="1">
      <c r="C38" s="479"/>
      <c r="D38" s="479"/>
      <c r="E38" s="479"/>
      <c r="F38" s="479"/>
      <c r="G38" s="479"/>
      <c r="H38" s="479"/>
      <c r="I38" s="479"/>
      <c r="J38" s="479"/>
      <c r="K38" s="74" t="s">
        <v>333</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91" t="s">
        <v>43</v>
      </c>
      <c r="L39" s="891"/>
      <c r="M39" s="891"/>
      <c r="N39" s="891"/>
      <c r="O39" s="891"/>
      <c r="P39" s="893">
        <f>SUM(P8:Q37)</f>
        <v>0</v>
      </c>
      <c r="Q39" s="893"/>
      <c r="R39" s="895" t="s">
        <v>334</v>
      </c>
      <c r="S39" s="895"/>
      <c r="T39" s="895"/>
      <c r="U39" s="897">
        <f>SUM(U8:X37)</f>
        <v>0</v>
      </c>
      <c r="V39" s="897"/>
      <c r="W39" s="897"/>
      <c r="X39" s="897"/>
      <c r="Y39" s="899">
        <f>SUM(Y8:AB37)</f>
        <v>0</v>
      </c>
      <c r="Z39" s="899"/>
      <c r="AA39" s="899"/>
      <c r="AB39" s="899"/>
      <c r="AD39" s="64"/>
      <c r="AF39" s="875" t="s">
        <v>335</v>
      </c>
      <c r="AG39" s="875"/>
      <c r="AH39" s="875"/>
      <c r="AI39" s="875"/>
      <c r="AJ39" s="875"/>
      <c r="AK39" s="875"/>
      <c r="AL39" s="875"/>
      <c r="AM39" s="875"/>
      <c r="AN39" s="875"/>
      <c r="AO39" s="875"/>
      <c r="AP39" s="875"/>
      <c r="AQ39" s="875"/>
      <c r="AR39" s="875"/>
      <c r="AS39" s="875"/>
      <c r="AT39" s="875"/>
      <c r="AU39" s="875"/>
      <c r="AV39" s="875"/>
      <c r="AW39" s="875"/>
      <c r="AX39" s="875"/>
      <c r="AY39" s="875"/>
      <c r="AZ39" s="875"/>
      <c r="BA39" s="875"/>
    </row>
    <row r="40" spans="1:56" s="13" customFormat="1" ht="21" customHeight="1" thickBot="1">
      <c r="C40" s="14"/>
      <c r="D40" s="14"/>
      <c r="E40" s="14"/>
      <c r="F40" s="14"/>
      <c r="G40" s="14"/>
      <c r="H40" s="14"/>
      <c r="I40" s="14"/>
      <c r="J40" s="14"/>
      <c r="K40" s="892"/>
      <c r="L40" s="892"/>
      <c r="M40" s="892"/>
      <c r="N40" s="892"/>
      <c r="O40" s="892"/>
      <c r="P40" s="894"/>
      <c r="Q40" s="894"/>
      <c r="R40" s="896"/>
      <c r="S40" s="896"/>
      <c r="T40" s="896"/>
      <c r="U40" s="898"/>
      <c r="V40" s="898"/>
      <c r="W40" s="898"/>
      <c r="X40" s="898"/>
      <c r="Y40" s="900"/>
      <c r="Z40" s="900"/>
      <c r="AA40" s="900"/>
      <c r="AB40" s="900"/>
      <c r="AD40" s="64"/>
      <c r="AF40" s="875"/>
      <c r="AG40" s="875"/>
      <c r="AH40" s="875"/>
      <c r="AI40" s="875"/>
      <c r="AJ40" s="875"/>
      <c r="AK40" s="875"/>
      <c r="AL40" s="875"/>
      <c r="AM40" s="875"/>
      <c r="AN40" s="875"/>
      <c r="AO40" s="875"/>
      <c r="AP40" s="875"/>
      <c r="AQ40" s="875"/>
      <c r="AR40" s="875"/>
      <c r="AS40" s="875"/>
      <c r="AT40" s="875"/>
      <c r="AU40" s="875"/>
      <c r="AV40" s="875"/>
      <c r="AW40" s="875"/>
      <c r="AX40" s="875"/>
      <c r="AY40" s="875"/>
      <c r="AZ40" s="875"/>
      <c r="BA40" s="875"/>
    </row>
    <row r="41" spans="1:56" s="13" customFormat="1" ht="21" customHeight="1" thickTop="1">
      <c r="C41" s="14"/>
      <c r="D41" s="14"/>
      <c r="E41" s="14"/>
      <c r="F41" s="14"/>
      <c r="G41" s="14"/>
      <c r="H41" s="14"/>
      <c r="I41" s="14"/>
      <c r="J41" s="14"/>
      <c r="L41" s="479"/>
      <c r="M41" s="479"/>
      <c r="N41" s="479"/>
      <c r="O41" s="479"/>
      <c r="P41" s="479"/>
      <c r="Q41" s="479"/>
      <c r="R41" s="479"/>
      <c r="S41" s="479"/>
      <c r="T41" s="479"/>
      <c r="U41" s="479"/>
      <c r="V41" s="479"/>
      <c r="W41" s="479"/>
      <c r="X41" s="479"/>
      <c r="Y41" s="479"/>
      <c r="Z41" s="479"/>
      <c r="AA41" s="479"/>
      <c r="AB41" s="479"/>
      <c r="AC41" s="479"/>
      <c r="AD41" s="64"/>
      <c r="AS41" s="885">
        <f>AS7+AS19+AS24</f>
        <v>0</v>
      </c>
      <c r="AT41" s="886"/>
      <c r="AU41" s="886"/>
      <c r="AV41" s="886"/>
      <c r="AW41" s="886"/>
      <c r="AX41" s="886"/>
      <c r="AY41" s="886"/>
      <c r="AZ41" s="886"/>
      <c r="BA41" s="887"/>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8"/>
      <c r="AT42" s="889"/>
      <c r="AU42" s="889"/>
      <c r="AV42" s="889"/>
      <c r="AW42" s="889"/>
      <c r="AX42" s="889"/>
      <c r="AY42" s="889"/>
      <c r="AZ42" s="889"/>
      <c r="BA42" s="890"/>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0">
        <v>5</v>
      </c>
    </row>
  </sheetData>
  <mergeCells count="266">
    <mergeCell ref="A1:BD1"/>
    <mergeCell ref="R3:AB4"/>
    <mergeCell ref="AF3:BA4"/>
    <mergeCell ref="A6:B6"/>
    <mergeCell ref="C6:F6"/>
    <mergeCell ref="G6:K6"/>
    <mergeCell ref="L6:O6"/>
    <mergeCell ref="P6:Q6"/>
    <mergeCell ref="R6:T6"/>
    <mergeCell ref="U6:X6"/>
    <mergeCell ref="Y6:AB6"/>
    <mergeCell ref="AF7:AR8"/>
    <mergeCell ref="AS7:BA8"/>
    <mergeCell ref="A8:B8"/>
    <mergeCell ref="C8:F8"/>
    <mergeCell ref="G8:K8"/>
    <mergeCell ref="L8:O8"/>
    <mergeCell ref="P8:Q8"/>
    <mergeCell ref="R8:T8"/>
    <mergeCell ref="U8:X8"/>
    <mergeCell ref="Y8:AB8"/>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topLeftCell="A9" zoomScale="40" zoomScaleNormal="80" zoomScaleSheetLayoutView="40" workbookViewId="0">
      <selection activeCell="A49" sqref="A49:C49"/>
    </sheetView>
  </sheetViews>
  <sheetFormatPr defaultColWidth="3.5" defaultRowHeight="21" customHeight="1" outlineLevelRow="1"/>
  <cols>
    <col min="1" max="2" width="3.5" style="1"/>
    <col min="3" max="13" width="3.5" style="2"/>
    <col min="14" max="16384" width="3.5" style="1"/>
  </cols>
  <sheetData>
    <row r="1" spans="1:80" ht="38.25">
      <c r="A1" s="884" t="s">
        <v>336</v>
      </c>
      <c r="B1" s="884"/>
      <c r="C1" s="884"/>
      <c r="D1" s="884"/>
      <c r="E1" s="884"/>
      <c r="F1" s="884"/>
      <c r="G1" s="884"/>
      <c r="H1" s="884"/>
      <c r="I1" s="884"/>
      <c r="J1" s="884"/>
      <c r="K1" s="884"/>
      <c r="L1" s="884"/>
      <c r="M1" s="884"/>
      <c r="N1" s="884"/>
      <c r="O1" s="884"/>
      <c r="P1" s="884"/>
      <c r="Q1" s="884"/>
      <c r="R1" s="884"/>
      <c r="S1" s="884"/>
      <c r="T1" s="884"/>
      <c r="U1" s="884"/>
      <c r="V1" s="884"/>
      <c r="W1" s="884"/>
      <c r="X1" s="884"/>
      <c r="Y1" s="884"/>
      <c r="Z1" s="884"/>
      <c r="AA1" s="884"/>
      <c r="AB1" s="884"/>
      <c r="AC1" s="884"/>
      <c r="AD1" s="884"/>
      <c r="AE1" s="884"/>
      <c r="AF1" s="884"/>
      <c r="AG1" s="884"/>
      <c r="AH1" s="884"/>
      <c r="AI1" s="884"/>
      <c r="AJ1" s="884"/>
      <c r="AK1" s="884"/>
      <c r="AL1" s="884"/>
      <c r="AM1" s="884"/>
      <c r="AN1" s="884"/>
      <c r="AO1" s="884"/>
      <c r="AP1" s="884"/>
      <c r="AQ1" s="884"/>
      <c r="AR1" s="884"/>
      <c r="AS1" s="884"/>
      <c r="AT1" s="884"/>
      <c r="AU1" s="884"/>
      <c r="AV1" s="884"/>
      <c r="AW1" s="884"/>
      <c r="AX1" s="884"/>
      <c r="AY1" s="884"/>
      <c r="AZ1" s="884"/>
      <c r="BA1" s="884"/>
      <c r="BB1" s="884"/>
      <c r="BC1" s="884"/>
      <c r="BD1" s="884"/>
      <c r="BE1" s="54"/>
    </row>
    <row r="2" spans="1:80"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80" s="3" customFormat="1" ht="23.1" customHeight="1" thickTop="1">
      <c r="A3" s="59"/>
      <c r="B3" s="59"/>
      <c r="C3" s="59"/>
      <c r="D3" s="59"/>
      <c r="E3" s="59"/>
      <c r="F3" s="59"/>
      <c r="G3" s="59"/>
      <c r="H3" s="59"/>
      <c r="I3" s="59"/>
      <c r="J3" s="59"/>
      <c r="K3" s="59"/>
      <c r="L3" s="59"/>
      <c r="M3" s="59"/>
      <c r="N3" s="59"/>
      <c r="O3" s="59"/>
      <c r="P3" s="59"/>
      <c r="Q3" s="59"/>
      <c r="R3" s="933" t="s">
        <v>337</v>
      </c>
      <c r="S3" s="934"/>
      <c r="T3" s="934"/>
      <c r="U3" s="934"/>
      <c r="V3" s="934"/>
      <c r="W3" s="934"/>
      <c r="X3" s="934"/>
      <c r="Y3" s="934"/>
      <c r="Z3" s="934"/>
      <c r="AA3" s="934"/>
      <c r="AB3" s="935"/>
      <c r="AC3" s="59"/>
      <c r="AD3" s="59"/>
      <c r="AE3" s="59"/>
      <c r="AF3" s="939" t="s">
        <v>338</v>
      </c>
      <c r="AG3" s="940"/>
      <c r="AH3" s="940"/>
      <c r="AI3" s="940"/>
      <c r="AJ3" s="940"/>
      <c r="AK3" s="940"/>
      <c r="AL3" s="940"/>
      <c r="AM3" s="940"/>
      <c r="AN3" s="940"/>
      <c r="AO3" s="940"/>
      <c r="AP3" s="940"/>
      <c r="AQ3" s="940"/>
      <c r="AR3" s="940"/>
      <c r="AS3" s="940"/>
      <c r="AT3" s="940"/>
      <c r="AU3" s="940"/>
      <c r="AV3" s="940"/>
      <c r="AW3" s="940"/>
      <c r="AX3" s="940"/>
      <c r="AY3" s="940"/>
      <c r="AZ3" s="940"/>
      <c r="BA3" s="941"/>
      <c r="BB3" s="59"/>
      <c r="BC3" s="59"/>
      <c r="BD3" s="59"/>
    </row>
    <row r="4" spans="1:80" s="12" customFormat="1" ht="21" customHeight="1" thickBot="1">
      <c r="B4" s="11"/>
      <c r="C4" s="11"/>
      <c r="D4" s="11"/>
      <c r="E4" s="11"/>
      <c r="F4" s="11"/>
      <c r="G4" s="11"/>
      <c r="H4" s="11"/>
      <c r="I4" s="11"/>
      <c r="J4" s="11"/>
      <c r="K4" s="11"/>
      <c r="L4" s="11"/>
      <c r="M4" s="11"/>
      <c r="N4" s="11"/>
      <c r="O4" s="11"/>
      <c r="P4" s="11"/>
      <c r="Q4" s="11"/>
      <c r="R4" s="936"/>
      <c r="S4" s="937"/>
      <c r="T4" s="937"/>
      <c r="U4" s="937"/>
      <c r="V4" s="937"/>
      <c r="W4" s="937"/>
      <c r="X4" s="937"/>
      <c r="Y4" s="937"/>
      <c r="Z4" s="937"/>
      <c r="AA4" s="937"/>
      <c r="AB4" s="938"/>
      <c r="AD4" s="65"/>
      <c r="AF4" s="942"/>
      <c r="AG4" s="943"/>
      <c r="AH4" s="943"/>
      <c r="AI4" s="943"/>
      <c r="AJ4" s="943"/>
      <c r="AK4" s="943"/>
      <c r="AL4" s="943"/>
      <c r="AM4" s="943"/>
      <c r="AN4" s="943"/>
      <c r="AO4" s="943"/>
      <c r="AP4" s="943"/>
      <c r="AQ4" s="943"/>
      <c r="AR4" s="943"/>
      <c r="AS4" s="943"/>
      <c r="AT4" s="943"/>
      <c r="AU4" s="943"/>
      <c r="AV4" s="943"/>
      <c r="AW4" s="943"/>
      <c r="AX4" s="943"/>
      <c r="AY4" s="943"/>
      <c r="AZ4" s="943"/>
      <c r="BA4" s="944"/>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903" t="s">
        <v>314</v>
      </c>
      <c r="B6" s="907"/>
      <c r="C6" s="908" t="str">
        <f>LED計算式!M32</f>
        <v>試算エリア</v>
      </c>
      <c r="D6" s="909"/>
      <c r="E6" s="909"/>
      <c r="F6" s="910"/>
      <c r="G6" s="920" t="s">
        <v>315</v>
      </c>
      <c r="H6" s="920"/>
      <c r="I6" s="920"/>
      <c r="J6" s="920"/>
      <c r="K6" s="920"/>
      <c r="L6" s="921" t="s">
        <v>316</v>
      </c>
      <c r="M6" s="921"/>
      <c r="N6" s="921"/>
      <c r="O6" s="921"/>
      <c r="P6" s="902" t="s">
        <v>211</v>
      </c>
      <c r="Q6" s="902"/>
      <c r="R6" s="904" t="s">
        <v>117</v>
      </c>
      <c r="S6" s="904"/>
      <c r="T6" s="904"/>
      <c r="U6" s="905" t="s">
        <v>317</v>
      </c>
      <c r="V6" s="905"/>
      <c r="W6" s="905"/>
      <c r="X6" s="905"/>
      <c r="Y6" s="906" t="s">
        <v>318</v>
      </c>
      <c r="Z6" s="906"/>
      <c r="AA6" s="906"/>
      <c r="AB6" s="906"/>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5" t="s">
        <v>319</v>
      </c>
      <c r="AG7" s="875"/>
      <c r="AH7" s="875"/>
      <c r="AI7" s="875"/>
      <c r="AJ7" s="875"/>
      <c r="AK7" s="875"/>
      <c r="AL7" s="875"/>
      <c r="AM7" s="875"/>
      <c r="AN7" s="875"/>
      <c r="AO7" s="875"/>
      <c r="AP7" s="875"/>
      <c r="AQ7" s="875"/>
      <c r="AR7" s="875"/>
      <c r="AS7" s="946">
        <f>Y39*120</f>
        <v>0</v>
      </c>
      <c r="AT7" s="947"/>
      <c r="AU7" s="947"/>
      <c r="AV7" s="947"/>
      <c r="AW7" s="947"/>
      <c r="AX7" s="947"/>
      <c r="AY7" s="947"/>
      <c r="AZ7" s="947"/>
      <c r="BA7" s="948"/>
    </row>
    <row r="8" spans="1:80" s="3" customFormat="1" ht="21" customHeight="1" thickBot="1">
      <c r="A8" s="911">
        <v>1</v>
      </c>
      <c r="B8" s="911"/>
      <c r="C8" s="912" t="str">
        <f>IF($C$6=☆入力!$B$15,☆入力!$B16,☆入力!$C16)</f>
        <v>あいえうお</v>
      </c>
      <c r="D8" s="912"/>
      <c r="E8" s="912"/>
      <c r="F8" s="912"/>
      <c r="G8" s="912">
        <f>☆入力!D16</f>
        <v>0</v>
      </c>
      <c r="H8" s="912"/>
      <c r="I8" s="912"/>
      <c r="J8" s="912"/>
      <c r="K8" s="912"/>
      <c r="L8" s="919">
        <f>☆入力!H16</f>
        <v>0</v>
      </c>
      <c r="M8" s="919"/>
      <c r="N8" s="919"/>
      <c r="O8" s="919"/>
      <c r="P8" s="879">
        <f>☆入力!L16</f>
        <v>0</v>
      </c>
      <c r="Q8" s="879"/>
      <c r="R8" s="881">
        <f>☆入力!AA16</f>
        <v>0</v>
      </c>
      <c r="S8" s="881"/>
      <c r="T8" s="881"/>
      <c r="U8" s="882">
        <f>☆入力!AB16</f>
        <v>0</v>
      </c>
      <c r="V8" s="882"/>
      <c r="W8" s="882"/>
      <c r="X8" s="882"/>
      <c r="Y8" s="883">
        <f>☆入力!AC16</f>
        <v>0</v>
      </c>
      <c r="Z8" s="883"/>
      <c r="AA8" s="883"/>
      <c r="AB8" s="883"/>
      <c r="AD8" s="62"/>
      <c r="AF8" s="875"/>
      <c r="AG8" s="875"/>
      <c r="AH8" s="875"/>
      <c r="AI8" s="875"/>
      <c r="AJ8" s="875"/>
      <c r="AK8" s="875"/>
      <c r="AL8" s="875"/>
      <c r="AM8" s="875"/>
      <c r="AN8" s="875"/>
      <c r="AO8" s="875"/>
      <c r="AP8" s="875"/>
      <c r="AQ8" s="875"/>
      <c r="AR8" s="875"/>
      <c r="AS8" s="949"/>
      <c r="AT8" s="950"/>
      <c r="AU8" s="950"/>
      <c r="AV8" s="950"/>
      <c r="AW8" s="950"/>
      <c r="AX8" s="950"/>
      <c r="AY8" s="950"/>
      <c r="AZ8" s="950"/>
      <c r="BA8" s="951"/>
    </row>
    <row r="9" spans="1:80" s="3" customFormat="1" ht="21" customHeight="1" thickTop="1">
      <c r="A9" s="913">
        <v>2</v>
      </c>
      <c r="B9" s="913"/>
      <c r="C9" s="914" t="str">
        <f>IF($C$6=☆入力!$B$15,☆入力!$B17,☆入力!$C17)</f>
        <v>あいえうお</v>
      </c>
      <c r="D9" s="915"/>
      <c r="E9" s="915"/>
      <c r="F9" s="916"/>
      <c r="G9" s="917">
        <f>☆入力!D17</f>
        <v>0</v>
      </c>
      <c r="H9" s="917"/>
      <c r="I9" s="917"/>
      <c r="J9" s="917"/>
      <c r="K9" s="917"/>
      <c r="L9" s="867">
        <f>☆入力!H17</f>
        <v>0</v>
      </c>
      <c r="M9" s="867"/>
      <c r="N9" s="867"/>
      <c r="O9" s="867"/>
      <c r="P9" s="865">
        <f>☆入力!L17</f>
        <v>0</v>
      </c>
      <c r="Q9" s="865"/>
      <c r="R9" s="878">
        <f>☆入力!AA17</f>
        <v>0</v>
      </c>
      <c r="S9" s="878"/>
      <c r="T9" s="878"/>
      <c r="U9" s="877">
        <f>☆入力!AB17</f>
        <v>0</v>
      </c>
      <c r="V9" s="877"/>
      <c r="W9" s="877"/>
      <c r="X9" s="877"/>
      <c r="Y9" s="864">
        <f>☆入力!AC17</f>
        <v>0</v>
      </c>
      <c r="Z9" s="864"/>
      <c r="AA9" s="864"/>
      <c r="AB9" s="864"/>
      <c r="AD9" s="62"/>
    </row>
    <row r="10" spans="1:80" s="3" customFormat="1" ht="21" customHeight="1">
      <c r="A10" s="913">
        <v>3</v>
      </c>
      <c r="B10" s="913"/>
      <c r="C10" s="914" t="str">
        <f>IF($C$6=☆入力!$B$15,☆入力!$B18,☆入力!$C18)</f>
        <v>あいえうお</v>
      </c>
      <c r="D10" s="915"/>
      <c r="E10" s="915"/>
      <c r="F10" s="916"/>
      <c r="G10" s="917">
        <f>☆入力!D18</f>
        <v>0</v>
      </c>
      <c r="H10" s="917"/>
      <c r="I10" s="917"/>
      <c r="J10" s="917"/>
      <c r="K10" s="917"/>
      <c r="L10" s="867">
        <f>☆入力!H18</f>
        <v>0</v>
      </c>
      <c r="M10" s="867"/>
      <c r="N10" s="867"/>
      <c r="O10" s="867"/>
      <c r="P10" s="865">
        <f>☆入力!L18</f>
        <v>0</v>
      </c>
      <c r="Q10" s="865"/>
      <c r="R10" s="878">
        <f>☆入力!AA18</f>
        <v>0</v>
      </c>
      <c r="S10" s="878"/>
      <c r="T10" s="878"/>
      <c r="U10" s="877">
        <f>☆入力!AB18</f>
        <v>0</v>
      </c>
      <c r="V10" s="877"/>
      <c r="W10" s="877"/>
      <c r="X10" s="877"/>
      <c r="Y10" s="864">
        <f>☆入力!AC18</f>
        <v>0</v>
      </c>
      <c r="Z10" s="864"/>
      <c r="AA10" s="864"/>
      <c r="AB10" s="864"/>
      <c r="AD10" s="62"/>
      <c r="AG10" s="66" t="s">
        <v>320</v>
      </c>
      <c r="AH10" s="66"/>
      <c r="AI10" s="66"/>
      <c r="AJ10" s="66"/>
      <c r="AK10" s="66"/>
      <c r="AL10" s="66"/>
      <c r="AM10" s="66"/>
      <c r="AO10" s="918">
        <f>Y39</f>
        <v>0</v>
      </c>
      <c r="AP10" s="918"/>
      <c r="AQ10" s="918"/>
      <c r="AR10" s="918"/>
      <c r="AS10" s="66" t="s">
        <v>321</v>
      </c>
      <c r="AT10" s="66"/>
      <c r="AU10" s="66"/>
      <c r="AV10" s="66"/>
      <c r="AW10" s="66"/>
      <c r="AX10" s="66"/>
      <c r="AY10" s="66"/>
      <c r="AZ10" s="66"/>
      <c r="BA10" s="66"/>
      <c r="BF10" s="960"/>
      <c r="BG10" s="960"/>
      <c r="BH10" s="960"/>
      <c r="BI10" s="960"/>
      <c r="BJ10" s="960"/>
      <c r="BK10" s="960"/>
      <c r="BL10" s="960"/>
      <c r="BM10" s="960"/>
      <c r="BN10" s="960"/>
      <c r="BO10" s="960"/>
      <c r="BP10" s="960"/>
      <c r="BQ10" s="960"/>
      <c r="BR10" s="960"/>
      <c r="BS10" s="960"/>
      <c r="BT10" s="960"/>
      <c r="BU10" s="960"/>
      <c r="BV10" s="960"/>
      <c r="BW10" s="960"/>
      <c r="BX10" s="960"/>
      <c r="BY10" s="960"/>
      <c r="BZ10" s="960"/>
      <c r="CA10" s="960"/>
      <c r="CB10" s="960"/>
    </row>
    <row r="11" spans="1:80" s="3" customFormat="1" ht="21" customHeight="1">
      <c r="A11" s="913">
        <v>4</v>
      </c>
      <c r="B11" s="913"/>
      <c r="C11" s="914" t="str">
        <f>IF($C$6=☆入力!$B$15,☆入力!$B19,☆入力!$C19)</f>
        <v>あいえうお</v>
      </c>
      <c r="D11" s="915"/>
      <c r="E11" s="915"/>
      <c r="F11" s="916"/>
      <c r="G11" s="917">
        <f>☆入力!D19</f>
        <v>0</v>
      </c>
      <c r="H11" s="917"/>
      <c r="I11" s="917"/>
      <c r="J11" s="917"/>
      <c r="K11" s="917"/>
      <c r="L11" s="867">
        <f>☆入力!H19</f>
        <v>0</v>
      </c>
      <c r="M11" s="867"/>
      <c r="N11" s="867"/>
      <c r="O11" s="867"/>
      <c r="P11" s="865">
        <f>☆入力!L19</f>
        <v>0</v>
      </c>
      <c r="Q11" s="865"/>
      <c r="R11" s="878">
        <f>☆入力!AA19</f>
        <v>0</v>
      </c>
      <c r="S11" s="878"/>
      <c r="T11" s="878"/>
      <c r="U11" s="877">
        <f>☆入力!AB19</f>
        <v>0</v>
      </c>
      <c r="V11" s="877"/>
      <c r="W11" s="877"/>
      <c r="X11" s="877"/>
      <c r="Y11" s="864">
        <f>☆入力!AC19</f>
        <v>0</v>
      </c>
      <c r="Z11" s="864"/>
      <c r="AA11" s="864"/>
      <c r="AB11" s="864"/>
      <c r="AD11" s="62"/>
      <c r="BF11" s="960"/>
      <c r="BG11" s="960"/>
      <c r="BH11" s="960"/>
      <c r="BI11" s="960"/>
      <c r="BJ11" s="960"/>
      <c r="BK11" s="960"/>
      <c r="BL11" s="960"/>
      <c r="BM11" s="960"/>
      <c r="BN11" s="960"/>
      <c r="BO11" s="960"/>
      <c r="BP11" s="960"/>
      <c r="BQ11" s="960"/>
      <c r="BR11" s="960"/>
      <c r="BS11" s="960"/>
      <c r="BT11" s="960"/>
      <c r="BU11" s="960"/>
      <c r="BV11" s="960"/>
      <c r="BW11" s="960"/>
      <c r="BX11" s="960"/>
      <c r="BY11" s="960"/>
      <c r="BZ11" s="960"/>
      <c r="CA11" s="960"/>
      <c r="CB11" s="960"/>
    </row>
    <row r="12" spans="1:80" s="3" customFormat="1" ht="21" customHeight="1">
      <c r="A12" s="913">
        <v>5</v>
      </c>
      <c r="B12" s="913"/>
      <c r="C12" s="914" t="str">
        <f>IF($C$6=☆入力!$B$15,☆入力!$B20,☆入力!$C20)</f>
        <v>あいえうお</v>
      </c>
      <c r="D12" s="915"/>
      <c r="E12" s="915"/>
      <c r="F12" s="916"/>
      <c r="G12" s="917">
        <f>☆入力!D20</f>
        <v>0</v>
      </c>
      <c r="H12" s="917"/>
      <c r="I12" s="917"/>
      <c r="J12" s="917"/>
      <c r="K12" s="917"/>
      <c r="L12" s="867">
        <f>☆入力!H20</f>
        <v>0</v>
      </c>
      <c r="M12" s="867"/>
      <c r="N12" s="867"/>
      <c r="O12" s="867"/>
      <c r="P12" s="865">
        <f>☆入力!L20</f>
        <v>0</v>
      </c>
      <c r="Q12" s="865"/>
      <c r="R12" s="878">
        <f>☆入力!AA20</f>
        <v>0</v>
      </c>
      <c r="S12" s="878"/>
      <c r="T12" s="878"/>
      <c r="U12" s="877">
        <f>☆入力!AB20</f>
        <v>0</v>
      </c>
      <c r="V12" s="877"/>
      <c r="W12" s="877"/>
      <c r="X12" s="877"/>
      <c r="Y12" s="864">
        <f>☆入力!AC20</f>
        <v>0</v>
      </c>
      <c r="Z12" s="864"/>
      <c r="AA12" s="864"/>
      <c r="AB12" s="864"/>
      <c r="AD12" s="62"/>
    </row>
    <row r="13" spans="1:80" s="3" customFormat="1" ht="21" customHeight="1">
      <c r="A13" s="913">
        <v>6</v>
      </c>
      <c r="B13" s="913"/>
      <c r="C13" s="914" t="str">
        <f>IF($C$6=☆入力!$B$15,☆入力!$B21,☆入力!$C21)</f>
        <v>あいえうお</v>
      </c>
      <c r="D13" s="915"/>
      <c r="E13" s="915"/>
      <c r="F13" s="916"/>
      <c r="G13" s="917">
        <f>☆入力!D21</f>
        <v>0</v>
      </c>
      <c r="H13" s="917"/>
      <c r="I13" s="917"/>
      <c r="J13" s="917"/>
      <c r="K13" s="917"/>
      <c r="L13" s="867">
        <f>☆入力!H21</f>
        <v>0</v>
      </c>
      <c r="M13" s="867"/>
      <c r="N13" s="867"/>
      <c r="O13" s="867"/>
      <c r="P13" s="865">
        <f>☆入力!L21</f>
        <v>0</v>
      </c>
      <c r="Q13" s="865"/>
      <c r="R13" s="878">
        <f>☆入力!AA21</f>
        <v>0</v>
      </c>
      <c r="S13" s="878"/>
      <c r="T13" s="878"/>
      <c r="U13" s="877">
        <f>☆入力!AB21</f>
        <v>0</v>
      </c>
      <c r="V13" s="877"/>
      <c r="W13" s="877"/>
      <c r="X13" s="877"/>
      <c r="Y13" s="864">
        <f>☆入力!AC21</f>
        <v>0</v>
      </c>
      <c r="Z13" s="864"/>
      <c r="AA13" s="864"/>
      <c r="AB13" s="864"/>
      <c r="AD13" s="62"/>
      <c r="AS13" s="958" t="s">
        <v>322</v>
      </c>
      <c r="AT13" s="958"/>
      <c r="AU13" s="958"/>
      <c r="AV13" s="958"/>
      <c r="AW13" s="958"/>
      <c r="AX13" s="958"/>
      <c r="AY13" s="958"/>
      <c r="AZ13" s="958"/>
      <c r="BA13" s="958"/>
    </row>
    <row r="14" spans="1:80" s="3" customFormat="1" ht="21" customHeight="1">
      <c r="A14" s="913">
        <v>7</v>
      </c>
      <c r="B14" s="913"/>
      <c r="C14" s="914">
        <f>IF($C$6=☆入力!$B$15,☆入力!$B22,☆入力!$C22)</f>
        <v>0</v>
      </c>
      <c r="D14" s="915"/>
      <c r="E14" s="915"/>
      <c r="F14" s="916"/>
      <c r="G14" s="917">
        <f>☆入力!D22</f>
        <v>0</v>
      </c>
      <c r="H14" s="917"/>
      <c r="I14" s="917"/>
      <c r="J14" s="917"/>
      <c r="K14" s="917"/>
      <c r="L14" s="867">
        <f>☆入力!H22</f>
        <v>0</v>
      </c>
      <c r="M14" s="867"/>
      <c r="N14" s="867"/>
      <c r="O14" s="867"/>
      <c r="P14" s="865">
        <f>☆入力!L22</f>
        <v>0</v>
      </c>
      <c r="Q14" s="865"/>
      <c r="R14" s="878">
        <f>☆入力!AA22</f>
        <v>0</v>
      </c>
      <c r="S14" s="878"/>
      <c r="T14" s="878"/>
      <c r="U14" s="877">
        <f>☆入力!AB22</f>
        <v>0</v>
      </c>
      <c r="V14" s="877"/>
      <c r="W14" s="877"/>
      <c r="X14" s="877"/>
      <c r="Y14" s="864">
        <f>☆入力!AC22</f>
        <v>0</v>
      </c>
      <c r="Z14" s="864"/>
      <c r="AA14" s="864"/>
      <c r="AB14" s="864"/>
      <c r="AD14" s="62"/>
      <c r="AS14" s="958"/>
      <c r="AT14" s="958"/>
      <c r="AU14" s="958"/>
      <c r="AV14" s="958"/>
      <c r="AW14" s="958"/>
      <c r="AX14" s="958"/>
      <c r="AY14" s="958"/>
      <c r="AZ14" s="958"/>
      <c r="BA14" s="958"/>
    </row>
    <row r="15" spans="1:80" s="3" customFormat="1" ht="21" customHeight="1">
      <c r="A15" s="913">
        <v>8</v>
      </c>
      <c r="B15" s="913"/>
      <c r="C15" s="914">
        <f>IF($C$6=☆入力!$B$15,☆入力!$B23,☆入力!$C23)</f>
        <v>0</v>
      </c>
      <c r="D15" s="915"/>
      <c r="E15" s="915"/>
      <c r="F15" s="916"/>
      <c r="G15" s="917">
        <f>☆入力!D23</f>
        <v>0</v>
      </c>
      <c r="H15" s="917"/>
      <c r="I15" s="917"/>
      <c r="J15" s="917"/>
      <c r="K15" s="917"/>
      <c r="L15" s="867">
        <f>☆入力!H23</f>
        <v>0</v>
      </c>
      <c r="M15" s="867"/>
      <c r="N15" s="867"/>
      <c r="O15" s="867"/>
      <c r="P15" s="865">
        <f>☆入力!L23</f>
        <v>0</v>
      </c>
      <c r="Q15" s="865"/>
      <c r="R15" s="878">
        <f>☆入力!AA23</f>
        <v>0</v>
      </c>
      <c r="S15" s="878"/>
      <c r="T15" s="878"/>
      <c r="U15" s="877">
        <f>☆入力!AB23</f>
        <v>0</v>
      </c>
      <c r="V15" s="877"/>
      <c r="W15" s="877"/>
      <c r="X15" s="877"/>
      <c r="Y15" s="864">
        <f>☆入力!AC23</f>
        <v>0</v>
      </c>
      <c r="Z15" s="864"/>
      <c r="AA15" s="864"/>
      <c r="AB15" s="864"/>
      <c r="AD15" s="62"/>
    </row>
    <row r="16" spans="1:80" s="3" customFormat="1" ht="21" customHeight="1">
      <c r="A16" s="913">
        <v>9</v>
      </c>
      <c r="B16" s="913"/>
      <c r="C16" s="914">
        <f>IF($C$6=☆入力!$B$15,☆入力!$B24,☆入力!$C24)</f>
        <v>0</v>
      </c>
      <c r="D16" s="915"/>
      <c r="E16" s="915"/>
      <c r="F16" s="916"/>
      <c r="G16" s="917">
        <f>☆入力!D24</f>
        <v>0</v>
      </c>
      <c r="H16" s="917"/>
      <c r="I16" s="917"/>
      <c r="J16" s="917"/>
      <c r="K16" s="917"/>
      <c r="L16" s="867">
        <f>☆入力!H24</f>
        <v>0</v>
      </c>
      <c r="M16" s="867"/>
      <c r="N16" s="867"/>
      <c r="O16" s="867"/>
      <c r="P16" s="865">
        <f>☆入力!L24</f>
        <v>0</v>
      </c>
      <c r="Q16" s="865"/>
      <c r="R16" s="878">
        <f>☆入力!AA24</f>
        <v>0</v>
      </c>
      <c r="S16" s="878"/>
      <c r="T16" s="878"/>
      <c r="U16" s="877">
        <f>☆入力!AB24</f>
        <v>0</v>
      </c>
      <c r="V16" s="877"/>
      <c r="W16" s="877"/>
      <c r="X16" s="877"/>
      <c r="Y16" s="864">
        <f>☆入力!AC24</f>
        <v>0</v>
      </c>
      <c r="Z16" s="864"/>
      <c r="AA16" s="864"/>
      <c r="AB16" s="864"/>
      <c r="AD16" s="62"/>
      <c r="AF16" s="875" t="s">
        <v>340</v>
      </c>
      <c r="AG16" s="875"/>
      <c r="AH16" s="875"/>
      <c r="AI16" s="875"/>
      <c r="AJ16" s="875"/>
      <c r="AK16" s="875"/>
      <c r="AL16" s="875"/>
      <c r="AM16" s="875"/>
      <c r="AN16" s="875"/>
      <c r="AO16" s="875"/>
      <c r="AP16" s="875"/>
      <c r="AQ16" s="875"/>
      <c r="AR16" s="875"/>
      <c r="AS16" s="875"/>
      <c r="AT16" s="875"/>
      <c r="AU16" s="875"/>
      <c r="AV16" s="875"/>
      <c r="AW16" s="875"/>
      <c r="AX16" s="875"/>
      <c r="AY16" s="875"/>
      <c r="AZ16" s="875"/>
      <c r="BA16" s="875"/>
    </row>
    <row r="17" spans="1:53" s="3" customFormat="1" ht="21" customHeight="1">
      <c r="A17" s="913">
        <v>10</v>
      </c>
      <c r="B17" s="913"/>
      <c r="C17" s="914">
        <f>IF($C$6=☆入力!$B$15,☆入力!$B25,☆入力!$C25)</f>
        <v>0</v>
      </c>
      <c r="D17" s="915"/>
      <c r="E17" s="915"/>
      <c r="F17" s="916"/>
      <c r="G17" s="917">
        <f>☆入力!D25</f>
        <v>0</v>
      </c>
      <c r="H17" s="917"/>
      <c r="I17" s="917"/>
      <c r="J17" s="917"/>
      <c r="K17" s="917"/>
      <c r="L17" s="867">
        <f>☆入力!H25</f>
        <v>0</v>
      </c>
      <c r="M17" s="867"/>
      <c r="N17" s="867"/>
      <c r="O17" s="867"/>
      <c r="P17" s="865">
        <f>☆入力!L25</f>
        <v>0</v>
      </c>
      <c r="Q17" s="865"/>
      <c r="R17" s="878">
        <f>☆入力!AA25</f>
        <v>0</v>
      </c>
      <c r="S17" s="878"/>
      <c r="T17" s="878"/>
      <c r="U17" s="877">
        <f>☆入力!AB25</f>
        <v>0</v>
      </c>
      <c r="V17" s="877"/>
      <c r="W17" s="877"/>
      <c r="X17" s="877"/>
      <c r="Y17" s="864">
        <f>☆入力!AC25</f>
        <v>0</v>
      </c>
      <c r="Z17" s="864"/>
      <c r="AA17" s="864"/>
      <c r="AB17" s="864"/>
      <c r="AD17" s="62"/>
      <c r="AF17" s="875"/>
      <c r="AG17" s="875"/>
      <c r="AH17" s="875"/>
      <c r="AI17" s="875"/>
      <c r="AJ17" s="875"/>
      <c r="AK17" s="875"/>
      <c r="AL17" s="875"/>
      <c r="AM17" s="875"/>
      <c r="AN17" s="875"/>
      <c r="AO17" s="875"/>
      <c r="AP17" s="875"/>
      <c r="AQ17" s="875"/>
      <c r="AR17" s="875"/>
      <c r="AS17" s="875"/>
      <c r="AT17" s="875"/>
      <c r="AU17" s="875"/>
      <c r="AV17" s="875"/>
      <c r="AW17" s="875"/>
      <c r="AX17" s="875"/>
      <c r="AY17" s="875"/>
      <c r="AZ17" s="875"/>
      <c r="BA17" s="875"/>
    </row>
    <row r="18" spans="1:53" s="3" customFormat="1" ht="21" customHeight="1" thickBot="1">
      <c r="A18" s="913">
        <v>11</v>
      </c>
      <c r="B18" s="913"/>
      <c r="C18" s="914">
        <f>IF($C$6=☆入力!$B$15,☆入力!$B26,☆入力!$C26)</f>
        <v>0</v>
      </c>
      <c r="D18" s="915"/>
      <c r="E18" s="915"/>
      <c r="F18" s="916"/>
      <c r="G18" s="917">
        <f>☆入力!D26</f>
        <v>0</v>
      </c>
      <c r="H18" s="917"/>
      <c r="I18" s="917"/>
      <c r="J18" s="917"/>
      <c r="K18" s="917"/>
      <c r="L18" s="867">
        <f>☆入力!H26</f>
        <v>0</v>
      </c>
      <c r="M18" s="867"/>
      <c r="N18" s="867"/>
      <c r="O18" s="867"/>
      <c r="P18" s="865">
        <f>☆入力!L26</f>
        <v>0</v>
      </c>
      <c r="Q18" s="865"/>
      <c r="R18" s="878">
        <f>☆入力!AA26</f>
        <v>0</v>
      </c>
      <c r="S18" s="878"/>
      <c r="T18" s="878"/>
      <c r="U18" s="877">
        <f>☆入力!AB26</f>
        <v>0</v>
      </c>
      <c r="V18" s="877"/>
      <c r="W18" s="877"/>
      <c r="X18" s="877"/>
      <c r="Y18" s="864">
        <f>☆入力!AC26</f>
        <v>0</v>
      </c>
      <c r="Z18" s="864"/>
      <c r="AA18" s="864"/>
      <c r="AB18" s="864"/>
      <c r="AD18" s="62"/>
    </row>
    <row r="19" spans="1:53" s="3" customFormat="1" ht="21" customHeight="1" thickTop="1">
      <c r="A19" s="913">
        <v>12</v>
      </c>
      <c r="B19" s="913"/>
      <c r="C19" s="914">
        <f>IF($C$6=☆入力!$B$15,☆入力!$B27,☆入力!$C27)</f>
        <v>0</v>
      </c>
      <c r="D19" s="915"/>
      <c r="E19" s="915"/>
      <c r="F19" s="916"/>
      <c r="G19" s="917">
        <f>☆入力!D27</f>
        <v>0</v>
      </c>
      <c r="H19" s="917"/>
      <c r="I19" s="917"/>
      <c r="J19" s="917"/>
      <c r="K19" s="917"/>
      <c r="L19" s="867">
        <f>☆入力!H27</f>
        <v>0</v>
      </c>
      <c r="M19" s="867"/>
      <c r="N19" s="867"/>
      <c r="O19" s="867"/>
      <c r="P19" s="865">
        <f>☆入力!L27</f>
        <v>0</v>
      </c>
      <c r="Q19" s="865"/>
      <c r="R19" s="878">
        <f>☆入力!AA27</f>
        <v>0</v>
      </c>
      <c r="S19" s="878"/>
      <c r="T19" s="878"/>
      <c r="U19" s="877">
        <f>☆入力!AB27</f>
        <v>0</v>
      </c>
      <c r="V19" s="877"/>
      <c r="W19" s="877"/>
      <c r="X19" s="877"/>
      <c r="Y19" s="864">
        <f>☆入力!AC27</f>
        <v>0</v>
      </c>
      <c r="Z19" s="864"/>
      <c r="AA19" s="864"/>
      <c r="AB19" s="864"/>
      <c r="AD19" s="62"/>
      <c r="AS19" s="946">
        <v>0</v>
      </c>
      <c r="AT19" s="947"/>
      <c r="AU19" s="947"/>
      <c r="AV19" s="947"/>
      <c r="AW19" s="947"/>
      <c r="AX19" s="947"/>
      <c r="AY19" s="947"/>
      <c r="AZ19" s="947"/>
      <c r="BA19" s="948"/>
    </row>
    <row r="20" spans="1:53" s="3" customFormat="1" ht="21" customHeight="1" thickBot="1">
      <c r="A20" s="913">
        <v>13</v>
      </c>
      <c r="B20" s="913"/>
      <c r="C20" s="914">
        <f>IF($C$6=☆入力!$B$15,☆入力!$B28,☆入力!$C28)</f>
        <v>0</v>
      </c>
      <c r="D20" s="915"/>
      <c r="E20" s="915"/>
      <c r="F20" s="916"/>
      <c r="G20" s="917">
        <f>☆入力!D28</f>
        <v>0</v>
      </c>
      <c r="H20" s="917"/>
      <c r="I20" s="917"/>
      <c r="J20" s="917"/>
      <c r="K20" s="917"/>
      <c r="L20" s="867">
        <f>☆入力!H28</f>
        <v>0</v>
      </c>
      <c r="M20" s="867"/>
      <c r="N20" s="867"/>
      <c r="O20" s="867"/>
      <c r="P20" s="865">
        <f>☆入力!L28</f>
        <v>0</v>
      </c>
      <c r="Q20" s="865"/>
      <c r="R20" s="878">
        <f>☆入力!AA28</f>
        <v>0</v>
      </c>
      <c r="S20" s="878"/>
      <c r="T20" s="878"/>
      <c r="U20" s="877">
        <f>☆入力!AB28</f>
        <v>0</v>
      </c>
      <c r="V20" s="877"/>
      <c r="W20" s="877"/>
      <c r="X20" s="877"/>
      <c r="Y20" s="864">
        <f>☆入力!AC28</f>
        <v>0</v>
      </c>
      <c r="Z20" s="864"/>
      <c r="AA20" s="864"/>
      <c r="AB20" s="864"/>
      <c r="AD20" s="62"/>
      <c r="AS20" s="949"/>
      <c r="AT20" s="950"/>
      <c r="AU20" s="950"/>
      <c r="AV20" s="950"/>
      <c r="AW20" s="950"/>
      <c r="AX20" s="950"/>
      <c r="AY20" s="950"/>
      <c r="AZ20" s="950"/>
      <c r="BA20" s="951"/>
    </row>
    <row r="21" spans="1:53" s="3" customFormat="1" ht="21" customHeight="1" thickTop="1">
      <c r="A21" s="913">
        <v>14</v>
      </c>
      <c r="B21" s="913"/>
      <c r="C21" s="914">
        <f>IF($C$6=☆入力!$B$15,☆入力!$B29,☆入力!$C29)</f>
        <v>0</v>
      </c>
      <c r="D21" s="915"/>
      <c r="E21" s="915"/>
      <c r="F21" s="916"/>
      <c r="G21" s="917">
        <f>☆入力!D29</f>
        <v>0</v>
      </c>
      <c r="H21" s="917"/>
      <c r="I21" s="917"/>
      <c r="J21" s="917"/>
      <c r="K21" s="917"/>
      <c r="L21" s="867">
        <f>☆入力!H29</f>
        <v>0</v>
      </c>
      <c r="M21" s="867"/>
      <c r="N21" s="867"/>
      <c r="O21" s="867"/>
      <c r="P21" s="865">
        <f>☆入力!L29</f>
        <v>0</v>
      </c>
      <c r="Q21" s="865"/>
      <c r="R21" s="878">
        <f>☆入力!AA29</f>
        <v>0</v>
      </c>
      <c r="S21" s="878"/>
      <c r="T21" s="878"/>
      <c r="U21" s="877">
        <f>☆入力!AB29</f>
        <v>0</v>
      </c>
      <c r="V21" s="877"/>
      <c r="W21" s="877"/>
      <c r="X21" s="877"/>
      <c r="Y21" s="864">
        <f>☆入力!AC29</f>
        <v>0</v>
      </c>
      <c r="Z21" s="864"/>
      <c r="AA21" s="864"/>
      <c r="AB21" s="864"/>
      <c r="AD21" s="62"/>
      <c r="AG21" s="79"/>
      <c r="AH21" s="79"/>
      <c r="AI21" s="79"/>
      <c r="AJ21" s="79"/>
      <c r="AK21" s="79"/>
      <c r="AL21" s="79"/>
      <c r="AM21" s="79"/>
      <c r="AN21" s="79"/>
      <c r="AO21" s="79"/>
      <c r="AP21" s="79"/>
      <c r="AQ21" s="79"/>
      <c r="AR21" s="79"/>
      <c r="AS21" s="350"/>
      <c r="AT21" s="350"/>
      <c r="AU21" s="350"/>
      <c r="AV21" s="350"/>
      <c r="AW21" s="350"/>
      <c r="AX21" s="350"/>
      <c r="AY21" s="350"/>
      <c r="AZ21" s="350"/>
      <c r="BA21" s="350"/>
    </row>
    <row r="22" spans="1:53" s="3" customFormat="1" ht="21" customHeight="1">
      <c r="A22" s="913">
        <v>15</v>
      </c>
      <c r="B22" s="913"/>
      <c r="C22" s="914">
        <f>IF($C$6=☆入力!$B$15,☆入力!$B30,☆入力!$C30)</f>
        <v>0</v>
      </c>
      <c r="D22" s="915"/>
      <c r="E22" s="915"/>
      <c r="F22" s="916"/>
      <c r="G22" s="917">
        <f>☆入力!D30</f>
        <v>0</v>
      </c>
      <c r="H22" s="917"/>
      <c r="I22" s="917"/>
      <c r="J22" s="917"/>
      <c r="K22" s="917"/>
      <c r="L22" s="867">
        <f>☆入力!H30</f>
        <v>0</v>
      </c>
      <c r="M22" s="867"/>
      <c r="N22" s="867"/>
      <c r="O22" s="867"/>
      <c r="P22" s="865">
        <f>☆入力!L30</f>
        <v>0</v>
      </c>
      <c r="Q22" s="865"/>
      <c r="R22" s="878">
        <f>☆入力!AA30</f>
        <v>0</v>
      </c>
      <c r="S22" s="878"/>
      <c r="T22" s="878"/>
      <c r="U22" s="877">
        <f>☆入力!AB30</f>
        <v>0</v>
      </c>
      <c r="V22" s="877"/>
      <c r="W22" s="877"/>
      <c r="X22" s="877"/>
      <c r="Y22" s="864">
        <f>☆入力!AC30</f>
        <v>0</v>
      </c>
      <c r="Z22" s="864"/>
      <c r="AA22" s="864"/>
      <c r="AB22" s="864"/>
      <c r="AD22" s="62"/>
      <c r="AF22" s="79"/>
      <c r="AG22" s="258"/>
      <c r="AH22" s="258"/>
      <c r="AI22" s="258"/>
      <c r="AJ22" s="258"/>
      <c r="AK22" s="258"/>
      <c r="AL22" s="258"/>
      <c r="AM22" s="259"/>
      <c r="AN22" s="959"/>
      <c r="AO22" s="959"/>
      <c r="AP22" s="959"/>
      <c r="AQ22" s="258"/>
      <c r="AR22" s="259"/>
      <c r="AS22" s="258"/>
      <c r="AT22" s="258"/>
      <c r="AU22" s="258"/>
      <c r="AV22" s="258"/>
      <c r="AW22" s="258"/>
      <c r="AX22" s="258"/>
      <c r="AY22" s="258"/>
      <c r="AZ22" s="258"/>
      <c r="BA22" s="66"/>
    </row>
    <row r="23" spans="1:53" s="3" customFormat="1" ht="21" customHeight="1">
      <c r="A23" s="913">
        <v>16</v>
      </c>
      <c r="B23" s="913"/>
      <c r="C23" s="914">
        <f>IF($C$6=☆入力!$B$15,☆入力!$B31,☆入力!$C31)</f>
        <v>0</v>
      </c>
      <c r="D23" s="915"/>
      <c r="E23" s="915"/>
      <c r="F23" s="916"/>
      <c r="G23" s="917">
        <f>☆入力!D31</f>
        <v>0</v>
      </c>
      <c r="H23" s="917"/>
      <c r="I23" s="917"/>
      <c r="J23" s="917"/>
      <c r="K23" s="917"/>
      <c r="L23" s="867">
        <f>☆入力!H31</f>
        <v>0</v>
      </c>
      <c r="M23" s="867"/>
      <c r="N23" s="867"/>
      <c r="O23" s="867"/>
      <c r="P23" s="865">
        <f>☆入力!L31</f>
        <v>0</v>
      </c>
      <c r="Q23" s="865"/>
      <c r="R23" s="878">
        <f>☆入力!AA31</f>
        <v>0</v>
      </c>
      <c r="S23" s="878"/>
      <c r="T23" s="878"/>
      <c r="U23" s="877">
        <f>☆入力!AB31</f>
        <v>0</v>
      </c>
      <c r="V23" s="877"/>
      <c r="W23" s="877"/>
      <c r="X23" s="877"/>
      <c r="Y23" s="864">
        <f>☆入力!AC31</f>
        <v>0</v>
      </c>
      <c r="Z23" s="864"/>
      <c r="AA23" s="864"/>
      <c r="AB23" s="864"/>
      <c r="AD23" s="62"/>
      <c r="AF23" s="79"/>
      <c r="AG23" s="66"/>
      <c r="AN23" s="868"/>
      <c r="AO23" s="868"/>
      <c r="AP23" s="868"/>
      <c r="AQ23" s="66"/>
      <c r="AS23" s="66"/>
      <c r="AT23" s="66"/>
      <c r="AU23" s="66"/>
      <c r="AV23" s="66"/>
      <c r="AW23" s="66"/>
      <c r="AX23" s="66"/>
      <c r="AY23" s="66"/>
    </row>
    <row r="24" spans="1:53" s="3" customFormat="1" ht="21" customHeight="1">
      <c r="A24" s="913">
        <v>17</v>
      </c>
      <c r="B24" s="913"/>
      <c r="C24" s="914">
        <f>IF($C$6=☆入力!$B$15,☆入力!$B32,☆入力!$C32)</f>
        <v>0</v>
      </c>
      <c r="D24" s="915"/>
      <c r="E24" s="915"/>
      <c r="F24" s="916"/>
      <c r="G24" s="917">
        <f>☆入力!D32</f>
        <v>0</v>
      </c>
      <c r="H24" s="917"/>
      <c r="I24" s="917"/>
      <c r="J24" s="917"/>
      <c r="K24" s="917"/>
      <c r="L24" s="867">
        <f>☆入力!H32</f>
        <v>0</v>
      </c>
      <c r="M24" s="867"/>
      <c r="N24" s="867"/>
      <c r="O24" s="867"/>
      <c r="P24" s="865">
        <f>☆入力!L32</f>
        <v>0</v>
      </c>
      <c r="Q24" s="865"/>
      <c r="R24" s="878">
        <f>☆入力!AA32</f>
        <v>0</v>
      </c>
      <c r="S24" s="878"/>
      <c r="T24" s="878"/>
      <c r="U24" s="877">
        <f>☆入力!AB32</f>
        <v>0</v>
      </c>
      <c r="V24" s="877"/>
      <c r="W24" s="877"/>
      <c r="X24" s="877"/>
      <c r="Y24" s="864">
        <f>☆入力!AC32</f>
        <v>0</v>
      </c>
      <c r="Z24" s="864"/>
      <c r="AA24" s="864"/>
      <c r="AB24" s="864"/>
      <c r="AD24" s="62"/>
      <c r="AS24" s="349"/>
      <c r="AT24" s="349"/>
      <c r="AU24" s="349"/>
      <c r="AV24" s="349"/>
      <c r="AW24" s="349"/>
      <c r="AX24" s="349"/>
      <c r="AY24" s="349"/>
      <c r="AZ24" s="349"/>
      <c r="BA24" s="349"/>
    </row>
    <row r="25" spans="1:53" s="3" customFormat="1" ht="21" customHeight="1">
      <c r="A25" s="913">
        <v>18</v>
      </c>
      <c r="B25" s="913"/>
      <c r="C25" s="914">
        <f>IF($C$6=☆入力!$B$15,☆入力!$B33,☆入力!$C33)</f>
        <v>0</v>
      </c>
      <c r="D25" s="915"/>
      <c r="E25" s="915"/>
      <c r="F25" s="916"/>
      <c r="G25" s="917">
        <f>☆入力!D33</f>
        <v>0</v>
      </c>
      <c r="H25" s="917"/>
      <c r="I25" s="917"/>
      <c r="J25" s="917"/>
      <c r="K25" s="917"/>
      <c r="L25" s="867">
        <f>☆入力!H33</f>
        <v>0</v>
      </c>
      <c r="M25" s="867"/>
      <c r="N25" s="867"/>
      <c r="O25" s="867"/>
      <c r="P25" s="865">
        <f>☆入力!L33</f>
        <v>0</v>
      </c>
      <c r="Q25" s="865"/>
      <c r="R25" s="878">
        <f>☆入力!AA33</f>
        <v>0</v>
      </c>
      <c r="S25" s="878"/>
      <c r="T25" s="878"/>
      <c r="U25" s="877">
        <f>☆入力!AB33</f>
        <v>0</v>
      </c>
      <c r="V25" s="877"/>
      <c r="W25" s="877"/>
      <c r="X25" s="877"/>
      <c r="Y25" s="864">
        <f>☆入力!AC33</f>
        <v>0</v>
      </c>
      <c r="Z25" s="864"/>
      <c r="AA25" s="864"/>
      <c r="AB25" s="864"/>
      <c r="AD25" s="62"/>
      <c r="AF25" s="52"/>
      <c r="AG25" s="1"/>
    </row>
    <row r="26" spans="1:53" s="3" customFormat="1" ht="21" customHeight="1">
      <c r="A26" s="913">
        <v>19</v>
      </c>
      <c r="B26" s="913"/>
      <c r="C26" s="914">
        <f>IF($C$6=☆入力!$B$15,☆入力!$B34,☆入力!$C34)</f>
        <v>0</v>
      </c>
      <c r="D26" s="915"/>
      <c r="E26" s="915"/>
      <c r="F26" s="916"/>
      <c r="G26" s="917">
        <f>☆入力!D34</f>
        <v>0</v>
      </c>
      <c r="H26" s="917"/>
      <c r="I26" s="917"/>
      <c r="J26" s="917"/>
      <c r="K26" s="917"/>
      <c r="L26" s="867">
        <f>☆入力!H34</f>
        <v>0</v>
      </c>
      <c r="M26" s="867"/>
      <c r="N26" s="867"/>
      <c r="O26" s="867"/>
      <c r="P26" s="865">
        <f>☆入力!L34</f>
        <v>0</v>
      </c>
      <c r="Q26" s="865"/>
      <c r="R26" s="878">
        <f>☆入力!AA34</f>
        <v>0</v>
      </c>
      <c r="S26" s="878"/>
      <c r="T26" s="878"/>
      <c r="U26" s="877">
        <f>☆入力!AB34</f>
        <v>0</v>
      </c>
      <c r="V26" s="877"/>
      <c r="W26" s="877"/>
      <c r="X26" s="877"/>
      <c r="Y26" s="864">
        <f>☆入力!AC34</f>
        <v>0</v>
      </c>
      <c r="Z26" s="864"/>
      <c r="AA26" s="864"/>
      <c r="AB26" s="864"/>
      <c r="AD26" s="62"/>
      <c r="AG26" s="1"/>
    </row>
    <row r="27" spans="1:53" s="3" customFormat="1" ht="21" customHeight="1">
      <c r="A27" s="913">
        <v>20</v>
      </c>
      <c r="B27" s="913"/>
      <c r="C27" s="914">
        <f>IF($C$6=☆入力!$B$15,☆入力!$B35,☆入力!$C35)</f>
        <v>0</v>
      </c>
      <c r="D27" s="915"/>
      <c r="E27" s="915"/>
      <c r="F27" s="916"/>
      <c r="G27" s="917">
        <f>☆入力!D35</f>
        <v>0</v>
      </c>
      <c r="H27" s="917"/>
      <c r="I27" s="917"/>
      <c r="J27" s="917"/>
      <c r="K27" s="917"/>
      <c r="L27" s="867">
        <f>☆入力!H35</f>
        <v>0</v>
      </c>
      <c r="M27" s="867"/>
      <c r="N27" s="867"/>
      <c r="O27" s="867"/>
      <c r="P27" s="865">
        <f>☆入力!L35</f>
        <v>0</v>
      </c>
      <c r="Q27" s="865"/>
      <c r="R27" s="878">
        <f>☆入力!AA35</f>
        <v>0</v>
      </c>
      <c r="S27" s="878"/>
      <c r="T27" s="878"/>
      <c r="U27" s="877">
        <f>☆入力!AB35</f>
        <v>0</v>
      </c>
      <c r="V27" s="877"/>
      <c r="W27" s="877"/>
      <c r="X27" s="877"/>
      <c r="Y27" s="864">
        <f>☆入力!AC35</f>
        <v>0</v>
      </c>
      <c r="Z27" s="864"/>
      <c r="AA27" s="864"/>
      <c r="AB27" s="864"/>
      <c r="AD27" s="62"/>
      <c r="AG27" s="1"/>
      <c r="AT27" s="216"/>
      <c r="AU27" s="216"/>
      <c r="AV27" s="216"/>
      <c r="AW27" s="216"/>
      <c r="AX27" s="216"/>
      <c r="AY27" s="216"/>
      <c r="AZ27" s="216"/>
      <c r="BA27" s="216"/>
    </row>
    <row r="28" spans="1:53" s="3" customFormat="1" ht="21" customHeight="1">
      <c r="A28" s="913">
        <v>21</v>
      </c>
      <c r="B28" s="913"/>
      <c r="C28" s="914">
        <f>IF($C$6=☆入力!$B$15,☆入力!$B36,☆入力!$C36)</f>
        <v>0</v>
      </c>
      <c r="D28" s="915"/>
      <c r="E28" s="915"/>
      <c r="F28" s="916"/>
      <c r="G28" s="917">
        <f>☆入力!D36</f>
        <v>0</v>
      </c>
      <c r="H28" s="917"/>
      <c r="I28" s="917"/>
      <c r="J28" s="917"/>
      <c r="K28" s="917"/>
      <c r="L28" s="867">
        <f>☆入力!H36</f>
        <v>0</v>
      </c>
      <c r="M28" s="867"/>
      <c r="N28" s="867"/>
      <c r="O28" s="867"/>
      <c r="P28" s="865">
        <f>☆入力!L36</f>
        <v>0</v>
      </c>
      <c r="Q28" s="865"/>
      <c r="R28" s="878">
        <f>☆入力!AA36</f>
        <v>0</v>
      </c>
      <c r="S28" s="878"/>
      <c r="T28" s="878"/>
      <c r="U28" s="877">
        <f>☆入力!AB36</f>
        <v>0</v>
      </c>
      <c r="V28" s="877"/>
      <c r="W28" s="877"/>
      <c r="X28" s="877"/>
      <c r="Y28" s="864">
        <f>☆入力!AC36</f>
        <v>0</v>
      </c>
      <c r="Z28" s="864"/>
      <c r="AA28" s="864"/>
      <c r="AB28" s="864"/>
      <c r="AD28" s="62"/>
      <c r="AS28" s="350"/>
      <c r="AT28" s="350"/>
      <c r="AU28" s="350"/>
      <c r="AV28" s="350"/>
      <c r="AW28" s="350"/>
      <c r="AX28" s="350"/>
      <c r="AY28" s="350"/>
      <c r="AZ28" s="350"/>
      <c r="BA28" s="350"/>
    </row>
    <row r="29" spans="1:53" s="3" customFormat="1" ht="21" customHeight="1">
      <c r="A29" s="913">
        <v>22</v>
      </c>
      <c r="B29" s="913"/>
      <c r="C29" s="914">
        <f>IF($C$6=☆入力!$B$15,☆入力!$B37,☆入力!$C37)</f>
        <v>0</v>
      </c>
      <c r="D29" s="915"/>
      <c r="E29" s="915"/>
      <c r="F29" s="916"/>
      <c r="G29" s="917">
        <f>☆入力!D37</f>
        <v>0</v>
      </c>
      <c r="H29" s="917"/>
      <c r="I29" s="917"/>
      <c r="J29" s="917"/>
      <c r="K29" s="917"/>
      <c r="L29" s="867">
        <f>☆入力!H37</f>
        <v>0</v>
      </c>
      <c r="M29" s="867"/>
      <c r="N29" s="867"/>
      <c r="O29" s="867"/>
      <c r="P29" s="865">
        <f>☆入力!L37</f>
        <v>0</v>
      </c>
      <c r="Q29" s="865"/>
      <c r="R29" s="878">
        <f>☆入力!AA37</f>
        <v>0</v>
      </c>
      <c r="S29" s="878"/>
      <c r="T29" s="878"/>
      <c r="U29" s="877">
        <f>☆入力!AB37</f>
        <v>0</v>
      </c>
      <c r="V29" s="877"/>
      <c r="W29" s="877"/>
      <c r="X29" s="877"/>
      <c r="Y29" s="864">
        <f>☆入力!AC37</f>
        <v>0</v>
      </c>
      <c r="Z29" s="864"/>
      <c r="AA29" s="864"/>
      <c r="AB29" s="864"/>
      <c r="AD29" s="62"/>
      <c r="AG29" s="1"/>
    </row>
    <row r="30" spans="1:53" s="3" customFormat="1" ht="21" customHeight="1">
      <c r="A30" s="913">
        <v>23</v>
      </c>
      <c r="B30" s="913"/>
      <c r="C30" s="914">
        <f>IF($C$6=☆入力!$B$15,☆入力!$B38,☆入力!$C38)</f>
        <v>0</v>
      </c>
      <c r="D30" s="915"/>
      <c r="E30" s="915"/>
      <c r="F30" s="916"/>
      <c r="G30" s="917">
        <f>☆入力!D38</f>
        <v>0</v>
      </c>
      <c r="H30" s="917"/>
      <c r="I30" s="917"/>
      <c r="J30" s="917"/>
      <c r="K30" s="917"/>
      <c r="L30" s="867">
        <f>☆入力!H38</f>
        <v>0</v>
      </c>
      <c r="M30" s="867"/>
      <c r="N30" s="867"/>
      <c r="O30" s="867"/>
      <c r="P30" s="865">
        <f>☆入力!L38</f>
        <v>0</v>
      </c>
      <c r="Q30" s="865"/>
      <c r="R30" s="878">
        <f>☆入力!AA38</f>
        <v>0</v>
      </c>
      <c r="S30" s="878"/>
      <c r="T30" s="878"/>
      <c r="U30" s="877">
        <f>☆入力!AB38</f>
        <v>0</v>
      </c>
      <c r="V30" s="877"/>
      <c r="W30" s="877"/>
      <c r="X30" s="877"/>
      <c r="Y30" s="864">
        <f>☆入力!AC38</f>
        <v>0</v>
      </c>
      <c r="Z30" s="864"/>
      <c r="AA30" s="864"/>
      <c r="AB30" s="864"/>
      <c r="AD30" s="62"/>
      <c r="AS30" s="55"/>
      <c r="AT30" s="55"/>
      <c r="AU30" s="55"/>
      <c r="AV30" s="55"/>
      <c r="AW30" s="55"/>
      <c r="AX30" s="55"/>
      <c r="AY30" s="55"/>
      <c r="AZ30" s="55"/>
      <c r="BA30" s="55"/>
    </row>
    <row r="31" spans="1:53" s="3" customFormat="1" ht="21" customHeight="1">
      <c r="A31" s="913">
        <v>24</v>
      </c>
      <c r="B31" s="913"/>
      <c r="C31" s="914">
        <f>IF($C$6=☆入力!$B$15,☆入力!$B39,☆入力!$C39)</f>
        <v>0</v>
      </c>
      <c r="D31" s="915"/>
      <c r="E31" s="915"/>
      <c r="F31" s="916"/>
      <c r="G31" s="917">
        <f>☆入力!D39</f>
        <v>0</v>
      </c>
      <c r="H31" s="917"/>
      <c r="I31" s="917"/>
      <c r="J31" s="917"/>
      <c r="K31" s="917"/>
      <c r="L31" s="867">
        <f>☆入力!H39</f>
        <v>0</v>
      </c>
      <c r="M31" s="867"/>
      <c r="N31" s="867"/>
      <c r="O31" s="867"/>
      <c r="P31" s="865">
        <f>☆入力!L39</f>
        <v>0</v>
      </c>
      <c r="Q31" s="865"/>
      <c r="R31" s="878">
        <f>☆入力!AA39</f>
        <v>0</v>
      </c>
      <c r="S31" s="878"/>
      <c r="T31" s="878"/>
      <c r="U31" s="877">
        <f>☆入力!AB39</f>
        <v>0</v>
      </c>
      <c r="V31" s="877"/>
      <c r="W31" s="877"/>
      <c r="X31" s="877"/>
      <c r="Y31" s="864">
        <f>☆入力!AC39</f>
        <v>0</v>
      </c>
      <c r="Z31" s="864"/>
      <c r="AA31" s="864"/>
      <c r="AB31" s="864"/>
      <c r="AD31" s="62"/>
      <c r="AS31" s="55"/>
      <c r="AT31" s="55"/>
      <c r="AU31" s="55"/>
      <c r="AV31" s="55"/>
      <c r="AW31" s="55"/>
      <c r="AX31" s="55"/>
      <c r="AY31" s="55"/>
      <c r="AZ31" s="55"/>
      <c r="BA31" s="55"/>
    </row>
    <row r="32" spans="1:53" s="3" customFormat="1" ht="21" customHeight="1">
      <c r="A32" s="913">
        <v>25</v>
      </c>
      <c r="B32" s="913"/>
      <c r="C32" s="914">
        <f>IF($C$6=☆入力!$B$15,☆入力!$B40,☆入力!$C40)</f>
        <v>0</v>
      </c>
      <c r="D32" s="915"/>
      <c r="E32" s="915"/>
      <c r="F32" s="916"/>
      <c r="G32" s="917">
        <f>☆入力!D40</f>
        <v>0</v>
      </c>
      <c r="H32" s="917"/>
      <c r="I32" s="917"/>
      <c r="J32" s="917"/>
      <c r="K32" s="917"/>
      <c r="L32" s="867">
        <f>☆入力!H40</f>
        <v>0</v>
      </c>
      <c r="M32" s="867"/>
      <c r="N32" s="867"/>
      <c r="O32" s="867"/>
      <c r="P32" s="865">
        <f>☆入力!L40</f>
        <v>0</v>
      </c>
      <c r="Q32" s="865"/>
      <c r="R32" s="878">
        <f>☆入力!AA40</f>
        <v>0</v>
      </c>
      <c r="S32" s="878"/>
      <c r="T32" s="878"/>
      <c r="U32" s="877">
        <f>☆入力!AB40</f>
        <v>0</v>
      </c>
      <c r="V32" s="877"/>
      <c r="W32" s="877"/>
      <c r="X32" s="877"/>
      <c r="Y32" s="864">
        <f>☆入力!AC40</f>
        <v>0</v>
      </c>
      <c r="Z32" s="864"/>
      <c r="AA32" s="864"/>
      <c r="AB32" s="864"/>
      <c r="AD32" s="62"/>
    </row>
    <row r="33" spans="1:56" s="3" customFormat="1" ht="21" customHeight="1" outlineLevel="1">
      <c r="A33" s="913">
        <v>26</v>
      </c>
      <c r="B33" s="913"/>
      <c r="C33" s="914">
        <f>IF($C$6=☆入力!$B$15,☆入力!$B41,☆入力!$C41)</f>
        <v>0</v>
      </c>
      <c r="D33" s="915"/>
      <c r="E33" s="915"/>
      <c r="F33" s="916"/>
      <c r="G33" s="917">
        <f>☆入力!D41</f>
        <v>0</v>
      </c>
      <c r="H33" s="917"/>
      <c r="I33" s="917"/>
      <c r="J33" s="917"/>
      <c r="K33" s="917"/>
      <c r="L33" s="867">
        <f>☆入力!H41</f>
        <v>0</v>
      </c>
      <c r="M33" s="867"/>
      <c r="N33" s="867"/>
      <c r="O33" s="867"/>
      <c r="P33" s="865">
        <f>☆入力!L41</f>
        <v>0</v>
      </c>
      <c r="Q33" s="865"/>
      <c r="R33" s="878">
        <f>☆入力!AA41</f>
        <v>0</v>
      </c>
      <c r="S33" s="878"/>
      <c r="T33" s="878"/>
      <c r="U33" s="877">
        <f>☆入力!AB41</f>
        <v>0</v>
      </c>
      <c r="V33" s="877"/>
      <c r="W33" s="877"/>
      <c r="X33" s="877"/>
      <c r="Y33" s="864">
        <f>☆入力!AC41</f>
        <v>0</v>
      </c>
      <c r="Z33" s="864"/>
      <c r="AA33" s="864"/>
      <c r="AB33" s="864"/>
      <c r="AD33" s="62"/>
    </row>
    <row r="34" spans="1:56" s="3" customFormat="1" ht="21" customHeight="1" outlineLevel="1">
      <c r="A34" s="913">
        <v>27</v>
      </c>
      <c r="B34" s="913"/>
      <c r="C34" s="914">
        <f>IF($C$6=☆入力!$B$15,☆入力!$B42,☆入力!$C42)</f>
        <v>0</v>
      </c>
      <c r="D34" s="915"/>
      <c r="E34" s="915"/>
      <c r="F34" s="916"/>
      <c r="G34" s="917">
        <f>☆入力!D42</f>
        <v>0</v>
      </c>
      <c r="H34" s="917"/>
      <c r="I34" s="917"/>
      <c r="J34" s="917"/>
      <c r="K34" s="917"/>
      <c r="L34" s="867">
        <f>☆入力!H42</f>
        <v>0</v>
      </c>
      <c r="M34" s="867"/>
      <c r="N34" s="867"/>
      <c r="O34" s="867"/>
      <c r="P34" s="865">
        <f>☆入力!L42</f>
        <v>0</v>
      </c>
      <c r="Q34" s="865"/>
      <c r="R34" s="878">
        <f>☆入力!AA42</f>
        <v>0</v>
      </c>
      <c r="S34" s="878"/>
      <c r="T34" s="878"/>
      <c r="U34" s="877">
        <f>☆入力!AB42</f>
        <v>0</v>
      </c>
      <c r="V34" s="877"/>
      <c r="W34" s="877"/>
      <c r="X34" s="877"/>
      <c r="Y34" s="864">
        <f>☆入力!AC42</f>
        <v>0</v>
      </c>
      <c r="Z34" s="864"/>
      <c r="AA34" s="864"/>
      <c r="AB34" s="864"/>
      <c r="AD34" s="62"/>
    </row>
    <row r="35" spans="1:56" s="3" customFormat="1" ht="21" customHeight="1" outlineLevel="1">
      <c r="A35" s="913">
        <v>28</v>
      </c>
      <c r="B35" s="913"/>
      <c r="C35" s="914">
        <f>IF($C$6=☆入力!$B$15,☆入力!$B43,☆入力!$C43)</f>
        <v>0</v>
      </c>
      <c r="D35" s="915"/>
      <c r="E35" s="915"/>
      <c r="F35" s="916"/>
      <c r="G35" s="917">
        <f>☆入力!D43</f>
        <v>0</v>
      </c>
      <c r="H35" s="917"/>
      <c r="I35" s="917"/>
      <c r="J35" s="917"/>
      <c r="K35" s="917"/>
      <c r="L35" s="867">
        <f>☆入力!H43</f>
        <v>0</v>
      </c>
      <c r="M35" s="867"/>
      <c r="N35" s="867"/>
      <c r="O35" s="867"/>
      <c r="P35" s="865">
        <f>☆入力!L43</f>
        <v>0</v>
      </c>
      <c r="Q35" s="865"/>
      <c r="R35" s="878">
        <f>☆入力!AA43</f>
        <v>0</v>
      </c>
      <c r="S35" s="878"/>
      <c r="T35" s="878"/>
      <c r="U35" s="877">
        <f>☆入力!AB43</f>
        <v>0</v>
      </c>
      <c r="V35" s="877"/>
      <c r="W35" s="877"/>
      <c r="X35" s="877"/>
      <c r="Y35" s="864">
        <f>☆入力!AC43</f>
        <v>0</v>
      </c>
      <c r="Z35" s="864"/>
      <c r="AA35" s="864"/>
      <c r="AB35" s="864"/>
      <c r="AD35" s="62"/>
    </row>
    <row r="36" spans="1:56" s="3" customFormat="1" ht="21" customHeight="1" outlineLevel="1">
      <c r="A36" s="913">
        <v>29</v>
      </c>
      <c r="B36" s="913"/>
      <c r="C36" s="914">
        <f>IF($C$6=☆入力!$B$15,☆入力!$B44,☆入力!$C44)</f>
        <v>0</v>
      </c>
      <c r="D36" s="915"/>
      <c r="E36" s="915"/>
      <c r="F36" s="916"/>
      <c r="G36" s="917">
        <f>☆入力!D44</f>
        <v>0</v>
      </c>
      <c r="H36" s="917"/>
      <c r="I36" s="917"/>
      <c r="J36" s="917"/>
      <c r="K36" s="917"/>
      <c r="L36" s="867">
        <f>☆入力!H44</f>
        <v>0</v>
      </c>
      <c r="M36" s="867"/>
      <c r="N36" s="867"/>
      <c r="O36" s="867"/>
      <c r="P36" s="865">
        <f>☆入力!L44</f>
        <v>0</v>
      </c>
      <c r="Q36" s="865"/>
      <c r="R36" s="878">
        <f>☆入力!AA44</f>
        <v>0</v>
      </c>
      <c r="S36" s="878"/>
      <c r="T36" s="878"/>
      <c r="U36" s="877">
        <f>☆入力!AB44</f>
        <v>0</v>
      </c>
      <c r="V36" s="877"/>
      <c r="W36" s="877"/>
      <c r="X36" s="877"/>
      <c r="Y36" s="864">
        <f>☆入力!AC44</f>
        <v>0</v>
      </c>
      <c r="Z36" s="864"/>
      <c r="AA36" s="864"/>
      <c r="AB36" s="864"/>
      <c r="AD36" s="62"/>
    </row>
    <row r="37" spans="1:56" s="3" customFormat="1" ht="21" customHeight="1" outlineLevel="1">
      <c r="A37" s="922">
        <v>30</v>
      </c>
      <c r="B37" s="922"/>
      <c r="C37" s="923">
        <f>IF($C$6=☆入力!$B$15,☆入力!$B45,☆入力!$C45)</f>
        <v>0</v>
      </c>
      <c r="D37" s="924"/>
      <c r="E37" s="924"/>
      <c r="F37" s="925"/>
      <c r="G37" s="926">
        <f>☆入力!D45</f>
        <v>0</v>
      </c>
      <c r="H37" s="926"/>
      <c r="I37" s="926"/>
      <c r="J37" s="926"/>
      <c r="K37" s="926"/>
      <c r="L37" s="927">
        <f>☆入力!H45</f>
        <v>0</v>
      </c>
      <c r="M37" s="927"/>
      <c r="N37" s="927"/>
      <c r="O37" s="927"/>
      <c r="P37" s="928">
        <f>☆入力!L45</f>
        <v>0</v>
      </c>
      <c r="Q37" s="928"/>
      <c r="R37" s="930">
        <f>☆入力!AA45</f>
        <v>0</v>
      </c>
      <c r="S37" s="930"/>
      <c r="T37" s="930"/>
      <c r="U37" s="931">
        <f>☆入力!AB45</f>
        <v>0</v>
      </c>
      <c r="V37" s="931"/>
      <c r="W37" s="931"/>
      <c r="X37" s="931"/>
      <c r="Y37" s="932">
        <f>☆入力!AC45</f>
        <v>0</v>
      </c>
      <c r="Z37" s="932"/>
      <c r="AA37" s="932"/>
      <c r="AB37" s="932"/>
      <c r="AD37" s="62"/>
    </row>
    <row r="38" spans="1:56" s="13" customFormat="1" ht="21" customHeight="1">
      <c r="C38" s="479"/>
      <c r="D38" s="479"/>
      <c r="E38" s="479"/>
      <c r="F38" s="479"/>
      <c r="G38" s="479"/>
      <c r="H38" s="479"/>
      <c r="I38" s="479"/>
      <c r="J38" s="479"/>
      <c r="K38" s="74" t="s">
        <v>333</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91" t="s">
        <v>43</v>
      </c>
      <c r="L39" s="891"/>
      <c r="M39" s="891"/>
      <c r="N39" s="891"/>
      <c r="O39" s="891"/>
      <c r="P39" s="893">
        <f>SUM(P8:Q37)</f>
        <v>0</v>
      </c>
      <c r="Q39" s="893"/>
      <c r="R39" s="895" t="s">
        <v>334</v>
      </c>
      <c r="S39" s="895"/>
      <c r="T39" s="895"/>
      <c r="U39" s="897">
        <f>SUM(U8:X37)</f>
        <v>0</v>
      </c>
      <c r="V39" s="897"/>
      <c r="W39" s="897"/>
      <c r="X39" s="897"/>
      <c r="Y39" s="899">
        <f>SUM(Y8:AB37)</f>
        <v>0</v>
      </c>
      <c r="Z39" s="899"/>
      <c r="AA39" s="899"/>
      <c r="AB39" s="899"/>
      <c r="AD39" s="64"/>
      <c r="AF39" s="875" t="s">
        <v>335</v>
      </c>
      <c r="AG39" s="875"/>
      <c r="AH39" s="875"/>
      <c r="AI39" s="875"/>
      <c r="AJ39" s="875"/>
      <c r="AK39" s="875"/>
      <c r="AL39" s="875"/>
      <c r="AM39" s="875"/>
      <c r="AN39" s="875"/>
      <c r="AO39" s="875"/>
      <c r="AP39" s="875"/>
      <c r="AQ39" s="875"/>
      <c r="AR39" s="875"/>
      <c r="AS39" s="875"/>
      <c r="AT39" s="875"/>
      <c r="AU39" s="875"/>
      <c r="AV39" s="875"/>
      <c r="AW39" s="875"/>
      <c r="AX39" s="875"/>
      <c r="AY39" s="875"/>
      <c r="AZ39" s="875"/>
      <c r="BA39" s="875"/>
    </row>
    <row r="40" spans="1:56" s="13" customFormat="1" ht="21" customHeight="1" thickBot="1">
      <c r="C40" s="14"/>
      <c r="D40" s="14"/>
      <c r="E40" s="14"/>
      <c r="F40" s="14"/>
      <c r="G40" s="14"/>
      <c r="H40" s="14"/>
      <c r="I40" s="14"/>
      <c r="J40" s="14"/>
      <c r="K40" s="892"/>
      <c r="L40" s="892"/>
      <c r="M40" s="892"/>
      <c r="N40" s="892"/>
      <c r="O40" s="892"/>
      <c r="P40" s="894"/>
      <c r="Q40" s="894"/>
      <c r="R40" s="896"/>
      <c r="S40" s="896"/>
      <c r="T40" s="896"/>
      <c r="U40" s="898"/>
      <c r="V40" s="898"/>
      <c r="W40" s="898"/>
      <c r="X40" s="898"/>
      <c r="Y40" s="900"/>
      <c r="Z40" s="900"/>
      <c r="AA40" s="900"/>
      <c r="AB40" s="900"/>
      <c r="AD40" s="64"/>
      <c r="AF40" s="875"/>
      <c r="AG40" s="875"/>
      <c r="AH40" s="875"/>
      <c r="AI40" s="875"/>
      <c r="AJ40" s="875"/>
      <c r="AK40" s="875"/>
      <c r="AL40" s="875"/>
      <c r="AM40" s="875"/>
      <c r="AN40" s="875"/>
      <c r="AO40" s="875"/>
      <c r="AP40" s="875"/>
      <c r="AQ40" s="875"/>
      <c r="AR40" s="875"/>
      <c r="AS40" s="875"/>
      <c r="AT40" s="875"/>
      <c r="AU40" s="875"/>
      <c r="AV40" s="875"/>
      <c r="AW40" s="875"/>
      <c r="AX40" s="875"/>
      <c r="AY40" s="875"/>
      <c r="AZ40" s="875"/>
      <c r="BA40" s="875"/>
    </row>
    <row r="41" spans="1:56" s="13" customFormat="1" ht="21" customHeight="1" thickTop="1">
      <c r="C41" s="14"/>
      <c r="D41" s="14"/>
      <c r="E41" s="14"/>
      <c r="F41" s="14"/>
      <c r="G41" s="14"/>
      <c r="H41" s="14"/>
      <c r="I41" s="14"/>
      <c r="J41" s="14"/>
      <c r="L41" s="14"/>
      <c r="M41" s="14"/>
      <c r="AD41" s="64"/>
      <c r="AS41" s="952">
        <f>AS7+AS19+AS24</f>
        <v>0</v>
      </c>
      <c r="AT41" s="953"/>
      <c r="AU41" s="953"/>
      <c r="AV41" s="953"/>
      <c r="AW41" s="953"/>
      <c r="AX41" s="953"/>
      <c r="AY41" s="953"/>
      <c r="AZ41" s="953"/>
      <c r="BA41" s="954"/>
    </row>
    <row r="42" spans="1:56" s="13" customFormat="1" ht="21" customHeight="1" thickBot="1">
      <c r="C42" s="14"/>
      <c r="D42" s="14"/>
      <c r="E42" s="14"/>
      <c r="F42" s="14"/>
      <c r="G42" s="14"/>
      <c r="H42" s="14"/>
      <c r="I42" s="14"/>
      <c r="J42" s="14"/>
      <c r="K42" s="14"/>
      <c r="L42" s="14"/>
      <c r="M42" s="14"/>
      <c r="AD42" s="64"/>
      <c r="AS42" s="955"/>
      <c r="AT42" s="956"/>
      <c r="AU42" s="956"/>
      <c r="AV42" s="956"/>
      <c r="AW42" s="956"/>
      <c r="AX42" s="956"/>
      <c r="AY42" s="956"/>
      <c r="AZ42" s="956"/>
      <c r="BA42" s="957"/>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0">
        <v>6</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1:BD1"/>
    <mergeCell ref="R3:AB4"/>
    <mergeCell ref="AF3:BA4"/>
    <mergeCell ref="A6:B6"/>
    <mergeCell ref="C6:F6"/>
    <mergeCell ref="G6:K6"/>
    <mergeCell ref="L6:O6"/>
    <mergeCell ref="P6:Q6"/>
    <mergeCell ref="R6:T6"/>
    <mergeCell ref="U6:X6"/>
    <mergeCell ref="Y6:AB6"/>
    <mergeCell ref="AS7:BA8"/>
    <mergeCell ref="A8:B8"/>
    <mergeCell ref="C8:F8"/>
    <mergeCell ref="G8:K8"/>
    <mergeCell ref="L8:O8"/>
    <mergeCell ref="P8:Q8"/>
    <mergeCell ref="R8:T8"/>
    <mergeCell ref="U8:X8"/>
    <mergeCell ref="Y8:AB8"/>
    <mergeCell ref="A9:B9"/>
    <mergeCell ref="C9:F9"/>
    <mergeCell ref="G9:K9"/>
    <mergeCell ref="L9:O9"/>
    <mergeCell ref="P9:Q9"/>
    <mergeCell ref="R9:T9"/>
    <mergeCell ref="U9:X9"/>
    <mergeCell ref="Y9:AB9"/>
    <mergeCell ref="AF7:AR8"/>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topLeftCell="A3" zoomScale="40" zoomScaleNormal="80" zoomScaleSheetLayoutView="40" workbookViewId="0">
      <selection activeCell="A49" sqref="A49:C49"/>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84" t="s">
        <v>346</v>
      </c>
      <c r="B1" s="884"/>
      <c r="C1" s="884"/>
      <c r="D1" s="884"/>
      <c r="E1" s="884"/>
      <c r="F1" s="884"/>
      <c r="G1" s="884"/>
      <c r="H1" s="884"/>
      <c r="I1" s="884"/>
      <c r="J1" s="884"/>
      <c r="K1" s="884"/>
      <c r="L1" s="884"/>
      <c r="M1" s="884"/>
      <c r="N1" s="884"/>
      <c r="O1" s="884"/>
      <c r="P1" s="884"/>
      <c r="Q1" s="884"/>
      <c r="R1" s="884"/>
      <c r="S1" s="884"/>
      <c r="T1" s="884"/>
      <c r="U1" s="884"/>
      <c r="V1" s="884"/>
      <c r="W1" s="884"/>
      <c r="X1" s="884"/>
      <c r="Y1" s="884"/>
      <c r="Z1" s="884"/>
      <c r="AA1" s="884"/>
      <c r="AB1" s="884"/>
      <c r="AC1" s="884"/>
      <c r="AD1" s="884"/>
      <c r="AE1" s="884"/>
      <c r="AF1" s="884"/>
      <c r="AG1" s="884"/>
      <c r="AH1" s="884"/>
      <c r="AI1" s="884"/>
      <c r="AJ1" s="884"/>
      <c r="AK1" s="884"/>
      <c r="AL1" s="884"/>
      <c r="AM1" s="884"/>
      <c r="AN1" s="884"/>
      <c r="AO1" s="884"/>
      <c r="AP1" s="884"/>
      <c r="AQ1" s="884"/>
      <c r="AR1" s="884"/>
      <c r="AS1" s="884"/>
      <c r="AT1" s="884"/>
      <c r="AU1" s="884"/>
      <c r="AV1" s="884"/>
      <c r="AW1" s="884"/>
      <c r="AX1" s="884"/>
      <c r="AY1" s="884"/>
      <c r="AZ1" s="884"/>
      <c r="BA1" s="884"/>
      <c r="BB1" s="884"/>
      <c r="BC1" s="884"/>
      <c r="BD1" s="884"/>
      <c r="BE1" s="884"/>
      <c r="BF1" s="884"/>
      <c r="BG1" s="884"/>
      <c r="BH1" s="884"/>
      <c r="BI1" s="884"/>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1029" t="s">
        <v>347</v>
      </c>
      <c r="L3" s="1030"/>
      <c r="M3" s="1030"/>
      <c r="N3" s="1031"/>
      <c r="O3" s="60"/>
      <c r="P3" s="60"/>
      <c r="Q3" s="967" t="s">
        <v>348</v>
      </c>
      <c r="R3" s="968"/>
      <c r="S3" s="968"/>
      <c r="T3" s="968"/>
      <c r="U3" s="968"/>
      <c r="V3" s="968"/>
      <c r="W3" s="969"/>
      <c r="X3" s="38"/>
      <c r="Y3" s="61"/>
      <c r="Z3" s="38"/>
      <c r="AA3" s="1011" t="s">
        <v>312</v>
      </c>
      <c r="AB3" s="1011"/>
      <c r="AC3" s="1011"/>
      <c r="AD3" s="1011"/>
      <c r="AE3" s="1011"/>
      <c r="AF3" s="1011"/>
      <c r="AG3" s="1011"/>
      <c r="AH3" s="1011"/>
      <c r="AI3" s="1011"/>
      <c r="AJ3" s="60"/>
      <c r="AK3" s="60"/>
      <c r="AL3" s="60"/>
      <c r="AM3" s="60"/>
      <c r="AN3" s="934" t="s">
        <v>337</v>
      </c>
      <c r="AO3" s="934"/>
      <c r="AP3" s="934"/>
      <c r="AQ3" s="934"/>
      <c r="AR3" s="934"/>
      <c r="AS3" s="934"/>
      <c r="AT3" s="934"/>
      <c r="AU3" s="934"/>
      <c r="AV3" s="934"/>
      <c r="AW3" s="60"/>
      <c r="AX3" s="60"/>
      <c r="AY3" s="60"/>
      <c r="AZ3" s="60"/>
      <c r="BA3" s="962" t="s">
        <v>349</v>
      </c>
      <c r="BB3" s="962"/>
      <c r="BC3" s="962"/>
      <c r="BD3" s="962"/>
      <c r="BE3" s="962"/>
      <c r="BF3" s="962"/>
      <c r="BG3" s="962"/>
      <c r="BH3" s="962"/>
      <c r="BI3" s="962"/>
    </row>
    <row r="4" spans="1:61" s="3" customFormat="1" ht="21" customHeight="1" thickTop="1">
      <c r="A4" s="51"/>
      <c r="B4" s="52"/>
      <c r="C4" s="53"/>
      <c r="D4" s="53"/>
      <c r="E4" s="53"/>
      <c r="F4" s="53"/>
      <c r="G4" s="53"/>
      <c r="H4" s="53"/>
      <c r="I4" s="53"/>
      <c r="J4" s="53"/>
      <c r="K4" s="52"/>
      <c r="L4" s="52"/>
      <c r="M4" s="52"/>
      <c r="N4" s="52"/>
      <c r="Y4" s="62"/>
      <c r="AA4" s="1012"/>
      <c r="AB4" s="1012"/>
      <c r="AC4" s="1012"/>
      <c r="AD4" s="1012"/>
      <c r="AE4" s="1012"/>
      <c r="AF4" s="1012"/>
      <c r="AG4" s="1012"/>
      <c r="AH4" s="1012"/>
      <c r="AI4" s="1012"/>
      <c r="AJ4" s="58"/>
      <c r="AK4" s="58"/>
      <c r="AL4" s="58"/>
      <c r="AM4" s="58"/>
      <c r="AN4" s="961"/>
      <c r="AO4" s="961"/>
      <c r="AP4" s="961"/>
      <c r="AQ4" s="961"/>
      <c r="AR4" s="961"/>
      <c r="AS4" s="961"/>
      <c r="AT4" s="961"/>
      <c r="AU4" s="961"/>
      <c r="AV4" s="961"/>
      <c r="BA4" s="963"/>
      <c r="BB4" s="963"/>
      <c r="BC4" s="963"/>
      <c r="BD4" s="963"/>
      <c r="BE4" s="963"/>
      <c r="BF4" s="963"/>
      <c r="BG4" s="963"/>
      <c r="BH4" s="963"/>
      <c r="BI4" s="963"/>
    </row>
    <row r="5" spans="1:61" ht="21" customHeight="1">
      <c r="A5" s="903" t="s">
        <v>314</v>
      </c>
      <c r="B5" s="907"/>
      <c r="C5" s="908" t="str">
        <f>LED計算式!M32</f>
        <v>試算エリア</v>
      </c>
      <c r="D5" s="909"/>
      <c r="E5" s="909"/>
      <c r="F5" s="910"/>
      <c r="G5" s="908" t="s">
        <v>315</v>
      </c>
      <c r="H5" s="909"/>
      <c r="I5" s="909"/>
      <c r="J5" s="910"/>
      <c r="K5" s="906" t="s">
        <v>318</v>
      </c>
      <c r="L5" s="906"/>
      <c r="M5" s="906"/>
      <c r="N5" s="906"/>
      <c r="O5" s="56"/>
      <c r="P5" s="56"/>
      <c r="Q5" s="906" t="s">
        <v>318</v>
      </c>
      <c r="R5" s="906"/>
      <c r="S5" s="906"/>
      <c r="T5" s="906"/>
      <c r="U5" s="984" t="s">
        <v>350</v>
      </c>
      <c r="V5" s="984"/>
      <c r="W5" s="984"/>
      <c r="Y5" s="63"/>
    </row>
    <row r="6" spans="1:61" ht="21" customHeight="1">
      <c r="A6" s="14"/>
      <c r="B6" s="14"/>
      <c r="C6" s="15"/>
      <c r="D6" s="15"/>
      <c r="E6" s="15"/>
      <c r="F6" s="15"/>
      <c r="G6" s="15"/>
      <c r="H6" s="15"/>
      <c r="I6" s="15"/>
      <c r="J6" s="15"/>
      <c r="K6" s="16"/>
      <c r="L6" s="16"/>
      <c r="M6" s="16"/>
      <c r="N6" s="16"/>
      <c r="O6" s="16"/>
      <c r="P6" s="16"/>
      <c r="Q6" s="16"/>
      <c r="R6" s="16"/>
      <c r="Y6" s="63"/>
      <c r="AA6" s="875" t="s">
        <v>351</v>
      </c>
      <c r="AB6" s="875"/>
      <c r="AC6" s="875"/>
      <c r="AD6" s="875"/>
      <c r="AE6" s="875"/>
      <c r="AF6" s="875"/>
      <c r="AG6" s="875"/>
      <c r="AH6" s="875"/>
      <c r="AI6" s="875"/>
      <c r="AJ6" s="875"/>
      <c r="AK6" s="875"/>
      <c r="AL6" s="875"/>
      <c r="AM6" s="875"/>
      <c r="AN6" s="875"/>
      <c r="AO6" s="875"/>
      <c r="AP6" s="875"/>
      <c r="AQ6" s="875"/>
      <c r="AR6" s="875"/>
      <c r="AS6" s="875"/>
      <c r="AT6" s="875"/>
      <c r="AU6" s="875"/>
      <c r="AV6" s="875"/>
    </row>
    <row r="7" spans="1:61" s="3" customFormat="1" ht="21" customHeight="1">
      <c r="A7" s="911">
        <v>1</v>
      </c>
      <c r="B7" s="911"/>
      <c r="C7" s="912" t="str">
        <f>IF($C$5=☆入力!$B$15,☆入力!$B16,☆入力!$C16)</f>
        <v>あいえうお</v>
      </c>
      <c r="D7" s="912"/>
      <c r="E7" s="912"/>
      <c r="F7" s="912"/>
      <c r="G7" s="912">
        <f>☆入力!D16</f>
        <v>0</v>
      </c>
      <c r="H7" s="912"/>
      <c r="I7" s="912"/>
      <c r="J7" s="912"/>
      <c r="K7" s="883">
        <f>☆入力!Y16</f>
        <v>0</v>
      </c>
      <c r="L7" s="883"/>
      <c r="M7" s="883"/>
      <c r="N7" s="883"/>
      <c r="O7" s="965" t="s">
        <v>352</v>
      </c>
      <c r="P7" s="966"/>
      <c r="Q7" s="883">
        <f>☆入力!AC16</f>
        <v>0</v>
      </c>
      <c r="R7" s="883"/>
      <c r="S7" s="883"/>
      <c r="T7" s="883"/>
      <c r="U7" s="1010" t="str">
        <f t="shared" ref="U7:U31" si="0">IFERROR(100%-(Q7/K7),"")</f>
        <v/>
      </c>
      <c r="V7" s="1010"/>
      <c r="W7" s="1010"/>
      <c r="Y7" s="62"/>
      <c r="AA7" s="875"/>
      <c r="AB7" s="875"/>
      <c r="AC7" s="875"/>
      <c r="AD7" s="875"/>
      <c r="AE7" s="875"/>
      <c r="AF7" s="875"/>
      <c r="AG7" s="875"/>
      <c r="AH7" s="875"/>
      <c r="AI7" s="875"/>
      <c r="AJ7" s="875"/>
      <c r="AK7" s="875"/>
      <c r="AL7" s="875"/>
      <c r="AM7" s="875"/>
      <c r="AN7" s="875"/>
      <c r="AO7" s="875"/>
      <c r="AP7" s="875"/>
      <c r="AQ7" s="875"/>
      <c r="AR7" s="875"/>
      <c r="AS7" s="875"/>
      <c r="AT7" s="875"/>
      <c r="AU7" s="875"/>
      <c r="AV7" s="875"/>
    </row>
    <row r="8" spans="1:61" s="3" customFormat="1" ht="21" customHeight="1" thickBot="1">
      <c r="A8" s="913">
        <v>2</v>
      </c>
      <c r="B8" s="913"/>
      <c r="C8" s="914" t="str">
        <f>IF($C$5=☆入力!$B$15,☆入力!$B17,☆入力!$C17)</f>
        <v>あいえうお</v>
      </c>
      <c r="D8" s="915"/>
      <c r="E8" s="915"/>
      <c r="F8" s="916"/>
      <c r="G8" s="917">
        <f>☆入力!D17</f>
        <v>0</v>
      </c>
      <c r="H8" s="917"/>
      <c r="I8" s="917"/>
      <c r="J8" s="917"/>
      <c r="K8" s="864">
        <f>☆入力!Y17</f>
        <v>0</v>
      </c>
      <c r="L8" s="864"/>
      <c r="M8" s="864"/>
      <c r="N8" s="864"/>
      <c r="O8" s="965" t="s">
        <v>352</v>
      </c>
      <c r="P8" s="966"/>
      <c r="Q8" s="864">
        <f>☆入力!AC17</f>
        <v>0</v>
      </c>
      <c r="R8" s="864"/>
      <c r="S8" s="864"/>
      <c r="T8" s="864"/>
      <c r="U8" s="1006" t="str">
        <f t="shared" si="0"/>
        <v/>
      </c>
      <c r="V8" s="1006"/>
      <c r="W8" s="1006"/>
      <c r="Y8" s="62"/>
    </row>
    <row r="9" spans="1:61" s="3" customFormat="1" ht="21" customHeight="1" thickTop="1">
      <c r="A9" s="913">
        <v>3</v>
      </c>
      <c r="B9" s="913"/>
      <c r="C9" s="914" t="str">
        <f>IF($C$5=☆入力!$B$15,☆入力!$B18,☆入力!$C18)</f>
        <v>あいえうお</v>
      </c>
      <c r="D9" s="915"/>
      <c r="E9" s="915"/>
      <c r="F9" s="916"/>
      <c r="G9" s="917">
        <f>☆入力!D18</f>
        <v>0</v>
      </c>
      <c r="H9" s="917"/>
      <c r="I9" s="917"/>
      <c r="J9" s="917"/>
      <c r="K9" s="864">
        <f>☆入力!Y18</f>
        <v>0</v>
      </c>
      <c r="L9" s="864"/>
      <c r="M9" s="864"/>
      <c r="N9" s="864"/>
      <c r="O9" s="965" t="s">
        <v>352</v>
      </c>
      <c r="P9" s="966"/>
      <c r="Q9" s="864">
        <f>☆入力!AC18</f>
        <v>0</v>
      </c>
      <c r="R9" s="864"/>
      <c r="S9" s="864"/>
      <c r="T9" s="864"/>
      <c r="U9" s="1006" t="str">
        <f t="shared" si="0"/>
        <v/>
      </c>
      <c r="V9" s="1006"/>
      <c r="W9" s="1006"/>
      <c r="Y9" s="62"/>
      <c r="AA9" s="970">
        <f>⑤前!AS7</f>
        <v>0</v>
      </c>
      <c r="AB9" s="971"/>
      <c r="AC9" s="971"/>
      <c r="AD9" s="971"/>
      <c r="AE9" s="971"/>
      <c r="AF9" s="971"/>
      <c r="AG9" s="971"/>
      <c r="AH9" s="971"/>
      <c r="AI9" s="972"/>
      <c r="AJ9" s="982" t="s">
        <v>353</v>
      </c>
      <c r="AK9" s="964"/>
      <c r="AL9" s="964"/>
      <c r="AM9" s="983"/>
      <c r="AN9" s="976">
        <f>⑥後!AS7</f>
        <v>0</v>
      </c>
      <c r="AO9" s="977"/>
      <c r="AP9" s="977"/>
      <c r="AQ9" s="977"/>
      <c r="AR9" s="977"/>
      <c r="AS9" s="977"/>
      <c r="AT9" s="977"/>
      <c r="AU9" s="977"/>
      <c r="AV9" s="978"/>
      <c r="AW9" s="1004" t="s">
        <v>354</v>
      </c>
      <c r="AX9" s="964"/>
      <c r="AY9" s="964"/>
      <c r="AZ9" s="1005"/>
      <c r="BA9" s="985">
        <f>AA9-AN9</f>
        <v>0</v>
      </c>
      <c r="BB9" s="986"/>
      <c r="BC9" s="986"/>
      <c r="BD9" s="986"/>
      <c r="BE9" s="986"/>
      <c r="BF9" s="986"/>
      <c r="BG9" s="986"/>
      <c r="BH9" s="986"/>
      <c r="BI9" s="987"/>
    </row>
    <row r="10" spans="1:61" s="3" customFormat="1" ht="21" customHeight="1" thickBot="1">
      <c r="A10" s="913">
        <v>4</v>
      </c>
      <c r="B10" s="913"/>
      <c r="C10" s="914" t="str">
        <f>IF($C$5=☆入力!$B$15,☆入力!$B19,☆入力!$C19)</f>
        <v>あいえうお</v>
      </c>
      <c r="D10" s="915"/>
      <c r="E10" s="915"/>
      <c r="F10" s="916"/>
      <c r="G10" s="917">
        <f>☆入力!D19</f>
        <v>0</v>
      </c>
      <c r="H10" s="917"/>
      <c r="I10" s="917"/>
      <c r="J10" s="917"/>
      <c r="K10" s="864">
        <f>☆入力!Y19</f>
        <v>0</v>
      </c>
      <c r="L10" s="864"/>
      <c r="M10" s="864"/>
      <c r="N10" s="864"/>
      <c r="O10" s="965" t="s">
        <v>352</v>
      </c>
      <c r="P10" s="966"/>
      <c r="Q10" s="864">
        <f>☆入力!AC19</f>
        <v>0</v>
      </c>
      <c r="R10" s="864"/>
      <c r="S10" s="864"/>
      <c r="T10" s="864"/>
      <c r="U10" s="1006" t="str">
        <f t="shared" si="0"/>
        <v/>
      </c>
      <c r="V10" s="1006"/>
      <c r="W10" s="1006"/>
      <c r="Y10" s="62"/>
      <c r="AA10" s="973"/>
      <c r="AB10" s="974"/>
      <c r="AC10" s="974"/>
      <c r="AD10" s="974"/>
      <c r="AE10" s="974"/>
      <c r="AF10" s="974"/>
      <c r="AG10" s="974"/>
      <c r="AH10" s="974"/>
      <c r="AI10" s="975"/>
      <c r="AJ10" s="982"/>
      <c r="AK10" s="964"/>
      <c r="AL10" s="964"/>
      <c r="AM10" s="983"/>
      <c r="AN10" s="979"/>
      <c r="AO10" s="980"/>
      <c r="AP10" s="980"/>
      <c r="AQ10" s="980"/>
      <c r="AR10" s="980"/>
      <c r="AS10" s="980"/>
      <c r="AT10" s="980"/>
      <c r="AU10" s="980"/>
      <c r="AV10" s="981"/>
      <c r="AW10" s="1004"/>
      <c r="AX10" s="964"/>
      <c r="AY10" s="964"/>
      <c r="AZ10" s="1005"/>
      <c r="BA10" s="988"/>
      <c r="BB10" s="989"/>
      <c r="BC10" s="989"/>
      <c r="BD10" s="989"/>
      <c r="BE10" s="989"/>
      <c r="BF10" s="989"/>
      <c r="BG10" s="989"/>
      <c r="BH10" s="989"/>
      <c r="BI10" s="990"/>
    </row>
    <row r="11" spans="1:61" s="3" customFormat="1" ht="21" customHeight="1" thickTop="1">
      <c r="A11" s="913">
        <v>5</v>
      </c>
      <c r="B11" s="913"/>
      <c r="C11" s="914" t="str">
        <f>IF($C$5=☆入力!$B$15,☆入力!$B20,☆入力!$C20)</f>
        <v>あいえうお</v>
      </c>
      <c r="D11" s="915"/>
      <c r="E11" s="915"/>
      <c r="F11" s="916"/>
      <c r="G11" s="917">
        <f>☆入力!D20</f>
        <v>0</v>
      </c>
      <c r="H11" s="917"/>
      <c r="I11" s="917"/>
      <c r="J11" s="917"/>
      <c r="K11" s="864">
        <f>☆入力!Y20</f>
        <v>0</v>
      </c>
      <c r="L11" s="864"/>
      <c r="M11" s="864"/>
      <c r="N11" s="864"/>
      <c r="O11" s="965" t="s">
        <v>352</v>
      </c>
      <c r="P11" s="966"/>
      <c r="Q11" s="864">
        <f>☆入力!AC20</f>
        <v>0</v>
      </c>
      <c r="R11" s="864"/>
      <c r="S11" s="864"/>
      <c r="T11" s="864"/>
      <c r="U11" s="1006" t="str">
        <f t="shared" si="0"/>
        <v/>
      </c>
      <c r="V11" s="1006"/>
      <c r="W11" s="1006"/>
      <c r="Y11" s="62"/>
    </row>
    <row r="12" spans="1:61" s="3" customFormat="1" ht="21" customHeight="1">
      <c r="A12" s="913">
        <v>6</v>
      </c>
      <c r="B12" s="913"/>
      <c r="C12" s="914" t="str">
        <f>IF($C$5=☆入力!$B$15,☆入力!$B21,☆入力!$C21)</f>
        <v>あいえうお</v>
      </c>
      <c r="D12" s="915"/>
      <c r="E12" s="915"/>
      <c r="F12" s="916"/>
      <c r="G12" s="917">
        <f>☆入力!D21</f>
        <v>0</v>
      </c>
      <c r="H12" s="917"/>
      <c r="I12" s="917"/>
      <c r="J12" s="917"/>
      <c r="K12" s="864">
        <f>☆入力!Y21</f>
        <v>0</v>
      </c>
      <c r="L12" s="864"/>
      <c r="M12" s="864"/>
      <c r="N12" s="864"/>
      <c r="O12" s="965" t="s">
        <v>352</v>
      </c>
      <c r="P12" s="966"/>
      <c r="Q12" s="864">
        <f>☆入力!AC21</f>
        <v>0</v>
      </c>
      <c r="R12" s="864"/>
      <c r="S12" s="864"/>
      <c r="T12" s="864"/>
      <c r="U12" s="1006" t="str">
        <f t="shared" si="0"/>
        <v/>
      </c>
      <c r="V12" s="1006"/>
      <c r="W12" s="1006"/>
      <c r="Y12" s="62"/>
      <c r="AA12" s="876" t="s">
        <v>322</v>
      </c>
      <c r="AB12" s="876"/>
      <c r="AC12" s="876"/>
      <c r="AD12" s="876"/>
      <c r="AE12" s="876"/>
      <c r="AF12" s="876"/>
      <c r="AG12" s="876"/>
      <c r="AH12" s="876"/>
      <c r="AI12" s="876"/>
      <c r="AN12" s="945" t="s">
        <v>322</v>
      </c>
      <c r="AO12" s="945"/>
      <c r="AP12" s="945"/>
      <c r="AQ12" s="945"/>
      <c r="AR12" s="945"/>
      <c r="AS12" s="945"/>
      <c r="AT12" s="945"/>
      <c r="AU12" s="945"/>
      <c r="AV12" s="945"/>
      <c r="BA12" s="991" t="s">
        <v>322</v>
      </c>
      <c r="BB12" s="991"/>
      <c r="BC12" s="991"/>
      <c r="BD12" s="991"/>
      <c r="BE12" s="991"/>
      <c r="BF12" s="991"/>
      <c r="BG12" s="991"/>
      <c r="BH12" s="991"/>
      <c r="BI12" s="991"/>
    </row>
    <row r="13" spans="1:61" s="3" customFormat="1" ht="21" customHeight="1">
      <c r="A13" s="913">
        <v>7</v>
      </c>
      <c r="B13" s="913"/>
      <c r="C13" s="914">
        <f>IF($C$5=☆入力!$B$15,☆入力!$B22,☆入力!$C22)</f>
        <v>0</v>
      </c>
      <c r="D13" s="915"/>
      <c r="E13" s="915"/>
      <c r="F13" s="916"/>
      <c r="G13" s="917">
        <f>☆入力!D22</f>
        <v>0</v>
      </c>
      <c r="H13" s="917"/>
      <c r="I13" s="917"/>
      <c r="J13" s="917"/>
      <c r="K13" s="864">
        <f>☆入力!Y22</f>
        <v>0</v>
      </c>
      <c r="L13" s="864"/>
      <c r="M13" s="864"/>
      <c r="N13" s="864"/>
      <c r="O13" s="965" t="s">
        <v>352</v>
      </c>
      <c r="P13" s="966"/>
      <c r="Q13" s="864">
        <f>☆入力!AC22</f>
        <v>0</v>
      </c>
      <c r="R13" s="864"/>
      <c r="S13" s="864"/>
      <c r="T13" s="864"/>
      <c r="U13" s="1006" t="str">
        <f t="shared" si="0"/>
        <v/>
      </c>
      <c r="V13" s="1006"/>
      <c r="W13" s="1006"/>
      <c r="Y13" s="62"/>
      <c r="AA13" s="876"/>
      <c r="AB13" s="876"/>
      <c r="AC13" s="876"/>
      <c r="AD13" s="876"/>
      <c r="AE13" s="876"/>
      <c r="AF13" s="876"/>
      <c r="AG13" s="876"/>
      <c r="AH13" s="876"/>
      <c r="AI13" s="876"/>
      <c r="AN13" s="945"/>
      <c r="AO13" s="945"/>
      <c r="AP13" s="945"/>
      <c r="AQ13" s="945"/>
      <c r="AR13" s="945"/>
      <c r="AS13" s="945"/>
      <c r="AT13" s="945"/>
      <c r="AU13" s="945"/>
      <c r="AV13" s="945"/>
      <c r="BA13" s="991"/>
      <c r="BB13" s="991"/>
      <c r="BC13" s="991"/>
      <c r="BD13" s="991"/>
      <c r="BE13" s="991"/>
      <c r="BF13" s="991"/>
      <c r="BG13" s="991"/>
      <c r="BH13" s="991"/>
      <c r="BI13" s="991"/>
    </row>
    <row r="14" spans="1:61" s="3" customFormat="1" ht="21" customHeight="1">
      <c r="A14" s="913">
        <v>8</v>
      </c>
      <c r="B14" s="913"/>
      <c r="C14" s="914">
        <f>IF($C$5=☆入力!$B$15,☆入力!$B23,☆入力!$C23)</f>
        <v>0</v>
      </c>
      <c r="D14" s="915"/>
      <c r="E14" s="915"/>
      <c r="F14" s="916"/>
      <c r="G14" s="917">
        <f>☆入力!D23</f>
        <v>0</v>
      </c>
      <c r="H14" s="917"/>
      <c r="I14" s="917"/>
      <c r="J14" s="917"/>
      <c r="K14" s="864">
        <f>☆入力!Y23</f>
        <v>0</v>
      </c>
      <c r="L14" s="864"/>
      <c r="M14" s="864"/>
      <c r="N14" s="864"/>
      <c r="O14" s="965" t="s">
        <v>352</v>
      </c>
      <c r="P14" s="966"/>
      <c r="Q14" s="864">
        <f>☆入力!AC23</f>
        <v>0</v>
      </c>
      <c r="R14" s="864"/>
      <c r="S14" s="864"/>
      <c r="T14" s="864"/>
      <c r="U14" s="1006" t="str">
        <f t="shared" si="0"/>
        <v/>
      </c>
      <c r="V14" s="1006"/>
      <c r="W14" s="1006"/>
      <c r="Y14" s="62"/>
    </row>
    <row r="15" spans="1:61" s="3" customFormat="1" ht="21" customHeight="1">
      <c r="A15" s="913">
        <v>9</v>
      </c>
      <c r="B15" s="913"/>
      <c r="C15" s="914">
        <f>IF($C$5=☆入力!$B$15,☆入力!$B24,☆入力!$C24)</f>
        <v>0</v>
      </c>
      <c r="D15" s="915"/>
      <c r="E15" s="915"/>
      <c r="F15" s="916"/>
      <c r="G15" s="917">
        <f>☆入力!D24</f>
        <v>0</v>
      </c>
      <c r="H15" s="917"/>
      <c r="I15" s="917"/>
      <c r="J15" s="917"/>
      <c r="K15" s="864">
        <f>☆入力!Y24</f>
        <v>0</v>
      </c>
      <c r="L15" s="864"/>
      <c r="M15" s="864"/>
      <c r="N15" s="864"/>
      <c r="O15" s="965" t="s">
        <v>352</v>
      </c>
      <c r="P15" s="966"/>
      <c r="Q15" s="864">
        <f>☆入力!AC24</f>
        <v>0</v>
      </c>
      <c r="R15" s="864"/>
      <c r="S15" s="864"/>
      <c r="T15" s="864"/>
      <c r="U15" s="1006" t="str">
        <f t="shared" si="0"/>
        <v/>
      </c>
      <c r="V15" s="1006"/>
      <c r="W15" s="1006"/>
      <c r="Y15" s="62"/>
      <c r="AA15" s="875" t="s">
        <v>355</v>
      </c>
      <c r="AB15" s="875"/>
      <c r="AC15" s="875"/>
      <c r="AD15" s="875"/>
      <c r="AE15" s="875"/>
      <c r="AF15" s="875"/>
      <c r="AG15" s="875"/>
      <c r="AH15" s="875"/>
      <c r="AI15" s="875"/>
      <c r="AJ15" s="875"/>
      <c r="AK15" s="875"/>
      <c r="AL15" s="875"/>
      <c r="AM15" s="875"/>
      <c r="AN15" s="875"/>
      <c r="AO15" s="875"/>
      <c r="AP15" s="875"/>
      <c r="AQ15" s="875"/>
      <c r="AR15" s="875"/>
      <c r="AS15" s="875"/>
      <c r="AT15" s="875"/>
      <c r="AU15" s="875"/>
      <c r="AV15" s="875"/>
      <c r="BA15" s="355"/>
      <c r="BB15" s="355"/>
      <c r="BC15" s="355"/>
      <c r="BD15" s="355"/>
      <c r="BE15" s="355"/>
      <c r="BF15" s="355"/>
      <c r="BG15" s="355"/>
      <c r="BH15" s="355"/>
      <c r="BI15" s="355"/>
    </row>
    <row r="16" spans="1:61" s="3" customFormat="1" ht="21" customHeight="1">
      <c r="A16" s="913">
        <v>10</v>
      </c>
      <c r="B16" s="913"/>
      <c r="C16" s="914">
        <f>IF($C$5=☆入力!$B$15,☆入力!$B25,☆入力!$C25)</f>
        <v>0</v>
      </c>
      <c r="D16" s="915"/>
      <c r="E16" s="915"/>
      <c r="F16" s="916"/>
      <c r="G16" s="917">
        <f>☆入力!D25</f>
        <v>0</v>
      </c>
      <c r="H16" s="917"/>
      <c r="I16" s="917"/>
      <c r="J16" s="917"/>
      <c r="K16" s="864">
        <f>☆入力!Y25</f>
        <v>0</v>
      </c>
      <c r="L16" s="864"/>
      <c r="M16" s="864"/>
      <c r="N16" s="864"/>
      <c r="O16" s="965" t="s">
        <v>352</v>
      </c>
      <c r="P16" s="966"/>
      <c r="Q16" s="864">
        <f>☆入力!AC25</f>
        <v>0</v>
      </c>
      <c r="R16" s="864"/>
      <c r="S16" s="864"/>
      <c r="T16" s="864"/>
      <c r="U16" s="1006" t="str">
        <f t="shared" si="0"/>
        <v/>
      </c>
      <c r="V16" s="1006"/>
      <c r="W16" s="1006"/>
      <c r="Y16" s="62"/>
      <c r="AA16" s="875"/>
      <c r="AB16" s="875"/>
      <c r="AC16" s="875"/>
      <c r="AD16" s="875"/>
      <c r="AE16" s="875"/>
      <c r="AF16" s="875"/>
      <c r="AG16" s="875"/>
      <c r="AH16" s="875"/>
      <c r="AI16" s="875"/>
      <c r="AJ16" s="875"/>
      <c r="AK16" s="875"/>
      <c r="AL16" s="875"/>
      <c r="AM16" s="875"/>
      <c r="AN16" s="875"/>
      <c r="AO16" s="875"/>
      <c r="AP16" s="875"/>
      <c r="AQ16" s="875"/>
      <c r="AR16" s="875"/>
      <c r="AS16" s="875"/>
      <c r="AT16" s="875"/>
      <c r="AU16" s="875"/>
      <c r="AV16" s="875"/>
      <c r="BA16" s="355"/>
      <c r="BB16" s="355"/>
      <c r="BC16" s="355"/>
      <c r="BD16" s="355"/>
      <c r="BE16" s="355"/>
      <c r="BF16" s="355"/>
      <c r="BG16" s="355"/>
      <c r="BH16" s="355"/>
      <c r="BI16" s="355"/>
    </row>
    <row r="17" spans="1:61" s="3" customFormat="1" ht="21" customHeight="1" thickBot="1">
      <c r="A17" s="913">
        <v>11</v>
      </c>
      <c r="B17" s="913"/>
      <c r="C17" s="914">
        <f>IF($C$5=☆入力!$B$15,☆入力!$B26,☆入力!$C26)</f>
        <v>0</v>
      </c>
      <c r="D17" s="915"/>
      <c r="E17" s="915"/>
      <c r="F17" s="916"/>
      <c r="G17" s="917">
        <f>☆入力!D26</f>
        <v>0</v>
      </c>
      <c r="H17" s="917"/>
      <c r="I17" s="917"/>
      <c r="J17" s="917"/>
      <c r="K17" s="864">
        <f>☆入力!Y26</f>
        <v>0</v>
      </c>
      <c r="L17" s="864"/>
      <c r="M17" s="864"/>
      <c r="N17" s="864"/>
      <c r="O17" s="965" t="s">
        <v>352</v>
      </c>
      <c r="P17" s="966"/>
      <c r="Q17" s="864">
        <f>☆入力!AC26</f>
        <v>0</v>
      </c>
      <c r="R17" s="864"/>
      <c r="S17" s="864"/>
      <c r="T17" s="864"/>
      <c r="U17" s="1006" t="str">
        <f t="shared" si="0"/>
        <v/>
      </c>
      <c r="V17" s="1006"/>
      <c r="W17" s="1006"/>
      <c r="Y17" s="62"/>
    </row>
    <row r="18" spans="1:61" s="3" customFormat="1" ht="21" customHeight="1" thickTop="1">
      <c r="A18" s="913">
        <v>12</v>
      </c>
      <c r="B18" s="913"/>
      <c r="C18" s="914">
        <f>IF($C$5=☆入力!$B$15,☆入力!$B27,☆入力!$C27)</f>
        <v>0</v>
      </c>
      <c r="D18" s="915"/>
      <c r="E18" s="915"/>
      <c r="F18" s="916"/>
      <c r="G18" s="917">
        <f>☆入力!D27</f>
        <v>0</v>
      </c>
      <c r="H18" s="917"/>
      <c r="I18" s="917"/>
      <c r="J18" s="917"/>
      <c r="K18" s="864">
        <f>☆入力!Y27</f>
        <v>0</v>
      </c>
      <c r="L18" s="864"/>
      <c r="M18" s="864"/>
      <c r="N18" s="864"/>
      <c r="O18" s="965" t="s">
        <v>352</v>
      </c>
      <c r="P18" s="966"/>
      <c r="Q18" s="864">
        <f>☆入力!AC27</f>
        <v>0</v>
      </c>
      <c r="R18" s="864"/>
      <c r="S18" s="864"/>
      <c r="T18" s="864"/>
      <c r="U18" s="1006" t="str">
        <f t="shared" si="0"/>
        <v/>
      </c>
      <c r="V18" s="1006"/>
      <c r="W18" s="1006"/>
      <c r="Y18" s="62"/>
      <c r="AA18" s="970">
        <f>⑤前!AS19</f>
        <v>0</v>
      </c>
      <c r="AB18" s="971"/>
      <c r="AC18" s="971"/>
      <c r="AD18" s="971"/>
      <c r="AE18" s="971"/>
      <c r="AF18" s="971"/>
      <c r="AG18" s="971"/>
      <c r="AH18" s="971"/>
      <c r="AI18" s="972"/>
      <c r="AJ18" s="982" t="s">
        <v>353</v>
      </c>
      <c r="AK18" s="964"/>
      <c r="AL18" s="964"/>
      <c r="AM18" s="983"/>
      <c r="AN18" s="976">
        <f>⑥後!AS19</f>
        <v>0</v>
      </c>
      <c r="AO18" s="977"/>
      <c r="AP18" s="977"/>
      <c r="AQ18" s="977"/>
      <c r="AR18" s="977"/>
      <c r="AS18" s="977"/>
      <c r="AT18" s="977"/>
      <c r="AU18" s="977"/>
      <c r="AV18" s="978"/>
      <c r="AW18" s="1004" t="s">
        <v>354</v>
      </c>
      <c r="AX18" s="964"/>
      <c r="AY18" s="964"/>
      <c r="AZ18" s="1005"/>
      <c r="BA18" s="992">
        <f>AA18-AN18</f>
        <v>0</v>
      </c>
      <c r="BB18" s="993"/>
      <c r="BC18" s="993"/>
      <c r="BD18" s="993"/>
      <c r="BE18" s="993"/>
      <c r="BF18" s="993"/>
      <c r="BG18" s="993"/>
      <c r="BH18" s="993"/>
      <c r="BI18" s="994"/>
    </row>
    <row r="19" spans="1:61" s="3" customFormat="1" ht="21" customHeight="1" thickBot="1">
      <c r="A19" s="913">
        <v>13</v>
      </c>
      <c r="B19" s="913"/>
      <c r="C19" s="914">
        <f>IF($C$5=☆入力!$B$15,☆入力!$B28,☆入力!$C28)</f>
        <v>0</v>
      </c>
      <c r="D19" s="915"/>
      <c r="E19" s="915"/>
      <c r="F19" s="916"/>
      <c r="G19" s="917">
        <f>☆入力!D28</f>
        <v>0</v>
      </c>
      <c r="H19" s="917"/>
      <c r="I19" s="917"/>
      <c r="J19" s="917"/>
      <c r="K19" s="864">
        <f>☆入力!Y28</f>
        <v>0</v>
      </c>
      <c r="L19" s="864"/>
      <c r="M19" s="864"/>
      <c r="N19" s="864"/>
      <c r="O19" s="965" t="s">
        <v>352</v>
      </c>
      <c r="P19" s="966"/>
      <c r="Q19" s="864">
        <f>☆入力!AC28</f>
        <v>0</v>
      </c>
      <c r="R19" s="864"/>
      <c r="S19" s="864"/>
      <c r="T19" s="864"/>
      <c r="U19" s="1006" t="str">
        <f t="shared" si="0"/>
        <v/>
      </c>
      <c r="V19" s="1006"/>
      <c r="W19" s="1006"/>
      <c r="Y19" s="62"/>
      <c r="AA19" s="973"/>
      <c r="AB19" s="974"/>
      <c r="AC19" s="974"/>
      <c r="AD19" s="974"/>
      <c r="AE19" s="974"/>
      <c r="AF19" s="974"/>
      <c r="AG19" s="974"/>
      <c r="AH19" s="974"/>
      <c r="AI19" s="975"/>
      <c r="AJ19" s="982"/>
      <c r="AK19" s="964"/>
      <c r="AL19" s="964"/>
      <c r="AM19" s="983"/>
      <c r="AN19" s="979"/>
      <c r="AO19" s="980"/>
      <c r="AP19" s="980"/>
      <c r="AQ19" s="980"/>
      <c r="AR19" s="980"/>
      <c r="AS19" s="980"/>
      <c r="AT19" s="980"/>
      <c r="AU19" s="980"/>
      <c r="AV19" s="981"/>
      <c r="AW19" s="1004"/>
      <c r="AX19" s="964"/>
      <c r="AY19" s="964"/>
      <c r="AZ19" s="1005"/>
      <c r="BA19" s="995"/>
      <c r="BB19" s="996"/>
      <c r="BC19" s="996"/>
      <c r="BD19" s="996"/>
      <c r="BE19" s="996"/>
      <c r="BF19" s="996"/>
      <c r="BG19" s="996"/>
      <c r="BH19" s="996"/>
      <c r="BI19" s="997"/>
    </row>
    <row r="20" spans="1:61" s="3" customFormat="1" ht="21" customHeight="1" thickTop="1">
      <c r="A20" s="913">
        <v>14</v>
      </c>
      <c r="B20" s="913"/>
      <c r="C20" s="914">
        <f>IF($C$5=☆入力!$B$15,☆入力!$B29,☆入力!$C29)</f>
        <v>0</v>
      </c>
      <c r="D20" s="915"/>
      <c r="E20" s="915"/>
      <c r="F20" s="916"/>
      <c r="G20" s="917">
        <f>☆入力!D29</f>
        <v>0</v>
      </c>
      <c r="H20" s="917"/>
      <c r="I20" s="917"/>
      <c r="J20" s="917"/>
      <c r="K20" s="864">
        <f>☆入力!Y29</f>
        <v>0</v>
      </c>
      <c r="L20" s="864"/>
      <c r="M20" s="864"/>
      <c r="N20" s="864"/>
      <c r="O20" s="965" t="s">
        <v>352</v>
      </c>
      <c r="P20" s="966"/>
      <c r="Q20" s="864">
        <f>☆入力!AC29</f>
        <v>0</v>
      </c>
      <c r="R20" s="864"/>
      <c r="S20" s="864"/>
      <c r="T20" s="864"/>
      <c r="U20" s="1006" t="str">
        <f t="shared" si="0"/>
        <v/>
      </c>
      <c r="V20" s="1006"/>
      <c r="W20" s="1006"/>
      <c r="Y20" s="62"/>
      <c r="AA20" s="351"/>
      <c r="AB20" s="351"/>
      <c r="AC20" s="351"/>
      <c r="AD20" s="351"/>
      <c r="AE20" s="351"/>
      <c r="AF20" s="351"/>
      <c r="AG20" s="351"/>
      <c r="AH20" s="351"/>
      <c r="AI20" s="351"/>
      <c r="AJ20" s="352"/>
      <c r="AK20" s="352"/>
      <c r="AL20" s="352"/>
      <c r="AM20" s="352"/>
      <c r="AN20" s="353"/>
      <c r="AO20" s="353"/>
      <c r="AP20" s="353"/>
      <c r="AQ20" s="353"/>
      <c r="AR20" s="353"/>
      <c r="AS20" s="353"/>
      <c r="AT20" s="353"/>
      <c r="AU20" s="353"/>
      <c r="AV20" s="353"/>
      <c r="AW20" s="352"/>
      <c r="AX20" s="352"/>
      <c r="AY20" s="352"/>
      <c r="AZ20" s="352"/>
      <c r="BA20" s="354"/>
      <c r="BB20" s="354"/>
      <c r="BC20" s="354"/>
      <c r="BD20" s="354"/>
      <c r="BE20" s="354"/>
      <c r="BF20" s="354"/>
      <c r="BG20" s="354"/>
      <c r="BH20" s="354"/>
      <c r="BI20" s="354"/>
    </row>
    <row r="21" spans="1:61" s="3" customFormat="1" ht="21" customHeight="1">
      <c r="A21" s="913">
        <v>15</v>
      </c>
      <c r="B21" s="913"/>
      <c r="C21" s="914">
        <f>IF($C$5=☆入力!$B$15,☆入力!$B30,☆入力!$C30)</f>
        <v>0</v>
      </c>
      <c r="D21" s="915"/>
      <c r="E21" s="915"/>
      <c r="F21" s="916"/>
      <c r="G21" s="917">
        <f>☆入力!D30</f>
        <v>0</v>
      </c>
      <c r="H21" s="917"/>
      <c r="I21" s="917"/>
      <c r="J21" s="917"/>
      <c r="K21" s="864">
        <f>☆入力!Y30</f>
        <v>0</v>
      </c>
      <c r="L21" s="864"/>
      <c r="M21" s="864"/>
      <c r="N21" s="864"/>
      <c r="O21" s="965" t="s">
        <v>352</v>
      </c>
      <c r="P21" s="966"/>
      <c r="Q21" s="864">
        <f>☆入力!AC30</f>
        <v>0</v>
      </c>
      <c r="R21" s="864"/>
      <c r="S21" s="864"/>
      <c r="T21" s="864"/>
      <c r="U21" s="1006" t="str">
        <f t="shared" si="0"/>
        <v/>
      </c>
      <c r="V21" s="1006"/>
      <c r="W21" s="1006"/>
      <c r="Y21" s="62"/>
    </row>
    <row r="22" spans="1:61" s="3" customFormat="1" ht="21" customHeight="1">
      <c r="A22" s="913">
        <v>16</v>
      </c>
      <c r="B22" s="913"/>
      <c r="C22" s="914">
        <f>IF($C$5=☆入力!$B$15,☆入力!$B31,☆入力!$C31)</f>
        <v>0</v>
      </c>
      <c r="D22" s="915"/>
      <c r="E22" s="915"/>
      <c r="F22" s="916"/>
      <c r="G22" s="917">
        <f>☆入力!D31</f>
        <v>0</v>
      </c>
      <c r="H22" s="917"/>
      <c r="I22" s="917"/>
      <c r="J22" s="917"/>
      <c r="K22" s="864">
        <f>☆入力!Y31</f>
        <v>0</v>
      </c>
      <c r="L22" s="864"/>
      <c r="M22" s="864"/>
      <c r="N22" s="864"/>
      <c r="O22" s="965" t="s">
        <v>352</v>
      </c>
      <c r="P22" s="966"/>
      <c r="Q22" s="864">
        <f>☆入力!AC31</f>
        <v>0</v>
      </c>
      <c r="R22" s="864"/>
      <c r="S22" s="864"/>
      <c r="T22" s="864"/>
      <c r="U22" s="1006" t="str">
        <f t="shared" si="0"/>
        <v/>
      </c>
      <c r="V22" s="1006"/>
      <c r="W22" s="1006"/>
      <c r="Y22" s="62"/>
    </row>
    <row r="23" spans="1:61" s="3" customFormat="1" ht="21" customHeight="1">
      <c r="A23" s="913">
        <v>17</v>
      </c>
      <c r="B23" s="913"/>
      <c r="C23" s="914">
        <f>IF($C$5=☆入力!$B$15,☆入力!$B32,☆入力!$C32)</f>
        <v>0</v>
      </c>
      <c r="D23" s="915"/>
      <c r="E23" s="915"/>
      <c r="F23" s="916"/>
      <c r="G23" s="917">
        <f>☆入力!D32</f>
        <v>0</v>
      </c>
      <c r="H23" s="917"/>
      <c r="I23" s="917"/>
      <c r="J23" s="917"/>
      <c r="K23" s="864">
        <f>☆入力!Y32</f>
        <v>0</v>
      </c>
      <c r="L23" s="864"/>
      <c r="M23" s="864"/>
      <c r="N23" s="864"/>
      <c r="O23" s="965" t="s">
        <v>352</v>
      </c>
      <c r="P23" s="966"/>
      <c r="Q23" s="864">
        <f>☆入力!AC32</f>
        <v>0</v>
      </c>
      <c r="R23" s="864"/>
      <c r="S23" s="864"/>
      <c r="T23" s="864"/>
      <c r="U23" s="1006" t="str">
        <f t="shared" si="0"/>
        <v/>
      </c>
      <c r="V23" s="1006"/>
      <c r="W23" s="1006"/>
      <c r="Y23" s="62"/>
    </row>
    <row r="24" spans="1:61" s="3" customFormat="1" ht="21" customHeight="1">
      <c r="A24" s="913">
        <v>18</v>
      </c>
      <c r="B24" s="913"/>
      <c r="C24" s="914">
        <f>IF($C$5=☆入力!$B$15,☆入力!$B33,☆入力!$C33)</f>
        <v>0</v>
      </c>
      <c r="D24" s="915"/>
      <c r="E24" s="915"/>
      <c r="F24" s="916"/>
      <c r="G24" s="917">
        <f>☆入力!D33</f>
        <v>0</v>
      </c>
      <c r="H24" s="917"/>
      <c r="I24" s="917"/>
      <c r="J24" s="917"/>
      <c r="K24" s="864">
        <f>☆入力!Y33</f>
        <v>0</v>
      </c>
      <c r="L24" s="864"/>
      <c r="M24" s="864"/>
      <c r="N24" s="864"/>
      <c r="O24" s="965" t="s">
        <v>352</v>
      </c>
      <c r="P24" s="966"/>
      <c r="Q24" s="864">
        <f>☆入力!AC33</f>
        <v>0</v>
      </c>
      <c r="R24" s="864"/>
      <c r="S24" s="864"/>
      <c r="T24" s="864"/>
      <c r="U24" s="1006" t="str">
        <f t="shared" si="0"/>
        <v/>
      </c>
      <c r="V24" s="1006"/>
      <c r="W24" s="1006"/>
      <c r="Y24" s="62"/>
    </row>
    <row r="25" spans="1:61" s="3" customFormat="1" ht="21" customHeight="1">
      <c r="A25" s="913">
        <v>19</v>
      </c>
      <c r="B25" s="913"/>
      <c r="C25" s="914">
        <f>IF($C$5=☆入力!$B$15,☆入力!$B34,☆入力!$C34)</f>
        <v>0</v>
      </c>
      <c r="D25" s="915"/>
      <c r="E25" s="915"/>
      <c r="F25" s="916"/>
      <c r="G25" s="917">
        <f>☆入力!D34</f>
        <v>0</v>
      </c>
      <c r="H25" s="917"/>
      <c r="I25" s="917"/>
      <c r="J25" s="917"/>
      <c r="K25" s="864">
        <f>☆入力!Y34</f>
        <v>0</v>
      </c>
      <c r="L25" s="864"/>
      <c r="M25" s="864"/>
      <c r="N25" s="864"/>
      <c r="O25" s="965" t="s">
        <v>352</v>
      </c>
      <c r="P25" s="966"/>
      <c r="Q25" s="864">
        <f>☆入力!AC34</f>
        <v>0</v>
      </c>
      <c r="R25" s="864"/>
      <c r="S25" s="864"/>
      <c r="T25" s="864"/>
      <c r="U25" s="1006" t="str">
        <f t="shared" si="0"/>
        <v/>
      </c>
      <c r="V25" s="1006"/>
      <c r="W25" s="1006"/>
      <c r="Y25" s="62"/>
    </row>
    <row r="26" spans="1:61" s="3" customFormat="1" ht="21" customHeight="1">
      <c r="A26" s="913">
        <v>20</v>
      </c>
      <c r="B26" s="913"/>
      <c r="C26" s="914">
        <f>IF($C$5=☆入力!$B$15,☆入力!$B35,☆入力!$C35)</f>
        <v>0</v>
      </c>
      <c r="D26" s="915"/>
      <c r="E26" s="915"/>
      <c r="F26" s="916"/>
      <c r="G26" s="917">
        <f>☆入力!D35</f>
        <v>0</v>
      </c>
      <c r="H26" s="917"/>
      <c r="I26" s="917"/>
      <c r="J26" s="917"/>
      <c r="K26" s="864">
        <f>☆入力!Y35</f>
        <v>0</v>
      </c>
      <c r="L26" s="864"/>
      <c r="M26" s="864"/>
      <c r="N26" s="864"/>
      <c r="O26" s="965" t="s">
        <v>352</v>
      </c>
      <c r="P26" s="966"/>
      <c r="Q26" s="864">
        <f>☆入力!AC35</f>
        <v>0</v>
      </c>
      <c r="R26" s="864"/>
      <c r="S26" s="864"/>
      <c r="T26" s="864"/>
      <c r="U26" s="1006" t="str">
        <f t="shared" si="0"/>
        <v/>
      </c>
      <c r="V26" s="1006"/>
      <c r="W26" s="1006"/>
      <c r="Y26" s="62"/>
    </row>
    <row r="27" spans="1:61" s="3" customFormat="1" ht="21" customHeight="1">
      <c r="A27" s="913">
        <v>21</v>
      </c>
      <c r="B27" s="913"/>
      <c r="C27" s="914">
        <f>IF($C$5=☆入力!$B$15,☆入力!$B36,☆入力!$C36)</f>
        <v>0</v>
      </c>
      <c r="D27" s="915"/>
      <c r="E27" s="915"/>
      <c r="F27" s="916"/>
      <c r="G27" s="917">
        <f>☆入力!D36</f>
        <v>0</v>
      </c>
      <c r="H27" s="917"/>
      <c r="I27" s="917"/>
      <c r="J27" s="917"/>
      <c r="K27" s="864">
        <f>☆入力!Y36</f>
        <v>0</v>
      </c>
      <c r="L27" s="864"/>
      <c r="M27" s="864"/>
      <c r="N27" s="864"/>
      <c r="O27" s="965" t="s">
        <v>352</v>
      </c>
      <c r="P27" s="966"/>
      <c r="Q27" s="864">
        <f>☆入力!AC36</f>
        <v>0</v>
      </c>
      <c r="R27" s="864"/>
      <c r="S27" s="864"/>
      <c r="T27" s="864"/>
      <c r="U27" s="1006" t="str">
        <f t="shared" si="0"/>
        <v/>
      </c>
      <c r="V27" s="1006"/>
      <c r="W27" s="1006"/>
      <c r="Y27" s="62"/>
      <c r="AA27" s="964" t="s">
        <v>357</v>
      </c>
      <c r="AB27" s="964"/>
      <c r="AC27" s="964"/>
      <c r="AD27" s="964"/>
      <c r="AE27" s="964"/>
      <c r="AF27" s="964"/>
      <c r="AG27" s="964"/>
      <c r="AH27" s="964"/>
      <c r="AI27" s="964"/>
      <c r="AJ27" s="964"/>
      <c r="AK27" s="964"/>
      <c r="AL27" s="964"/>
      <c r="AM27" s="964"/>
      <c r="AN27" s="964"/>
      <c r="AO27" s="964"/>
      <c r="AP27" s="964"/>
      <c r="AQ27" s="964"/>
      <c r="AR27" s="964"/>
      <c r="AS27" s="964"/>
      <c r="AT27" s="964"/>
      <c r="AU27" s="964"/>
      <c r="AV27" s="964"/>
      <c r="AW27" s="964"/>
      <c r="AX27" s="964"/>
      <c r="AY27" s="964"/>
      <c r="AZ27" s="964"/>
      <c r="BA27" s="964"/>
      <c r="BB27" s="964"/>
      <c r="BC27" s="964"/>
      <c r="BD27" s="964"/>
      <c r="BE27" s="964"/>
      <c r="BF27" s="964"/>
      <c r="BG27" s="964"/>
      <c r="BH27" s="964"/>
      <c r="BI27" s="964"/>
    </row>
    <row r="28" spans="1:61" s="3" customFormat="1" ht="21" customHeight="1" thickBot="1">
      <c r="A28" s="913">
        <v>22</v>
      </c>
      <c r="B28" s="913"/>
      <c r="C28" s="914">
        <f>IF($C$5=☆入力!$B$15,☆入力!$B37,☆入力!$C37)</f>
        <v>0</v>
      </c>
      <c r="D28" s="915"/>
      <c r="E28" s="915"/>
      <c r="F28" s="916"/>
      <c r="G28" s="917">
        <f>☆入力!D37</f>
        <v>0</v>
      </c>
      <c r="H28" s="917"/>
      <c r="I28" s="917"/>
      <c r="J28" s="917"/>
      <c r="K28" s="864">
        <f>☆入力!Y37</f>
        <v>0</v>
      </c>
      <c r="L28" s="864"/>
      <c r="M28" s="864"/>
      <c r="N28" s="864"/>
      <c r="O28" s="965" t="s">
        <v>352</v>
      </c>
      <c r="P28" s="966"/>
      <c r="Q28" s="864">
        <f>☆入力!AC37</f>
        <v>0</v>
      </c>
      <c r="R28" s="864"/>
      <c r="S28" s="864"/>
      <c r="T28" s="864"/>
      <c r="U28" s="1006" t="str">
        <f t="shared" si="0"/>
        <v/>
      </c>
      <c r="V28" s="1006"/>
      <c r="W28" s="1006"/>
      <c r="Y28" s="62"/>
      <c r="AA28" s="964"/>
      <c r="AB28" s="964"/>
      <c r="AC28" s="964"/>
      <c r="AD28" s="964"/>
      <c r="AE28" s="964"/>
      <c r="AF28" s="964"/>
      <c r="AG28" s="964"/>
      <c r="AH28" s="964"/>
      <c r="AI28" s="964"/>
      <c r="AJ28" s="964"/>
      <c r="AK28" s="964"/>
      <c r="AL28" s="964"/>
      <c r="AM28" s="964"/>
      <c r="AN28" s="964"/>
      <c r="AO28" s="964"/>
      <c r="AP28" s="964"/>
      <c r="AQ28" s="964"/>
      <c r="AR28" s="964"/>
      <c r="AS28" s="964"/>
      <c r="AT28" s="964"/>
      <c r="AU28" s="964"/>
      <c r="AV28" s="964"/>
      <c r="AW28" s="964"/>
      <c r="AX28" s="964"/>
      <c r="AY28" s="964"/>
      <c r="AZ28" s="964"/>
      <c r="BA28" s="964"/>
      <c r="BB28" s="964"/>
      <c r="BC28" s="964"/>
      <c r="BD28" s="964"/>
      <c r="BE28" s="964"/>
      <c r="BF28" s="964"/>
      <c r="BG28" s="964"/>
      <c r="BH28" s="964"/>
      <c r="BI28" s="964"/>
    </row>
    <row r="29" spans="1:61" s="3" customFormat="1" ht="21" customHeight="1" thickTop="1">
      <c r="A29" s="913">
        <v>23</v>
      </c>
      <c r="B29" s="913"/>
      <c r="C29" s="914">
        <f>IF($C$5=☆入力!$B$15,☆入力!$B38,☆入力!$C38)</f>
        <v>0</v>
      </c>
      <c r="D29" s="915"/>
      <c r="E29" s="915"/>
      <c r="F29" s="916"/>
      <c r="G29" s="917">
        <f>☆入力!D38</f>
        <v>0</v>
      </c>
      <c r="H29" s="917"/>
      <c r="I29" s="917"/>
      <c r="J29" s="917"/>
      <c r="K29" s="864">
        <f>☆入力!Y38</f>
        <v>0</v>
      </c>
      <c r="L29" s="864"/>
      <c r="M29" s="864"/>
      <c r="N29" s="864"/>
      <c r="O29" s="965" t="s">
        <v>352</v>
      </c>
      <c r="P29" s="966"/>
      <c r="Q29" s="864">
        <f>☆入力!AC38</f>
        <v>0</v>
      </c>
      <c r="R29" s="864"/>
      <c r="S29" s="864"/>
      <c r="T29" s="864"/>
      <c r="U29" s="1006" t="str">
        <f t="shared" si="0"/>
        <v/>
      </c>
      <c r="V29" s="1006"/>
      <c r="W29" s="1006"/>
      <c r="Y29" s="62"/>
      <c r="AA29" s="869">
        <f>AA9+AA18</f>
        <v>0</v>
      </c>
      <c r="AB29" s="870"/>
      <c r="AC29" s="870"/>
      <c r="AD29" s="870"/>
      <c r="AE29" s="870"/>
      <c r="AF29" s="870"/>
      <c r="AG29" s="870"/>
      <c r="AH29" s="870"/>
      <c r="AI29" s="871"/>
      <c r="AJ29" s="982" t="s">
        <v>353</v>
      </c>
      <c r="AK29" s="964"/>
      <c r="AL29" s="964"/>
      <c r="AM29" s="983"/>
      <c r="AN29" s="946">
        <f>AN9+AN18</f>
        <v>0</v>
      </c>
      <c r="AO29" s="947"/>
      <c r="AP29" s="947"/>
      <c r="AQ29" s="947"/>
      <c r="AR29" s="947"/>
      <c r="AS29" s="947"/>
      <c r="AT29" s="947"/>
      <c r="AU29" s="947"/>
      <c r="AV29" s="948"/>
      <c r="AW29" s="1004" t="s">
        <v>354</v>
      </c>
      <c r="AX29" s="964"/>
      <c r="AY29" s="964"/>
      <c r="AZ29" s="1005"/>
      <c r="BA29" s="998">
        <f>AA29-AN29</f>
        <v>0</v>
      </c>
      <c r="BB29" s="999"/>
      <c r="BC29" s="999"/>
      <c r="BD29" s="999"/>
      <c r="BE29" s="999"/>
      <c r="BF29" s="999"/>
      <c r="BG29" s="999"/>
      <c r="BH29" s="999"/>
      <c r="BI29" s="1000"/>
    </row>
    <row r="30" spans="1:61" s="3" customFormat="1" ht="21" customHeight="1" thickBot="1">
      <c r="A30" s="1018">
        <v>24</v>
      </c>
      <c r="B30" s="1018"/>
      <c r="C30" s="1019">
        <f>IF($C$5=☆入力!$B$15,☆入力!$B39,☆入力!$C39)</f>
        <v>0</v>
      </c>
      <c r="D30" s="1020"/>
      <c r="E30" s="1020"/>
      <c r="F30" s="1021"/>
      <c r="G30" s="1022">
        <f>☆入力!D39</f>
        <v>0</v>
      </c>
      <c r="H30" s="1022"/>
      <c r="I30" s="1022"/>
      <c r="J30" s="1022"/>
      <c r="K30" s="1013">
        <f>☆入力!Y39</f>
        <v>0</v>
      </c>
      <c r="L30" s="1013"/>
      <c r="M30" s="1013"/>
      <c r="N30" s="1013"/>
      <c r="O30" s="965" t="s">
        <v>352</v>
      </c>
      <c r="P30" s="966"/>
      <c r="Q30" s="1013">
        <f>☆入力!AC39</f>
        <v>0</v>
      </c>
      <c r="R30" s="1013"/>
      <c r="S30" s="1013"/>
      <c r="T30" s="1013"/>
      <c r="U30" s="1009" t="str">
        <f t="shared" si="0"/>
        <v/>
      </c>
      <c r="V30" s="1009"/>
      <c r="W30" s="1009"/>
      <c r="Y30" s="62"/>
      <c r="AA30" s="872"/>
      <c r="AB30" s="873"/>
      <c r="AC30" s="873"/>
      <c r="AD30" s="873"/>
      <c r="AE30" s="873"/>
      <c r="AF30" s="873"/>
      <c r="AG30" s="873"/>
      <c r="AH30" s="873"/>
      <c r="AI30" s="874"/>
      <c r="AJ30" s="982"/>
      <c r="AK30" s="964"/>
      <c r="AL30" s="964"/>
      <c r="AM30" s="983"/>
      <c r="AN30" s="949"/>
      <c r="AO30" s="950"/>
      <c r="AP30" s="950"/>
      <c r="AQ30" s="950"/>
      <c r="AR30" s="950"/>
      <c r="AS30" s="950"/>
      <c r="AT30" s="950"/>
      <c r="AU30" s="950"/>
      <c r="AV30" s="951"/>
      <c r="AW30" s="1004"/>
      <c r="AX30" s="964"/>
      <c r="AY30" s="964"/>
      <c r="AZ30" s="1005"/>
      <c r="BA30" s="1001"/>
      <c r="BB30" s="1002"/>
      <c r="BC30" s="1002"/>
      <c r="BD30" s="1002"/>
      <c r="BE30" s="1002"/>
      <c r="BF30" s="1002"/>
      <c r="BG30" s="1002"/>
      <c r="BH30" s="1002"/>
      <c r="BI30" s="1003"/>
    </row>
    <row r="31" spans="1:61" s="3" customFormat="1" ht="21" customHeight="1" thickTop="1">
      <c r="A31" s="913">
        <v>25</v>
      </c>
      <c r="B31" s="913"/>
      <c r="C31" s="914">
        <f>IF($C$5=☆入力!$B$15,☆入力!$B40,☆入力!$C40)</f>
        <v>0</v>
      </c>
      <c r="D31" s="915"/>
      <c r="E31" s="915"/>
      <c r="F31" s="916"/>
      <c r="G31" s="917">
        <f>☆入力!D40</f>
        <v>0</v>
      </c>
      <c r="H31" s="917"/>
      <c r="I31" s="917"/>
      <c r="J31" s="917"/>
      <c r="K31" s="864">
        <f>☆入力!Y40</f>
        <v>0</v>
      </c>
      <c r="L31" s="864"/>
      <c r="M31" s="864"/>
      <c r="N31" s="864"/>
      <c r="O31" s="965" t="s">
        <v>352</v>
      </c>
      <c r="P31" s="966"/>
      <c r="Q31" s="864">
        <f>☆入力!AC40</f>
        <v>0</v>
      </c>
      <c r="R31" s="864"/>
      <c r="S31" s="864"/>
      <c r="T31" s="864"/>
      <c r="U31" s="1006" t="str">
        <f t="shared" si="0"/>
        <v/>
      </c>
      <c r="V31" s="1006"/>
      <c r="W31" s="1006"/>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913">
        <v>26</v>
      </c>
      <c r="B32" s="913"/>
      <c r="C32" s="914">
        <f>IF($C$5=☆入力!$B$15,☆入力!$B41,☆入力!$C41)</f>
        <v>0</v>
      </c>
      <c r="D32" s="915"/>
      <c r="E32" s="915"/>
      <c r="F32" s="916"/>
      <c r="G32" s="917">
        <f>☆入力!D41</f>
        <v>0</v>
      </c>
      <c r="H32" s="917"/>
      <c r="I32" s="917"/>
      <c r="J32" s="917"/>
      <c r="K32" s="864">
        <f>☆入力!Y41</f>
        <v>0</v>
      </c>
      <c r="L32" s="864"/>
      <c r="M32" s="864"/>
      <c r="N32" s="864"/>
      <c r="O32" s="965" t="s">
        <v>352</v>
      </c>
      <c r="P32" s="966"/>
      <c r="Q32" s="864">
        <f>☆入力!AC41</f>
        <v>0</v>
      </c>
      <c r="R32" s="864"/>
      <c r="S32" s="864"/>
      <c r="T32" s="864"/>
      <c r="U32" s="1006" t="str">
        <f>IFERROR(100%-(Q32/K32),"")</f>
        <v/>
      </c>
      <c r="V32" s="1006"/>
      <c r="W32" s="1006"/>
      <c r="Y32" s="62"/>
      <c r="Z32" s="13" t="s">
        <v>358</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913">
        <v>27</v>
      </c>
      <c r="B33" s="913"/>
      <c r="C33" s="914">
        <f>IF($C$5=☆入力!$B$15,☆入力!$B42,☆入力!$C42)</f>
        <v>0</v>
      </c>
      <c r="D33" s="915"/>
      <c r="E33" s="915"/>
      <c r="F33" s="916"/>
      <c r="G33" s="917">
        <f>☆入力!D42</f>
        <v>0</v>
      </c>
      <c r="H33" s="917"/>
      <c r="I33" s="917"/>
      <c r="J33" s="917"/>
      <c r="K33" s="864">
        <f>☆入力!Y42</f>
        <v>0</v>
      </c>
      <c r="L33" s="864"/>
      <c r="M33" s="864"/>
      <c r="N33" s="864"/>
      <c r="O33" s="965" t="s">
        <v>352</v>
      </c>
      <c r="P33" s="966"/>
      <c r="Q33" s="864">
        <f>☆入力!AC42</f>
        <v>0</v>
      </c>
      <c r="R33" s="864"/>
      <c r="S33" s="864"/>
      <c r="T33" s="864"/>
      <c r="U33" s="1006" t="str">
        <f>IFERROR(100%-(Q33/K33),"")</f>
        <v/>
      </c>
      <c r="V33" s="1006"/>
      <c r="W33" s="1006"/>
      <c r="Y33" s="62"/>
      <c r="Z33" s="1041">
        <f>☆入力!X2</f>
        <v>0</v>
      </c>
      <c r="AA33" s="1042"/>
      <c r="AB33" s="1042"/>
      <c r="AC33" s="1042"/>
      <c r="AD33" s="1042"/>
      <c r="AE33" s="1042"/>
      <c r="AF33" s="1042"/>
      <c r="AG33" s="1042"/>
      <c r="AH33" s="1042"/>
      <c r="AI33" s="1042"/>
      <c r="AJ33" s="1042"/>
      <c r="AK33" s="1042"/>
      <c r="AL33" s="1042"/>
      <c r="AM33" s="1042"/>
      <c r="AN33" s="1042"/>
      <c r="AO33" s="1042"/>
      <c r="AP33" s="1042"/>
      <c r="AQ33" s="1042"/>
      <c r="AR33" s="1042"/>
      <c r="AS33" s="1042"/>
      <c r="AT33" s="1042"/>
      <c r="AU33" s="1042"/>
      <c r="AV33" s="1042"/>
      <c r="AW33" s="1042"/>
      <c r="AX33" s="1042"/>
      <c r="AY33" s="1042"/>
      <c r="AZ33" s="1042"/>
      <c r="BA33" s="1042"/>
      <c r="BB33" s="1042"/>
      <c r="BC33" s="1042"/>
      <c r="BD33" s="1042"/>
      <c r="BE33" s="1042"/>
      <c r="BF33" s="1042"/>
      <c r="BG33" s="1042"/>
      <c r="BH33" s="1042"/>
      <c r="BI33" s="1043"/>
    </row>
    <row r="34" spans="1:61" s="3" customFormat="1" ht="21" customHeight="1">
      <c r="A34" s="913">
        <v>28</v>
      </c>
      <c r="B34" s="913"/>
      <c r="C34" s="914">
        <f>IF($C$5=☆入力!$B$15,☆入力!$B43,☆入力!$C43)</f>
        <v>0</v>
      </c>
      <c r="D34" s="915"/>
      <c r="E34" s="915"/>
      <c r="F34" s="916"/>
      <c r="G34" s="917">
        <f>☆入力!D43</f>
        <v>0</v>
      </c>
      <c r="H34" s="917"/>
      <c r="I34" s="917"/>
      <c r="J34" s="917"/>
      <c r="K34" s="864">
        <f>☆入力!Y43</f>
        <v>0</v>
      </c>
      <c r="L34" s="864"/>
      <c r="M34" s="864"/>
      <c r="N34" s="864"/>
      <c r="O34" s="965" t="s">
        <v>352</v>
      </c>
      <c r="P34" s="966"/>
      <c r="Q34" s="864">
        <f>☆入力!AC43</f>
        <v>0</v>
      </c>
      <c r="R34" s="864"/>
      <c r="S34" s="864"/>
      <c r="T34" s="864"/>
      <c r="U34" s="1006" t="str">
        <f>IFERROR(100%-(Q34/K34),"")</f>
        <v/>
      </c>
      <c r="V34" s="1006"/>
      <c r="W34" s="1006"/>
      <c r="Y34" s="62"/>
      <c r="Z34" s="1035">
        <f>☆入力!X3</f>
        <v>0</v>
      </c>
      <c r="AA34" s="1036"/>
      <c r="AB34" s="1036"/>
      <c r="AC34" s="1036"/>
      <c r="AD34" s="1036"/>
      <c r="AE34" s="1036"/>
      <c r="AF34" s="1036"/>
      <c r="AG34" s="1036"/>
      <c r="AH34" s="1036"/>
      <c r="AI34" s="1036"/>
      <c r="AJ34" s="1036"/>
      <c r="AK34" s="1036"/>
      <c r="AL34" s="1036"/>
      <c r="AM34" s="1036"/>
      <c r="AN34" s="1036"/>
      <c r="AO34" s="1036"/>
      <c r="AP34" s="1036"/>
      <c r="AQ34" s="1036"/>
      <c r="AR34" s="1036"/>
      <c r="AS34" s="1036"/>
      <c r="AT34" s="1036"/>
      <c r="AU34" s="1036"/>
      <c r="AV34" s="1036"/>
      <c r="AW34" s="1036"/>
      <c r="AX34" s="1036"/>
      <c r="AY34" s="1036"/>
      <c r="AZ34" s="1036"/>
      <c r="BA34" s="1036"/>
      <c r="BB34" s="1036"/>
      <c r="BC34" s="1036"/>
      <c r="BD34" s="1036"/>
      <c r="BE34" s="1036"/>
      <c r="BF34" s="1036"/>
      <c r="BG34" s="1036"/>
      <c r="BH34" s="1036"/>
      <c r="BI34" s="1037"/>
    </row>
    <row r="35" spans="1:61" s="3" customFormat="1" ht="21" customHeight="1">
      <c r="A35" s="913">
        <v>29</v>
      </c>
      <c r="B35" s="913"/>
      <c r="C35" s="914">
        <f>IF($C$5=☆入力!$B$15,☆入力!$B44,☆入力!$C44)</f>
        <v>0</v>
      </c>
      <c r="D35" s="915"/>
      <c r="E35" s="915"/>
      <c r="F35" s="916"/>
      <c r="G35" s="917">
        <f>☆入力!D44</f>
        <v>0</v>
      </c>
      <c r="H35" s="917"/>
      <c r="I35" s="917"/>
      <c r="J35" s="917"/>
      <c r="K35" s="864">
        <f>☆入力!Y44</f>
        <v>0</v>
      </c>
      <c r="L35" s="864"/>
      <c r="M35" s="864"/>
      <c r="N35" s="864"/>
      <c r="O35" s="965" t="s">
        <v>352</v>
      </c>
      <c r="P35" s="966"/>
      <c r="Q35" s="864">
        <f>☆入力!AC44</f>
        <v>0</v>
      </c>
      <c r="R35" s="864"/>
      <c r="S35" s="864"/>
      <c r="T35" s="864"/>
      <c r="U35" s="1006" t="str">
        <f>IFERROR(100%-(Q35/K35),"")</f>
        <v/>
      </c>
      <c r="V35" s="1006"/>
      <c r="W35" s="1006"/>
      <c r="Y35" s="62"/>
      <c r="Z35" s="1035">
        <f>☆入力!X4</f>
        <v>0</v>
      </c>
      <c r="AA35" s="1036"/>
      <c r="AB35" s="1036"/>
      <c r="AC35" s="1036"/>
      <c r="AD35" s="1036"/>
      <c r="AE35" s="1036"/>
      <c r="AF35" s="1036"/>
      <c r="AG35" s="1036"/>
      <c r="AH35" s="1036"/>
      <c r="AI35" s="1036"/>
      <c r="AJ35" s="1036"/>
      <c r="AK35" s="1036"/>
      <c r="AL35" s="1036"/>
      <c r="AM35" s="1036"/>
      <c r="AN35" s="1036"/>
      <c r="AO35" s="1036"/>
      <c r="AP35" s="1036"/>
      <c r="AQ35" s="1036"/>
      <c r="AR35" s="1036"/>
      <c r="AS35" s="1036"/>
      <c r="AT35" s="1036"/>
      <c r="AU35" s="1036"/>
      <c r="AV35" s="1036"/>
      <c r="AW35" s="1036"/>
      <c r="AX35" s="1036"/>
      <c r="AY35" s="1036"/>
      <c r="AZ35" s="1036"/>
      <c r="BA35" s="1036"/>
      <c r="BB35" s="1036"/>
      <c r="BC35" s="1036"/>
      <c r="BD35" s="1036"/>
      <c r="BE35" s="1036"/>
      <c r="BF35" s="1036"/>
      <c r="BG35" s="1036"/>
      <c r="BH35" s="1036"/>
      <c r="BI35" s="1037"/>
    </row>
    <row r="36" spans="1:61" s="3" customFormat="1" ht="21" customHeight="1">
      <c r="A36" s="922">
        <v>30</v>
      </c>
      <c r="B36" s="922"/>
      <c r="C36" s="923">
        <f>IF($C$5=☆入力!$B$15,☆入力!$B45,☆入力!$C45)</f>
        <v>0</v>
      </c>
      <c r="D36" s="924"/>
      <c r="E36" s="924"/>
      <c r="F36" s="925"/>
      <c r="G36" s="926">
        <f>☆入力!D45</f>
        <v>0</v>
      </c>
      <c r="H36" s="926"/>
      <c r="I36" s="926"/>
      <c r="J36" s="926"/>
      <c r="K36" s="932">
        <f>☆入力!Y45</f>
        <v>0</v>
      </c>
      <c r="L36" s="932"/>
      <c r="M36" s="932"/>
      <c r="N36" s="932"/>
      <c r="O36" s="965" t="s">
        <v>352</v>
      </c>
      <c r="P36" s="966"/>
      <c r="Q36" s="932">
        <f>☆入力!AC45</f>
        <v>0</v>
      </c>
      <c r="R36" s="932"/>
      <c r="S36" s="932"/>
      <c r="T36" s="932"/>
      <c r="U36" s="1034" t="str">
        <f>IFERROR(100%-(Q36/K36),"")</f>
        <v/>
      </c>
      <c r="V36" s="1034"/>
      <c r="W36" s="1034"/>
      <c r="Y36" s="62"/>
      <c r="Z36" s="1035">
        <f>☆入力!X5</f>
        <v>0</v>
      </c>
      <c r="AA36" s="1036"/>
      <c r="AB36" s="1036"/>
      <c r="AC36" s="1036"/>
      <c r="AD36" s="1036"/>
      <c r="AE36" s="1036"/>
      <c r="AF36" s="1036"/>
      <c r="AG36" s="1036"/>
      <c r="AH36" s="1036"/>
      <c r="AI36" s="1036"/>
      <c r="AJ36" s="1036"/>
      <c r="AK36" s="1036"/>
      <c r="AL36" s="1036"/>
      <c r="AM36" s="1036"/>
      <c r="AN36" s="1036"/>
      <c r="AO36" s="1036"/>
      <c r="AP36" s="1036"/>
      <c r="AQ36" s="1036"/>
      <c r="AR36" s="1036"/>
      <c r="AS36" s="1036"/>
      <c r="AT36" s="1036"/>
      <c r="AU36" s="1036"/>
      <c r="AV36" s="1036"/>
      <c r="AW36" s="1036"/>
      <c r="AX36" s="1036"/>
      <c r="AY36" s="1036"/>
      <c r="AZ36" s="1036"/>
      <c r="BA36" s="1036"/>
      <c r="BB36" s="1036"/>
      <c r="BC36" s="1036"/>
      <c r="BD36" s="1036"/>
      <c r="BE36" s="1036"/>
      <c r="BF36" s="1036"/>
      <c r="BG36" s="1036"/>
      <c r="BH36" s="1036"/>
      <c r="BI36" s="1037"/>
    </row>
    <row r="37" spans="1:61" s="13" customFormat="1" ht="21" customHeight="1">
      <c r="C37" s="479"/>
      <c r="D37" s="479"/>
      <c r="E37" s="479"/>
      <c r="F37" s="479"/>
      <c r="G37" s="479"/>
      <c r="H37" s="479"/>
      <c r="I37" s="479"/>
      <c r="J37" s="479"/>
      <c r="Y37" s="62"/>
      <c r="Z37" s="1035">
        <f>☆入力!X6</f>
        <v>0</v>
      </c>
      <c r="AA37" s="1036"/>
      <c r="AB37" s="1036"/>
      <c r="AC37" s="1036"/>
      <c r="AD37" s="1036"/>
      <c r="AE37" s="1036"/>
      <c r="AF37" s="1036"/>
      <c r="AG37" s="1036"/>
      <c r="AH37" s="1036"/>
      <c r="AI37" s="1036"/>
      <c r="AJ37" s="1036"/>
      <c r="AK37" s="1036"/>
      <c r="AL37" s="1036"/>
      <c r="AM37" s="1036"/>
      <c r="AN37" s="1036"/>
      <c r="AO37" s="1036"/>
      <c r="AP37" s="1036"/>
      <c r="AQ37" s="1036"/>
      <c r="AR37" s="1036"/>
      <c r="AS37" s="1036"/>
      <c r="AT37" s="1036"/>
      <c r="AU37" s="1036"/>
      <c r="AV37" s="1036"/>
      <c r="AW37" s="1036"/>
      <c r="AX37" s="1036"/>
      <c r="AY37" s="1036"/>
      <c r="AZ37" s="1036"/>
      <c r="BA37" s="1036"/>
      <c r="BB37" s="1036"/>
      <c r="BC37" s="1036"/>
      <c r="BD37" s="1036"/>
      <c r="BE37" s="1036"/>
      <c r="BF37" s="1036"/>
      <c r="BG37" s="1036"/>
      <c r="BH37" s="1036"/>
      <c r="BI37" s="1037"/>
    </row>
    <row r="38" spans="1:61" s="13" customFormat="1" ht="21" customHeight="1">
      <c r="C38" s="479"/>
      <c r="D38" s="479"/>
      <c r="E38" s="479"/>
      <c r="F38" s="479"/>
      <c r="G38" s="479"/>
      <c r="H38" s="479"/>
      <c r="I38" s="479"/>
      <c r="J38" s="479"/>
      <c r="K38" s="1014">
        <f>SUM(K7:N36)</f>
        <v>0</v>
      </c>
      <c r="L38" s="1014"/>
      <c r="M38" s="1014"/>
      <c r="N38" s="1014"/>
      <c r="O38" s="1016" t="s">
        <v>352</v>
      </c>
      <c r="P38" s="1017"/>
      <c r="Q38" s="1014">
        <f>SUM(Q7:T36)</f>
        <v>0</v>
      </c>
      <c r="R38" s="1014"/>
      <c r="S38" s="1014"/>
      <c r="T38" s="1014"/>
      <c r="U38" s="1007" t="str">
        <f>IFERROR(100%-(Q38/K38),"")</f>
        <v/>
      </c>
      <c r="V38" s="1007"/>
      <c r="W38" s="1007"/>
      <c r="Y38" s="62"/>
      <c r="Z38" s="1035">
        <f>☆入力!X7</f>
        <v>0</v>
      </c>
      <c r="AA38" s="1036"/>
      <c r="AB38" s="1036"/>
      <c r="AC38" s="1036"/>
      <c r="AD38" s="1036"/>
      <c r="AE38" s="1036"/>
      <c r="AF38" s="1036"/>
      <c r="AG38" s="1036"/>
      <c r="AH38" s="1036"/>
      <c r="AI38" s="1036"/>
      <c r="AJ38" s="1036"/>
      <c r="AK38" s="1036"/>
      <c r="AL38" s="1036"/>
      <c r="AM38" s="1036"/>
      <c r="AN38" s="1036"/>
      <c r="AO38" s="1036"/>
      <c r="AP38" s="1036"/>
      <c r="AQ38" s="1036"/>
      <c r="AR38" s="1036"/>
      <c r="AS38" s="1036"/>
      <c r="AT38" s="1036"/>
      <c r="AU38" s="1036"/>
      <c r="AV38" s="1036"/>
      <c r="AW38" s="1036"/>
      <c r="AX38" s="1036"/>
      <c r="AY38" s="1036"/>
      <c r="AZ38" s="1036"/>
      <c r="BA38" s="1036"/>
      <c r="BB38" s="1036"/>
      <c r="BC38" s="1036"/>
      <c r="BD38" s="1036"/>
      <c r="BE38" s="1036"/>
      <c r="BF38" s="1036"/>
      <c r="BG38" s="1036"/>
      <c r="BH38" s="1036"/>
      <c r="BI38" s="1037"/>
    </row>
    <row r="39" spans="1:61" s="13" customFormat="1" ht="21" customHeight="1">
      <c r="C39" s="14"/>
      <c r="D39" s="14"/>
      <c r="E39" s="14"/>
      <c r="F39" s="14"/>
      <c r="G39" s="14"/>
      <c r="H39" s="14"/>
      <c r="I39" s="14"/>
      <c r="J39" s="14"/>
      <c r="K39" s="1015"/>
      <c r="L39" s="1015"/>
      <c r="M39" s="1015"/>
      <c r="N39" s="1015"/>
      <c r="O39" s="1016"/>
      <c r="P39" s="1017"/>
      <c r="Q39" s="1015"/>
      <c r="R39" s="1015"/>
      <c r="S39" s="1015"/>
      <c r="T39" s="1015"/>
      <c r="U39" s="1008"/>
      <c r="V39" s="1008"/>
      <c r="W39" s="1008"/>
      <c r="Y39" s="62"/>
      <c r="Z39" s="1035">
        <f>☆入力!X8</f>
        <v>0</v>
      </c>
      <c r="AA39" s="1036"/>
      <c r="AB39" s="1036"/>
      <c r="AC39" s="1036"/>
      <c r="AD39" s="1036"/>
      <c r="AE39" s="1036"/>
      <c r="AF39" s="1036"/>
      <c r="AG39" s="1036"/>
      <c r="AH39" s="1036"/>
      <c r="AI39" s="1036"/>
      <c r="AJ39" s="1036"/>
      <c r="AK39" s="1036"/>
      <c r="AL39" s="1036"/>
      <c r="AM39" s="1036"/>
      <c r="AN39" s="1036"/>
      <c r="AO39" s="1036"/>
      <c r="AP39" s="1036"/>
      <c r="AQ39" s="1036"/>
      <c r="AR39" s="1036"/>
      <c r="AS39" s="1036"/>
      <c r="AT39" s="1036"/>
      <c r="AU39" s="1036"/>
      <c r="AV39" s="1036"/>
      <c r="AW39" s="1036"/>
      <c r="AX39" s="1036"/>
      <c r="AY39" s="1036"/>
      <c r="AZ39" s="1036"/>
      <c r="BA39" s="1036"/>
      <c r="BB39" s="1036"/>
      <c r="BC39" s="1036"/>
      <c r="BD39" s="1036"/>
      <c r="BE39" s="1036"/>
      <c r="BF39" s="1036"/>
      <c r="BG39" s="1036"/>
      <c r="BH39" s="1036"/>
      <c r="BI39" s="1037"/>
    </row>
    <row r="40" spans="1:61" s="13" customFormat="1" ht="21" customHeight="1" thickBot="1">
      <c r="A40" s="74"/>
      <c r="C40" s="14"/>
      <c r="D40" s="14"/>
      <c r="E40" s="14"/>
      <c r="F40" s="14"/>
      <c r="G40" s="74"/>
      <c r="H40" s="14"/>
      <c r="I40" s="14"/>
      <c r="J40" s="14"/>
      <c r="K40" s="74"/>
      <c r="Q40" s="14"/>
      <c r="R40" s="14"/>
      <c r="Y40" s="62"/>
      <c r="Z40" s="1035">
        <f>☆入力!X9</f>
        <v>0</v>
      </c>
      <c r="AA40" s="1036"/>
      <c r="AB40" s="1036"/>
      <c r="AC40" s="1036"/>
      <c r="AD40" s="1036"/>
      <c r="AE40" s="1036"/>
      <c r="AF40" s="1036"/>
      <c r="AG40" s="1036"/>
      <c r="AH40" s="1036"/>
      <c r="AI40" s="1036"/>
      <c r="AJ40" s="1036"/>
      <c r="AK40" s="1036"/>
      <c r="AL40" s="1036"/>
      <c r="AM40" s="1036"/>
      <c r="AN40" s="1036"/>
      <c r="AO40" s="1036"/>
      <c r="AP40" s="1036"/>
      <c r="AQ40" s="1036"/>
      <c r="AR40" s="1036"/>
      <c r="AS40" s="1036"/>
      <c r="AT40" s="1036"/>
      <c r="AU40" s="1036"/>
      <c r="AV40" s="1036"/>
      <c r="AW40" s="1036"/>
      <c r="AX40" s="1036"/>
      <c r="AY40" s="1036"/>
      <c r="AZ40" s="1036"/>
      <c r="BA40" s="1036"/>
      <c r="BB40" s="1036"/>
      <c r="BC40" s="1036"/>
      <c r="BD40" s="1036"/>
      <c r="BE40" s="1036"/>
      <c r="BF40" s="1036"/>
      <c r="BG40" s="1036"/>
      <c r="BH40" s="1036"/>
      <c r="BI40" s="1037"/>
    </row>
    <row r="41" spans="1:61" ht="21" customHeight="1" thickTop="1">
      <c r="A41" s="1032" t="s">
        <v>359</v>
      </c>
      <c r="B41" s="1032"/>
      <c r="C41" s="1032"/>
      <c r="D41" s="1032"/>
      <c r="E41" s="1032"/>
      <c r="F41" s="1032"/>
      <c r="G41" s="1032"/>
      <c r="H41" s="1032"/>
      <c r="I41" s="1032"/>
      <c r="J41" s="1032"/>
      <c r="K41" s="1032"/>
      <c r="L41" s="1032"/>
      <c r="M41" s="1032"/>
      <c r="N41" s="1032"/>
      <c r="O41" s="1032"/>
      <c r="P41" s="1033"/>
      <c r="Q41" s="1023">
        <f>K38-Q38</f>
        <v>0</v>
      </c>
      <c r="R41" s="1024"/>
      <c r="S41" s="1024"/>
      <c r="T41" s="1024"/>
      <c r="U41" s="1024"/>
      <c r="V41" s="1024"/>
      <c r="W41" s="1025"/>
      <c r="Y41" s="62"/>
      <c r="Z41" s="1035">
        <f>☆入力!X10</f>
        <v>0</v>
      </c>
      <c r="AA41" s="1036"/>
      <c r="AB41" s="1036"/>
      <c r="AC41" s="1036"/>
      <c r="AD41" s="1036"/>
      <c r="AE41" s="1036"/>
      <c r="AF41" s="1036"/>
      <c r="AG41" s="1036"/>
      <c r="AH41" s="1036"/>
      <c r="AI41" s="1036"/>
      <c r="AJ41" s="1036"/>
      <c r="AK41" s="1036"/>
      <c r="AL41" s="1036"/>
      <c r="AM41" s="1036"/>
      <c r="AN41" s="1036"/>
      <c r="AO41" s="1036"/>
      <c r="AP41" s="1036"/>
      <c r="AQ41" s="1036"/>
      <c r="AR41" s="1036"/>
      <c r="AS41" s="1036"/>
      <c r="AT41" s="1036"/>
      <c r="AU41" s="1036"/>
      <c r="AV41" s="1036"/>
      <c r="AW41" s="1036"/>
      <c r="AX41" s="1036"/>
      <c r="AY41" s="1036"/>
      <c r="AZ41" s="1036"/>
      <c r="BA41" s="1036"/>
      <c r="BB41" s="1036"/>
      <c r="BC41" s="1036"/>
      <c r="BD41" s="1036"/>
      <c r="BE41" s="1036"/>
      <c r="BF41" s="1036"/>
      <c r="BG41" s="1036"/>
      <c r="BH41" s="1036"/>
      <c r="BI41" s="1037"/>
    </row>
    <row r="42" spans="1:61" ht="21" customHeight="1" thickBot="1">
      <c r="A42" s="1032"/>
      <c r="B42" s="1032"/>
      <c r="C42" s="1032"/>
      <c r="D42" s="1032"/>
      <c r="E42" s="1032"/>
      <c r="F42" s="1032"/>
      <c r="G42" s="1032"/>
      <c r="H42" s="1032"/>
      <c r="I42" s="1032"/>
      <c r="J42" s="1032"/>
      <c r="K42" s="1032"/>
      <c r="L42" s="1032"/>
      <c r="M42" s="1032"/>
      <c r="N42" s="1032"/>
      <c r="O42" s="1032"/>
      <c r="P42" s="1033"/>
      <c r="Q42" s="1026"/>
      <c r="R42" s="1027"/>
      <c r="S42" s="1027"/>
      <c r="T42" s="1027"/>
      <c r="U42" s="1027"/>
      <c r="V42" s="1027"/>
      <c r="W42" s="1028"/>
      <c r="Y42" s="62"/>
      <c r="Z42" s="1038">
        <f>☆入力!X11</f>
        <v>0</v>
      </c>
      <c r="AA42" s="1039"/>
      <c r="AB42" s="1039"/>
      <c r="AC42" s="1039"/>
      <c r="AD42" s="1039"/>
      <c r="AE42" s="1039"/>
      <c r="AF42" s="1039"/>
      <c r="AG42" s="1039"/>
      <c r="AH42" s="1039"/>
      <c r="AI42" s="1039"/>
      <c r="AJ42" s="1039"/>
      <c r="AK42" s="1039"/>
      <c r="AL42" s="1039"/>
      <c r="AM42" s="1039"/>
      <c r="AN42" s="1039"/>
      <c r="AO42" s="1039"/>
      <c r="AP42" s="1039"/>
      <c r="AQ42" s="1039"/>
      <c r="AR42" s="1039"/>
      <c r="AS42" s="1039"/>
      <c r="AT42" s="1039"/>
      <c r="AU42" s="1039"/>
      <c r="AV42" s="1039"/>
      <c r="AW42" s="1039"/>
      <c r="AX42" s="1039"/>
      <c r="AY42" s="1039"/>
      <c r="AZ42" s="1039"/>
      <c r="BA42" s="1039"/>
      <c r="BB42" s="1039"/>
      <c r="BC42" s="1039"/>
      <c r="BD42" s="1039"/>
      <c r="BE42" s="1039"/>
      <c r="BF42" s="1039"/>
      <c r="BG42" s="1039"/>
      <c r="BH42" s="1039"/>
      <c r="BI42" s="1040"/>
    </row>
    <row r="43" spans="1:61" ht="21" customHeight="1" thickTop="1">
      <c r="Y43" s="3"/>
    </row>
    <row r="44" spans="1:61" ht="21" customHeight="1">
      <c r="A44" s="57" t="s">
        <v>360</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0">
        <v>7</v>
      </c>
    </row>
  </sheetData>
  <mergeCells count="259">
    <mergeCell ref="A5:B5"/>
    <mergeCell ref="C5:F5"/>
    <mergeCell ref="G5:J5"/>
    <mergeCell ref="K5:N5"/>
    <mergeCell ref="Q5:T5"/>
    <mergeCell ref="U5:W5"/>
    <mergeCell ref="A1:BI1"/>
    <mergeCell ref="K3:N3"/>
    <mergeCell ref="Q3:W3"/>
    <mergeCell ref="AA3:AI4"/>
    <mergeCell ref="AN3:AV4"/>
    <mergeCell ref="BA3:BI4"/>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K12:N12"/>
    <mergeCell ref="O12:P12"/>
    <mergeCell ref="Q12:T12"/>
    <mergeCell ref="U12:W12"/>
    <mergeCell ref="U10:W10"/>
    <mergeCell ref="A11:B11"/>
    <mergeCell ref="C11:F11"/>
    <mergeCell ref="G11:J11"/>
    <mergeCell ref="K11:N11"/>
    <mergeCell ref="O11:P11"/>
    <mergeCell ref="Q11:T11"/>
    <mergeCell ref="U11:W11"/>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Z40:BI40"/>
    <mergeCell ref="A41:P42"/>
    <mergeCell ref="Q41:W42"/>
    <mergeCell ref="Z41:BI41"/>
    <mergeCell ref="Z42:BI42"/>
    <mergeCell ref="Z37:BI37"/>
    <mergeCell ref="K38:N39"/>
    <mergeCell ref="O38:P39"/>
    <mergeCell ref="Q38:T39"/>
    <mergeCell ref="U38:W39"/>
    <mergeCell ref="Z38:BI38"/>
    <mergeCell ref="Z39:BI39"/>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7" customWidth="1"/>
    <col min="2" max="2" width="24.75" style="27" customWidth="1"/>
    <col min="3" max="3" width="27.2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25" style="27" customWidth="1"/>
    <col min="11" max="16384" width="9" style="27"/>
  </cols>
  <sheetData>
    <row r="1" spans="1:10" ht="15" customHeight="1">
      <c r="A1" s="1077" t="s">
        <v>364</v>
      </c>
      <c r="B1" s="1077"/>
      <c r="C1" s="1077"/>
      <c r="F1" s="28" t="s">
        <v>365</v>
      </c>
      <c r="G1" s="29">
        <f ca="1">TODAY()</f>
        <v>46119</v>
      </c>
    </row>
    <row r="2" spans="1:10" ht="15" customHeight="1">
      <c r="A2" s="1077"/>
      <c r="B2" s="1077"/>
      <c r="C2" s="1077"/>
      <c r="F2" s="28"/>
      <c r="G2" s="36"/>
    </row>
    <row r="3" spans="1:10" ht="15" customHeight="1"/>
    <row r="4" spans="1:10" ht="15" customHeight="1">
      <c r="A4" s="1078">
        <f>☆入力!C5</f>
        <v>0</v>
      </c>
      <c r="B4" s="1078"/>
      <c r="C4" s="1078"/>
    </row>
    <row r="5" spans="1:10" ht="15" customHeight="1">
      <c r="A5" s="1079"/>
      <c r="B5" s="1079"/>
      <c r="C5" s="1079"/>
    </row>
    <row r="6" spans="1:10" ht="15" customHeight="1">
      <c r="E6" s="1095" t="str">
        <f>IF(代理店入力用!N3="",①表紙!I25,代理店入力用!N3)</f>
        <v>株式会社スマイルサポート</v>
      </c>
      <c r="F6" s="1095"/>
      <c r="G6" s="1095"/>
    </row>
    <row r="7" spans="1:10" ht="15" customHeight="1">
      <c r="A7" s="27" t="s">
        <v>366</v>
      </c>
      <c r="E7" s="1096" t="str">
        <f>IF(代理店入力用!N5="",①表紙!I26,①表紙!A26)</f>
        <v>〒305-0046茨城県つくば市東2-10-14</v>
      </c>
      <c r="F7" s="1096"/>
      <c r="G7" s="1096"/>
    </row>
    <row r="8" spans="1:10" ht="15" customHeight="1">
      <c r="A8" s="27" t="s">
        <v>367</v>
      </c>
      <c r="E8" s="1096" t="str">
        <f>IF(代理店入力用!N6="",①表紙!I27,①表紙!A27)</f>
        <v>TEL：　029-860-5211</v>
      </c>
      <c r="F8" s="1096"/>
      <c r="G8" s="1096"/>
    </row>
    <row r="9" spans="1:10" ht="15" customHeight="1">
      <c r="A9" s="27" t="s">
        <v>368</v>
      </c>
      <c r="E9" s="209"/>
    </row>
    <row r="10" spans="1:10" ht="15" customHeight="1" thickBot="1">
      <c r="I10" s="379" t="s">
        <v>369</v>
      </c>
      <c r="J10" s="380">
        <f ca="1">ROUNDDOWN(F26*LED計算式!AC2,0)</f>
        <v>0</v>
      </c>
    </row>
    <row r="11" spans="1:10" ht="15" customHeight="1">
      <c r="A11" s="474" t="s">
        <v>370</v>
      </c>
      <c r="B11" s="30" t="s">
        <v>371</v>
      </c>
      <c r="C11" s="31"/>
      <c r="E11" s="1083" t="s">
        <v>372</v>
      </c>
      <c r="F11" s="1085">
        <f ca="1">VLOOKUP(E11,I10:J11,2,FALSE)</f>
        <v>0</v>
      </c>
      <c r="G11" s="1087" t="str">
        <f>"×"&amp;LED計算式!AD2&amp;"ヵ月"</f>
        <v>×120ヵ月</v>
      </c>
      <c r="I11" s="379" t="s">
        <v>372</v>
      </c>
      <c r="J11" s="380">
        <f ca="1">ROUNDDOWN(J10*1.1,0)</f>
        <v>0</v>
      </c>
    </row>
    <row r="12" spans="1:10" ht="15" customHeight="1" thickBot="1">
      <c r="A12" s="32" t="s">
        <v>373</v>
      </c>
      <c r="B12" s="302" t="s">
        <v>374</v>
      </c>
      <c r="C12" s="33"/>
      <c r="E12" s="1084"/>
      <c r="F12" s="1086"/>
      <c r="G12" s="1088"/>
      <c r="I12" s="27" t="s">
        <v>375</v>
      </c>
      <c r="J12" s="381">
        <f ca="1">F26</f>
        <v>0</v>
      </c>
    </row>
    <row r="13" spans="1:10" ht="15" customHeight="1">
      <c r="A13" s="32"/>
      <c r="B13" s="302"/>
      <c r="C13" s="33"/>
      <c r="E13" s="1089" t="s">
        <v>376</v>
      </c>
      <c r="F13" s="1091">
        <f ca="1">VLOOKUP(E13,I12:J13,2,FALSE)</f>
        <v>0</v>
      </c>
      <c r="G13" s="1092"/>
      <c r="I13" s="27" t="s">
        <v>376</v>
      </c>
      <c r="J13" s="381">
        <f ca="1">ROUNDDOWN(J12*1.1,0)</f>
        <v>0</v>
      </c>
    </row>
    <row r="14" spans="1:10" ht="15" customHeight="1" thickBot="1">
      <c r="A14" s="475"/>
      <c r="B14" s="34"/>
      <c r="C14" s="35"/>
      <c r="E14" s="1090"/>
      <c r="F14" s="1093"/>
      <c r="G14" s="1094"/>
    </row>
    <row r="15" spans="1:10" ht="15" customHeight="1">
      <c r="A15" s="28"/>
      <c r="B15" s="302"/>
      <c r="E15" s="232"/>
      <c r="F15" s="230"/>
      <c r="G15" s="230"/>
      <c r="H15" s="383" t="s">
        <v>377</v>
      </c>
    </row>
    <row r="16" spans="1:10" ht="15" customHeight="1"/>
    <row r="17" spans="1:7" ht="17.649999999999999" customHeight="1">
      <c r="A17" s="471" t="s">
        <v>378</v>
      </c>
      <c r="B17" s="1074" t="s">
        <v>379</v>
      </c>
      <c r="C17" s="1075"/>
      <c r="D17" s="471" t="s">
        <v>211</v>
      </c>
      <c r="E17" s="471" t="s">
        <v>380</v>
      </c>
      <c r="F17" s="1076" t="s">
        <v>381</v>
      </c>
      <c r="G17" s="1076"/>
    </row>
    <row r="18" spans="1:7" ht="17.649999999999999" customHeight="1">
      <c r="A18" s="177">
        <v>1</v>
      </c>
      <c r="B18" s="1080" t="s">
        <v>382</v>
      </c>
      <c r="C18" s="1081"/>
      <c r="D18" s="178">
        <v>1</v>
      </c>
      <c r="E18" s="178">
        <f ca="1">☆入力!AL14+代理店入力用!D5</f>
        <v>0</v>
      </c>
      <c r="F18" s="1082">
        <f ca="1">E18*D18</f>
        <v>0</v>
      </c>
      <c r="G18" s="1082"/>
    </row>
    <row r="19" spans="1:7" ht="17.649999999999999" customHeight="1">
      <c r="A19" s="164">
        <v>2</v>
      </c>
      <c r="B19" s="1063" t="s">
        <v>383</v>
      </c>
      <c r="C19" s="1064"/>
      <c r="D19" s="165"/>
      <c r="E19" s="165"/>
      <c r="F19" s="1065">
        <f t="shared" ref="F19:F23" si="0">E19*D19</f>
        <v>0</v>
      </c>
      <c r="G19" s="1066"/>
    </row>
    <row r="20" spans="1:7" ht="17.649999999999999" customHeight="1">
      <c r="A20" s="164">
        <v>3</v>
      </c>
      <c r="B20" s="1063"/>
      <c r="C20" s="1064"/>
      <c r="D20" s="179"/>
      <c r="E20" s="179"/>
      <c r="F20" s="1067">
        <f t="shared" si="0"/>
        <v>0</v>
      </c>
      <c r="G20" s="1068"/>
    </row>
    <row r="21" spans="1:7" ht="17.649999999999999" customHeight="1">
      <c r="A21" s="164">
        <v>4</v>
      </c>
      <c r="B21" s="1063"/>
      <c r="C21" s="1064"/>
      <c r="D21" s="165"/>
      <c r="E21" s="165"/>
      <c r="F21" s="1065">
        <f t="shared" si="0"/>
        <v>0</v>
      </c>
      <c r="G21" s="1066"/>
    </row>
    <row r="22" spans="1:7" ht="17.649999999999999" customHeight="1">
      <c r="A22" s="164">
        <v>5</v>
      </c>
      <c r="B22" s="1063"/>
      <c r="C22" s="1064"/>
      <c r="D22" s="165"/>
      <c r="E22" s="165"/>
      <c r="F22" s="1065">
        <f t="shared" si="0"/>
        <v>0</v>
      </c>
      <c r="G22" s="1066"/>
    </row>
    <row r="23" spans="1:7" ht="17.649999999999999" customHeight="1">
      <c r="A23" s="164">
        <v>6</v>
      </c>
      <c r="B23" s="1063"/>
      <c r="C23" s="1064"/>
      <c r="D23" s="165"/>
      <c r="E23" s="165"/>
      <c r="F23" s="1065">
        <f t="shared" si="0"/>
        <v>0</v>
      </c>
      <c r="G23" s="1066"/>
    </row>
    <row r="24" spans="1:7" ht="17.649999999999999" customHeight="1">
      <c r="A24" s="164">
        <v>7</v>
      </c>
      <c r="B24" s="1063"/>
      <c r="C24" s="1064"/>
      <c r="D24" s="165"/>
      <c r="E24" s="165"/>
      <c r="F24" s="468"/>
      <c r="G24" s="469"/>
    </row>
    <row r="25" spans="1:7" ht="17.649999999999999" customHeight="1">
      <c r="A25" s="166">
        <v>8</v>
      </c>
      <c r="B25" s="1069"/>
      <c r="C25" s="1070"/>
      <c r="D25" s="180"/>
      <c r="E25" s="180"/>
      <c r="F25" s="1071">
        <f>E25*D25</f>
        <v>0</v>
      </c>
      <c r="G25" s="1072"/>
    </row>
    <row r="26" spans="1:7" ht="17.649999999999999" customHeight="1" thickBot="1">
      <c r="E26" s="50" t="s">
        <v>381</v>
      </c>
      <c r="F26" s="1073">
        <f ca="1">ROUNDDOWN(SUM(F18:G25),0)</f>
        <v>0</v>
      </c>
      <c r="G26" s="1073"/>
    </row>
    <row r="27" spans="1:7" ht="18" customHeight="1" thickTop="1">
      <c r="A27" s="27" t="s">
        <v>384</v>
      </c>
    </row>
    <row r="28" spans="1:7" ht="15" customHeight="1">
      <c r="A28" s="1544" t="str">
        <f>☆入力!AH4</f>
        <v>生産終了品などがあった場合、同メーカーもしくは他メーカーの同等品に変更される場合がございます。</v>
      </c>
      <c r="B28" s="1545"/>
      <c r="C28" s="1545"/>
      <c r="D28" s="1546"/>
      <c r="E28" s="307"/>
    </row>
    <row r="29" spans="1:7" ht="15" customHeight="1">
      <c r="A29" s="1044">
        <f>☆入力!AH5</f>
        <v>0</v>
      </c>
      <c r="B29" s="1045"/>
      <c r="C29" s="1045"/>
      <c r="D29" s="1046"/>
      <c r="E29" s="111"/>
      <c r="F29" s="302"/>
      <c r="G29" s="302"/>
    </row>
    <row r="30" spans="1:7" ht="15" customHeight="1">
      <c r="A30" s="1047">
        <f>☆入力!AH6</f>
        <v>0</v>
      </c>
      <c r="B30" s="1048"/>
      <c r="C30" s="1048"/>
      <c r="D30" s="1049"/>
      <c r="E30" s="111"/>
      <c r="F30" s="302"/>
      <c r="G30" s="302"/>
    </row>
    <row r="31" spans="1:7" ht="15" customHeight="1"/>
    <row r="32" spans="1:7" ht="15" customHeight="1"/>
    <row r="33" spans="1:7" ht="15" customHeight="1">
      <c r="A33" s="1062" t="s">
        <v>385</v>
      </c>
      <c r="B33" s="1062"/>
      <c r="C33" s="1062"/>
      <c r="D33" s="1062"/>
      <c r="E33" s="1062"/>
      <c r="F33" s="1062"/>
      <c r="G33" s="1062"/>
    </row>
    <row r="34" spans="1:7" ht="15" customHeight="1">
      <c r="A34" s="1062"/>
      <c r="B34" s="1062"/>
      <c r="C34" s="1062"/>
      <c r="D34" s="1062"/>
      <c r="E34" s="1062"/>
      <c r="F34" s="1062"/>
      <c r="G34" s="1062"/>
    </row>
    <row r="35" spans="1:7" ht="15" customHeight="1">
      <c r="A35" s="39"/>
      <c r="B35" s="39"/>
      <c r="C35" s="39"/>
      <c r="D35" s="39"/>
      <c r="E35" s="39"/>
      <c r="F35" s="39"/>
      <c r="G35" s="39"/>
    </row>
    <row r="36" spans="1:7" ht="17.649999999999999" customHeight="1">
      <c r="A36" s="40" t="s">
        <v>378</v>
      </c>
      <c r="B36" s="40" t="s">
        <v>87</v>
      </c>
      <c r="C36" s="40" t="s">
        <v>226</v>
      </c>
      <c r="D36" s="1059" t="s">
        <v>96</v>
      </c>
      <c r="E36" s="1060"/>
      <c r="F36" s="1061"/>
      <c r="G36" s="40" t="s">
        <v>211</v>
      </c>
    </row>
    <row r="37" spans="1:7" ht="17.649999999999999" customHeight="1">
      <c r="A37" s="41">
        <v>1</v>
      </c>
      <c r="B37" s="42">
        <f>☆入力!B16</f>
        <v>0</v>
      </c>
      <c r="C37" s="42" t="str">
        <f>☆入力!C16</f>
        <v>あいえうお</v>
      </c>
      <c r="D37" s="1053">
        <f>☆入力!D16</f>
        <v>0</v>
      </c>
      <c r="E37" s="1054"/>
      <c r="F37" s="1055"/>
      <c r="G37" s="43">
        <f>☆入力!L16</f>
        <v>0</v>
      </c>
    </row>
    <row r="38" spans="1:7" ht="17.649999999999999" customHeight="1">
      <c r="A38" s="44">
        <v>2</v>
      </c>
      <c r="B38" s="45">
        <f>☆入力!B17</f>
        <v>0</v>
      </c>
      <c r="C38" s="45" t="str">
        <f>☆入力!C17</f>
        <v>あいえうお</v>
      </c>
      <c r="D38" s="1050">
        <f>☆入力!D17</f>
        <v>0</v>
      </c>
      <c r="E38" s="1051"/>
      <c r="F38" s="1052"/>
      <c r="G38" s="46">
        <f>☆入力!L17</f>
        <v>0</v>
      </c>
    </row>
    <row r="39" spans="1:7" ht="17.649999999999999" customHeight="1">
      <c r="A39" s="44">
        <v>3</v>
      </c>
      <c r="B39" s="45">
        <f>☆入力!B18</f>
        <v>0</v>
      </c>
      <c r="C39" s="45" t="str">
        <f>☆入力!C18</f>
        <v>あいえうお</v>
      </c>
      <c r="D39" s="1050">
        <f>☆入力!D18</f>
        <v>0</v>
      </c>
      <c r="E39" s="1051"/>
      <c r="F39" s="1052"/>
      <c r="G39" s="46">
        <f>☆入力!L18</f>
        <v>0</v>
      </c>
    </row>
    <row r="40" spans="1:7" ht="17.649999999999999" customHeight="1">
      <c r="A40" s="44">
        <v>4</v>
      </c>
      <c r="B40" s="45">
        <f>☆入力!B19</f>
        <v>0</v>
      </c>
      <c r="C40" s="45" t="str">
        <f>☆入力!C19</f>
        <v>あいえうお</v>
      </c>
      <c r="D40" s="1050">
        <f>☆入力!D19</f>
        <v>0</v>
      </c>
      <c r="E40" s="1051"/>
      <c r="F40" s="1052"/>
      <c r="G40" s="46">
        <f>☆入力!L19</f>
        <v>0</v>
      </c>
    </row>
    <row r="41" spans="1:7" ht="17.649999999999999" customHeight="1">
      <c r="A41" s="44">
        <v>5</v>
      </c>
      <c r="B41" s="45">
        <f>☆入力!B20</f>
        <v>0</v>
      </c>
      <c r="C41" s="45" t="str">
        <f>☆入力!C20</f>
        <v>あいえうお</v>
      </c>
      <c r="D41" s="1050">
        <f>☆入力!D20</f>
        <v>0</v>
      </c>
      <c r="E41" s="1051"/>
      <c r="F41" s="1052"/>
      <c r="G41" s="46">
        <f>☆入力!L20</f>
        <v>0</v>
      </c>
    </row>
    <row r="42" spans="1:7" ht="17.649999999999999" customHeight="1">
      <c r="A42" s="44">
        <v>6</v>
      </c>
      <c r="B42" s="45">
        <f>☆入力!B21</f>
        <v>0</v>
      </c>
      <c r="C42" s="45" t="str">
        <f>☆入力!C21</f>
        <v>あいえうお</v>
      </c>
      <c r="D42" s="1050">
        <f>☆入力!D21</f>
        <v>0</v>
      </c>
      <c r="E42" s="1051"/>
      <c r="F42" s="1052"/>
      <c r="G42" s="46">
        <f>☆入力!L21</f>
        <v>0</v>
      </c>
    </row>
    <row r="43" spans="1:7" ht="17.649999999999999" customHeight="1">
      <c r="A43" s="44">
        <v>7</v>
      </c>
      <c r="B43" s="45" t="str">
        <f>☆入力!B22</f>
        <v/>
      </c>
      <c r="C43" s="45">
        <f>☆入力!C22</f>
        <v>0</v>
      </c>
      <c r="D43" s="1050">
        <f>☆入力!D22</f>
        <v>0</v>
      </c>
      <c r="E43" s="1051"/>
      <c r="F43" s="1052"/>
      <c r="G43" s="46">
        <f>☆入力!L22</f>
        <v>0</v>
      </c>
    </row>
    <row r="44" spans="1:7" ht="17.649999999999999" customHeight="1">
      <c r="A44" s="44">
        <v>8</v>
      </c>
      <c r="B44" s="45" t="str">
        <f>☆入力!B23</f>
        <v/>
      </c>
      <c r="C44" s="45">
        <f>☆入力!C23</f>
        <v>0</v>
      </c>
      <c r="D44" s="1050">
        <f>☆入力!D23</f>
        <v>0</v>
      </c>
      <c r="E44" s="1051"/>
      <c r="F44" s="1052"/>
      <c r="G44" s="46">
        <f>☆入力!L23</f>
        <v>0</v>
      </c>
    </row>
    <row r="45" spans="1:7" ht="17.649999999999999" customHeight="1">
      <c r="A45" s="44">
        <v>9</v>
      </c>
      <c r="B45" s="45" t="str">
        <f>☆入力!B24</f>
        <v/>
      </c>
      <c r="C45" s="45">
        <f>☆入力!C24</f>
        <v>0</v>
      </c>
      <c r="D45" s="1050">
        <f>☆入力!D24</f>
        <v>0</v>
      </c>
      <c r="E45" s="1051"/>
      <c r="F45" s="1052"/>
      <c r="G45" s="46">
        <f>☆入力!L24</f>
        <v>0</v>
      </c>
    </row>
    <row r="46" spans="1:7" ht="17.649999999999999" customHeight="1">
      <c r="A46" s="44">
        <v>10</v>
      </c>
      <c r="B46" s="45" t="str">
        <f>☆入力!B25</f>
        <v/>
      </c>
      <c r="C46" s="45">
        <f>☆入力!C25</f>
        <v>0</v>
      </c>
      <c r="D46" s="1050">
        <f>☆入力!D25</f>
        <v>0</v>
      </c>
      <c r="E46" s="1051"/>
      <c r="F46" s="1052"/>
      <c r="G46" s="46">
        <f>☆入力!L25</f>
        <v>0</v>
      </c>
    </row>
    <row r="47" spans="1:7" ht="17.649999999999999" customHeight="1">
      <c r="A47" s="44">
        <v>11</v>
      </c>
      <c r="B47" s="45" t="str">
        <f>☆入力!B26</f>
        <v/>
      </c>
      <c r="C47" s="45">
        <f>☆入力!C26</f>
        <v>0</v>
      </c>
      <c r="D47" s="1050">
        <f>☆入力!D26</f>
        <v>0</v>
      </c>
      <c r="E47" s="1051"/>
      <c r="F47" s="1052"/>
      <c r="G47" s="46">
        <f>☆入力!L26</f>
        <v>0</v>
      </c>
    </row>
    <row r="48" spans="1:7" ht="17.649999999999999" customHeight="1">
      <c r="A48" s="44">
        <v>12</v>
      </c>
      <c r="B48" s="45" t="str">
        <f>☆入力!B27</f>
        <v/>
      </c>
      <c r="C48" s="45">
        <f>☆入力!C27</f>
        <v>0</v>
      </c>
      <c r="D48" s="1050">
        <f>☆入力!D27</f>
        <v>0</v>
      </c>
      <c r="E48" s="1051"/>
      <c r="F48" s="1052"/>
      <c r="G48" s="46">
        <f>☆入力!L27</f>
        <v>0</v>
      </c>
    </row>
    <row r="49" spans="1:7" ht="17.649999999999999" customHeight="1">
      <c r="A49" s="44">
        <v>13</v>
      </c>
      <c r="B49" s="45" t="str">
        <f>☆入力!B28</f>
        <v/>
      </c>
      <c r="C49" s="45">
        <f>☆入力!C28</f>
        <v>0</v>
      </c>
      <c r="D49" s="1050">
        <f>☆入力!D28</f>
        <v>0</v>
      </c>
      <c r="E49" s="1051"/>
      <c r="F49" s="1052"/>
      <c r="G49" s="46">
        <f>☆入力!L28</f>
        <v>0</v>
      </c>
    </row>
    <row r="50" spans="1:7" ht="17.649999999999999" customHeight="1">
      <c r="A50" s="44">
        <v>14</v>
      </c>
      <c r="B50" s="45" t="str">
        <f>☆入力!B29</f>
        <v/>
      </c>
      <c r="C50" s="45">
        <f>☆入力!C29</f>
        <v>0</v>
      </c>
      <c r="D50" s="1050">
        <f>☆入力!D29</f>
        <v>0</v>
      </c>
      <c r="E50" s="1051"/>
      <c r="F50" s="1052"/>
      <c r="G50" s="46">
        <f>☆入力!L29</f>
        <v>0</v>
      </c>
    </row>
    <row r="51" spans="1:7" ht="17.649999999999999" customHeight="1">
      <c r="A51" s="44">
        <v>15</v>
      </c>
      <c r="B51" s="45" t="str">
        <f>☆入力!B30</f>
        <v/>
      </c>
      <c r="C51" s="45">
        <f>☆入力!C30</f>
        <v>0</v>
      </c>
      <c r="D51" s="1050">
        <f>☆入力!D30</f>
        <v>0</v>
      </c>
      <c r="E51" s="1051"/>
      <c r="F51" s="1052"/>
      <c r="G51" s="46">
        <f>☆入力!L30</f>
        <v>0</v>
      </c>
    </row>
    <row r="52" spans="1:7" ht="17.649999999999999" customHeight="1">
      <c r="A52" s="44">
        <v>16</v>
      </c>
      <c r="B52" s="45" t="str">
        <f>☆入力!B31</f>
        <v/>
      </c>
      <c r="C52" s="45">
        <f>☆入力!C31</f>
        <v>0</v>
      </c>
      <c r="D52" s="1050">
        <f>☆入力!D31</f>
        <v>0</v>
      </c>
      <c r="E52" s="1051"/>
      <c r="F52" s="1052"/>
      <c r="G52" s="46">
        <f>☆入力!L31</f>
        <v>0</v>
      </c>
    </row>
    <row r="53" spans="1:7" ht="17.649999999999999" customHeight="1">
      <c r="A53" s="44">
        <v>17</v>
      </c>
      <c r="B53" s="45" t="str">
        <f>☆入力!B32</f>
        <v/>
      </c>
      <c r="C53" s="45">
        <f>☆入力!C32</f>
        <v>0</v>
      </c>
      <c r="D53" s="1050">
        <f>☆入力!D32</f>
        <v>0</v>
      </c>
      <c r="E53" s="1051"/>
      <c r="F53" s="1052"/>
      <c r="G53" s="46">
        <f>☆入力!L32</f>
        <v>0</v>
      </c>
    </row>
    <row r="54" spans="1:7" ht="17.649999999999999" customHeight="1">
      <c r="A54" s="44">
        <v>18</v>
      </c>
      <c r="B54" s="45" t="str">
        <f>☆入力!B33</f>
        <v/>
      </c>
      <c r="C54" s="45">
        <f>☆入力!C33</f>
        <v>0</v>
      </c>
      <c r="D54" s="1050">
        <f>☆入力!D33</f>
        <v>0</v>
      </c>
      <c r="E54" s="1051"/>
      <c r="F54" s="1052"/>
      <c r="G54" s="46">
        <f>☆入力!L33</f>
        <v>0</v>
      </c>
    </row>
    <row r="55" spans="1:7" ht="17.649999999999999" customHeight="1">
      <c r="A55" s="44">
        <v>19</v>
      </c>
      <c r="B55" s="45" t="str">
        <f>☆入力!B34</f>
        <v/>
      </c>
      <c r="C55" s="45">
        <f>☆入力!C34</f>
        <v>0</v>
      </c>
      <c r="D55" s="1050">
        <f>☆入力!D34</f>
        <v>0</v>
      </c>
      <c r="E55" s="1051"/>
      <c r="F55" s="1052"/>
      <c r="G55" s="46">
        <f>☆入力!L34</f>
        <v>0</v>
      </c>
    </row>
    <row r="56" spans="1:7" ht="17.649999999999999" customHeight="1">
      <c r="A56" s="44">
        <v>20</v>
      </c>
      <c r="B56" s="45" t="str">
        <f>☆入力!B35</f>
        <v/>
      </c>
      <c r="C56" s="45">
        <f>☆入力!C35</f>
        <v>0</v>
      </c>
      <c r="D56" s="1050">
        <f>☆入力!D35</f>
        <v>0</v>
      </c>
      <c r="E56" s="1051"/>
      <c r="F56" s="1052"/>
      <c r="G56" s="46">
        <f>☆入力!L35</f>
        <v>0</v>
      </c>
    </row>
    <row r="57" spans="1:7" ht="17.649999999999999" customHeight="1">
      <c r="A57" s="44">
        <v>21</v>
      </c>
      <c r="B57" s="45" t="str">
        <f>☆入力!B36</f>
        <v/>
      </c>
      <c r="C57" s="45">
        <f>☆入力!C36</f>
        <v>0</v>
      </c>
      <c r="D57" s="1050">
        <f>☆入力!D36</f>
        <v>0</v>
      </c>
      <c r="E57" s="1051"/>
      <c r="F57" s="1052"/>
      <c r="G57" s="46">
        <f>☆入力!L36</f>
        <v>0</v>
      </c>
    </row>
    <row r="58" spans="1:7" ht="17.649999999999999" customHeight="1">
      <c r="A58" s="44">
        <v>22</v>
      </c>
      <c r="B58" s="45" t="str">
        <f>☆入力!B37</f>
        <v/>
      </c>
      <c r="C58" s="45">
        <f>☆入力!C37</f>
        <v>0</v>
      </c>
      <c r="D58" s="1050">
        <f>☆入力!D37</f>
        <v>0</v>
      </c>
      <c r="E58" s="1051"/>
      <c r="F58" s="1052"/>
      <c r="G58" s="46">
        <f>☆入力!L37</f>
        <v>0</v>
      </c>
    </row>
    <row r="59" spans="1:7" ht="17.649999999999999" customHeight="1">
      <c r="A59" s="44">
        <v>23</v>
      </c>
      <c r="B59" s="45" t="str">
        <f>☆入力!B38</f>
        <v/>
      </c>
      <c r="C59" s="45">
        <f>☆入力!C38</f>
        <v>0</v>
      </c>
      <c r="D59" s="1050">
        <f>☆入力!D38</f>
        <v>0</v>
      </c>
      <c r="E59" s="1051"/>
      <c r="F59" s="1052"/>
      <c r="G59" s="46">
        <f>☆入力!L38</f>
        <v>0</v>
      </c>
    </row>
    <row r="60" spans="1:7" ht="17.649999999999999" customHeight="1">
      <c r="A60" s="44">
        <v>24</v>
      </c>
      <c r="B60" s="45" t="str">
        <f>☆入力!B39</f>
        <v/>
      </c>
      <c r="C60" s="45">
        <f>☆入力!C39</f>
        <v>0</v>
      </c>
      <c r="D60" s="1050">
        <f>☆入力!D39</f>
        <v>0</v>
      </c>
      <c r="E60" s="1051"/>
      <c r="F60" s="1052"/>
      <c r="G60" s="46">
        <f>☆入力!L39</f>
        <v>0</v>
      </c>
    </row>
    <row r="61" spans="1:7" ht="17.649999999999999" customHeight="1">
      <c r="A61" s="47">
        <v>25</v>
      </c>
      <c r="B61" s="48" t="str">
        <f>☆入力!B40</f>
        <v/>
      </c>
      <c r="C61" s="48">
        <f>☆入力!C40</f>
        <v>0</v>
      </c>
      <c r="D61" s="1056">
        <f>☆入力!D40</f>
        <v>0</v>
      </c>
      <c r="E61" s="1057"/>
      <c r="F61" s="1058"/>
      <c r="G61" s="49">
        <f>☆入力!L40</f>
        <v>0</v>
      </c>
    </row>
    <row r="62" spans="1:7" ht="15" customHeight="1"/>
    <row r="63" spans="1:7" ht="15" customHeight="1">
      <c r="A63" s="1062" t="s">
        <v>386</v>
      </c>
      <c r="B63" s="1062"/>
      <c r="C63" s="1062"/>
      <c r="D63" s="1062"/>
      <c r="E63" s="1062"/>
      <c r="F63" s="1062"/>
      <c r="G63" s="1062"/>
    </row>
    <row r="64" spans="1:7" ht="15" customHeight="1">
      <c r="A64" s="1062"/>
      <c r="B64" s="1062"/>
      <c r="C64" s="1062"/>
      <c r="D64" s="1062"/>
      <c r="E64" s="1062"/>
      <c r="F64" s="1062"/>
      <c r="G64" s="1062"/>
    </row>
    <row r="65" spans="1:7" ht="14.65" customHeight="1">
      <c r="A65" s="39"/>
      <c r="B65" s="39"/>
      <c r="C65" s="39"/>
      <c r="D65" s="39"/>
      <c r="E65" s="39"/>
      <c r="F65" s="39"/>
      <c r="G65" s="39"/>
    </row>
    <row r="66" spans="1:7" ht="17.649999999999999" customHeight="1">
      <c r="A66" s="40" t="s">
        <v>378</v>
      </c>
      <c r="B66" s="40" t="s">
        <v>387</v>
      </c>
      <c r="C66" s="40" t="s">
        <v>226</v>
      </c>
      <c r="D66" s="1059" t="s">
        <v>96</v>
      </c>
      <c r="E66" s="1060"/>
      <c r="F66" s="1061"/>
      <c r="G66" s="40" t="s">
        <v>211</v>
      </c>
    </row>
    <row r="67" spans="1:7" ht="17.649999999999999" customHeight="1">
      <c r="A67" s="41">
        <v>26</v>
      </c>
      <c r="B67" s="42"/>
      <c r="C67" s="42"/>
      <c r="D67" s="1053"/>
      <c r="E67" s="1054"/>
      <c r="F67" s="1055"/>
      <c r="G67" s="43"/>
    </row>
    <row r="68" spans="1:7" ht="17.649999999999999" customHeight="1">
      <c r="A68" s="44">
        <v>27</v>
      </c>
      <c r="B68" s="45"/>
      <c r="C68" s="45"/>
      <c r="D68" s="1050"/>
      <c r="E68" s="1051"/>
      <c r="F68" s="1052"/>
      <c r="G68" s="46"/>
    </row>
    <row r="69" spans="1:7" ht="17.649999999999999" customHeight="1">
      <c r="A69" s="44">
        <v>28</v>
      </c>
      <c r="B69" s="45"/>
      <c r="C69" s="45"/>
      <c r="D69" s="1050"/>
      <c r="E69" s="1051"/>
      <c r="F69" s="1052"/>
      <c r="G69" s="46"/>
    </row>
    <row r="70" spans="1:7" ht="17.649999999999999" customHeight="1">
      <c r="A70" s="44">
        <v>29</v>
      </c>
      <c r="B70" s="45"/>
      <c r="C70" s="45"/>
      <c r="D70" s="1050"/>
      <c r="E70" s="1051"/>
      <c r="F70" s="1052"/>
      <c r="G70" s="46"/>
    </row>
    <row r="71" spans="1:7" ht="17.649999999999999" customHeight="1">
      <c r="A71" s="44">
        <v>30</v>
      </c>
      <c r="B71" s="45"/>
      <c r="D71" s="1050"/>
      <c r="E71" s="1051"/>
      <c r="F71" s="1052"/>
      <c r="G71" s="46"/>
    </row>
    <row r="72" spans="1:7" ht="17.649999999999999" customHeight="1">
      <c r="A72" s="44">
        <v>31</v>
      </c>
      <c r="B72" s="45"/>
      <c r="C72" s="45"/>
      <c r="D72" s="1050"/>
      <c r="E72" s="1051"/>
      <c r="F72" s="1052"/>
      <c r="G72" s="46"/>
    </row>
    <row r="73" spans="1:7" ht="17.649999999999999" customHeight="1">
      <c r="A73" s="44">
        <v>32</v>
      </c>
      <c r="B73" s="45"/>
      <c r="C73" s="45"/>
      <c r="D73" s="1050"/>
      <c r="E73" s="1051"/>
      <c r="F73" s="1052"/>
      <c r="G73" s="46"/>
    </row>
    <row r="74" spans="1:7" ht="17.649999999999999" customHeight="1">
      <c r="A74" s="44">
        <v>33</v>
      </c>
      <c r="B74" s="45"/>
      <c r="C74" s="45"/>
      <c r="D74" s="1050"/>
      <c r="E74" s="1051"/>
      <c r="F74" s="1052"/>
      <c r="G74" s="46"/>
    </row>
    <row r="75" spans="1:7" ht="17.649999999999999" customHeight="1">
      <c r="A75" s="44">
        <v>34</v>
      </c>
      <c r="B75" s="45"/>
      <c r="C75" s="45"/>
      <c r="D75" s="1050"/>
      <c r="E75" s="1051"/>
      <c r="F75" s="1052"/>
      <c r="G75" s="46"/>
    </row>
    <row r="76" spans="1:7" ht="17.649999999999999" customHeight="1">
      <c r="A76" s="44">
        <v>35</v>
      </c>
      <c r="B76" s="45"/>
      <c r="C76" s="45"/>
      <c r="D76" s="1050"/>
      <c r="E76" s="1051"/>
      <c r="F76" s="1052"/>
      <c r="G76" s="46"/>
    </row>
    <row r="77" spans="1:7" ht="17.649999999999999" customHeight="1">
      <c r="A77" s="44">
        <v>36</v>
      </c>
      <c r="B77" s="45"/>
      <c r="C77" s="45"/>
      <c r="D77" s="1050"/>
      <c r="E77" s="1051"/>
      <c r="F77" s="1052"/>
      <c r="G77" s="46"/>
    </row>
    <row r="78" spans="1:7" ht="17.649999999999999" customHeight="1">
      <c r="A78" s="44">
        <v>37</v>
      </c>
      <c r="B78" s="45"/>
      <c r="C78" s="45"/>
      <c r="D78" s="1050"/>
      <c r="E78" s="1051"/>
      <c r="F78" s="1052"/>
      <c r="G78" s="46"/>
    </row>
    <row r="79" spans="1:7" ht="17.649999999999999" customHeight="1">
      <c r="A79" s="44">
        <v>38</v>
      </c>
      <c r="B79" s="45"/>
      <c r="C79" s="45"/>
      <c r="D79" s="1050"/>
      <c r="E79" s="1051"/>
      <c r="F79" s="1052"/>
      <c r="G79" s="46"/>
    </row>
    <row r="80" spans="1:7" ht="17.649999999999999" customHeight="1">
      <c r="A80" s="44">
        <v>39</v>
      </c>
      <c r="B80" s="45"/>
      <c r="C80" s="45"/>
      <c r="D80" s="1050"/>
      <c r="E80" s="1051"/>
      <c r="F80" s="1052"/>
      <c r="G80" s="46"/>
    </row>
    <row r="81" spans="1:7" ht="17.649999999999999" customHeight="1">
      <c r="A81" s="44">
        <v>40</v>
      </c>
      <c r="B81" s="45"/>
      <c r="C81" s="45"/>
      <c r="D81" s="1050"/>
      <c r="E81" s="1051"/>
      <c r="F81" s="1052"/>
      <c r="G81" s="46"/>
    </row>
    <row r="82" spans="1:7" ht="17.649999999999999" customHeight="1">
      <c r="A82" s="44">
        <v>41</v>
      </c>
      <c r="B82" s="45"/>
      <c r="C82" s="45"/>
      <c r="D82" s="1050"/>
      <c r="E82" s="1051"/>
      <c r="F82" s="1052"/>
      <c r="G82" s="46"/>
    </row>
    <row r="83" spans="1:7" ht="17.649999999999999" customHeight="1">
      <c r="A83" s="44">
        <v>42</v>
      </c>
      <c r="B83" s="45"/>
      <c r="C83" s="45"/>
      <c r="D83" s="1050"/>
      <c r="E83" s="1051"/>
      <c r="F83" s="1052"/>
      <c r="G83" s="46"/>
    </row>
    <row r="84" spans="1:7" ht="17.649999999999999" customHeight="1">
      <c r="A84" s="44">
        <v>43</v>
      </c>
      <c r="B84" s="45"/>
      <c r="C84" s="45"/>
      <c r="D84" s="1050"/>
      <c r="E84" s="1051"/>
      <c r="F84" s="1052"/>
      <c r="G84" s="46"/>
    </row>
    <row r="85" spans="1:7" ht="17.649999999999999" customHeight="1">
      <c r="A85" s="44">
        <v>44</v>
      </c>
      <c r="B85" s="45"/>
      <c r="C85" s="45"/>
      <c r="D85" s="1050"/>
      <c r="E85" s="1051"/>
      <c r="F85" s="1052"/>
      <c r="G85" s="46"/>
    </row>
    <row r="86" spans="1:7" ht="17.649999999999999" customHeight="1">
      <c r="A86" s="44">
        <v>45</v>
      </c>
      <c r="B86" s="45"/>
      <c r="C86" s="45"/>
      <c r="D86" s="1050"/>
      <c r="E86" s="1051"/>
      <c r="F86" s="1052"/>
      <c r="G86" s="46"/>
    </row>
    <row r="87" spans="1:7" ht="17.649999999999999" customHeight="1">
      <c r="A87" s="44">
        <v>46</v>
      </c>
      <c r="B87" s="45"/>
      <c r="C87" s="45"/>
      <c r="D87" s="1050"/>
      <c r="E87" s="1051"/>
      <c r="F87" s="1052"/>
      <c r="G87" s="46"/>
    </row>
    <row r="88" spans="1:7" ht="17.649999999999999" customHeight="1">
      <c r="A88" s="44">
        <v>47</v>
      </c>
      <c r="B88" s="45"/>
      <c r="C88" s="45"/>
      <c r="D88" s="1050"/>
      <c r="E88" s="1051"/>
      <c r="F88" s="1052"/>
      <c r="G88" s="46"/>
    </row>
    <row r="89" spans="1:7" ht="17.649999999999999" customHeight="1">
      <c r="A89" s="44">
        <v>48</v>
      </c>
      <c r="B89" s="45"/>
      <c r="C89" s="45"/>
      <c r="D89" s="1050"/>
      <c r="E89" s="1051"/>
      <c r="F89" s="1052"/>
      <c r="G89" s="46"/>
    </row>
    <row r="90" spans="1:7" ht="17.649999999999999" customHeight="1">
      <c r="A90" s="44">
        <v>49</v>
      </c>
      <c r="B90" s="45"/>
      <c r="C90" s="45"/>
      <c r="D90" s="1050"/>
      <c r="E90" s="1051"/>
      <c r="F90" s="1052"/>
      <c r="G90" s="46"/>
    </row>
    <row r="91" spans="1:7" ht="17.649999999999999" customHeight="1">
      <c r="A91" s="47">
        <v>50</v>
      </c>
      <c r="B91" s="48"/>
      <c r="C91" s="48"/>
      <c r="D91" s="1056"/>
      <c r="E91" s="1057"/>
      <c r="F91" s="1058"/>
      <c r="G91" s="49"/>
    </row>
  </sheetData>
  <mergeCells count="8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A63:G64"/>
    <mergeCell ref="D59:F59"/>
    <mergeCell ref="D60:F60"/>
    <mergeCell ref="D61:F61"/>
    <mergeCell ref="D58:F58"/>
    <mergeCell ref="D36:F36"/>
    <mergeCell ref="D37:F37"/>
    <mergeCell ref="D38:F38"/>
    <mergeCell ref="D39:F39"/>
    <mergeCell ref="D40:F40"/>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70:F70"/>
    <mergeCell ref="D71:F71"/>
    <mergeCell ref="D76:F76"/>
    <mergeCell ref="D72:F72"/>
    <mergeCell ref="D73:F73"/>
    <mergeCell ref="D90:F90"/>
    <mergeCell ref="D91:F91"/>
    <mergeCell ref="D83:F83"/>
    <mergeCell ref="D84:F84"/>
    <mergeCell ref="D85:F85"/>
    <mergeCell ref="D86:F86"/>
    <mergeCell ref="D87:F87"/>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5" customWidth="1"/>
    <col min="2" max="3" width="25.75" style="75" customWidth="1"/>
    <col min="4" max="4" width="8.75" style="75" customWidth="1"/>
    <col min="5" max="5" width="22.2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77" t="s">
        <v>364</v>
      </c>
      <c r="B1" s="1077"/>
      <c r="C1" s="1077"/>
      <c r="F1" s="76" t="s">
        <v>365</v>
      </c>
      <c r="G1" s="77">
        <f ca="1">TODAY()</f>
        <v>46119</v>
      </c>
    </row>
    <row r="2" spans="1:10" ht="15" customHeight="1">
      <c r="A2" s="1077"/>
      <c r="B2" s="1077"/>
      <c r="C2" s="1077"/>
      <c r="F2" s="76"/>
      <c r="G2" s="78"/>
    </row>
    <row r="3" spans="1:10" ht="15" customHeight="1">
      <c r="A3" s="1100">
        <f>☆入力!C5</f>
        <v>0</v>
      </c>
      <c r="B3" s="1100"/>
      <c r="C3" s="1100"/>
      <c r="E3" s="1095" t="str">
        <f>IF(代理店入力用!N3="",①表紙!I25,代理店入力用!N3)</f>
        <v>株式会社スマイルサポート</v>
      </c>
      <c r="F3" s="1095"/>
      <c r="G3" s="1095"/>
    </row>
    <row r="4" spans="1:10" ht="15" customHeight="1">
      <c r="A4" s="1101"/>
      <c r="B4" s="1101"/>
      <c r="C4" s="1101"/>
      <c r="E4" s="1097" t="str">
        <f>IF(代理店入力用!N5="",①表紙!I26,①表紙!A26)</f>
        <v>〒305-0046茨城県つくば市東2-10-14</v>
      </c>
      <c r="F4" s="1097"/>
      <c r="G4" s="1097"/>
    </row>
    <row r="5" spans="1:10" ht="15" customHeight="1">
      <c r="E5" s="1097" t="str">
        <f>IF(代理店入力用!N6="",①表紙!I27,①表紙!A27)</f>
        <v>TEL：　029-860-5211</v>
      </c>
      <c r="F5" s="1097"/>
      <c r="G5" s="1097"/>
      <c r="I5" s="379" t="s">
        <v>369</v>
      </c>
      <c r="J5" s="380">
        <f ca="1">G35</f>
        <v>0</v>
      </c>
    </row>
    <row r="6" spans="1:10" ht="15" customHeight="1" thickBot="1">
      <c r="A6" s="75" t="s">
        <v>366</v>
      </c>
      <c r="I6" s="379" t="s">
        <v>372</v>
      </c>
      <c r="J6" s="380">
        <f ca="1">J5*1.1</f>
        <v>0</v>
      </c>
    </row>
    <row r="7" spans="1:10" ht="15" customHeight="1">
      <c r="A7" s="75" t="s">
        <v>367</v>
      </c>
      <c r="E7" s="90" t="s">
        <v>376</v>
      </c>
      <c r="F7" s="91"/>
      <c r="G7" s="90" t="s">
        <v>372</v>
      </c>
      <c r="I7" s="27" t="s">
        <v>375</v>
      </c>
      <c r="J7" s="381">
        <f ca="1">E35</f>
        <v>0</v>
      </c>
    </row>
    <row r="8" spans="1:10" ht="15" customHeight="1">
      <c r="E8" s="1108">
        <f ca="1">VLOOKUP(E7,I7:J8,2,FALSE)</f>
        <v>0</v>
      </c>
      <c r="F8" s="92"/>
      <c r="G8" s="1106">
        <f ca="1">VLOOKUP(G7,I5:J6,2,FALSE)</f>
        <v>0</v>
      </c>
      <c r="I8" s="27" t="s">
        <v>376</v>
      </c>
      <c r="J8" s="381">
        <f ca="1">J7*1.1</f>
        <v>0</v>
      </c>
    </row>
    <row r="9" spans="1:10" ht="15" customHeight="1" thickBot="1">
      <c r="A9" s="93" t="s">
        <v>388</v>
      </c>
      <c r="E9" s="1109"/>
      <c r="F9" s="92"/>
      <c r="G9" s="1107"/>
    </row>
    <row r="10" spans="1:10" ht="15" customHeight="1">
      <c r="E10" s="1110"/>
      <c r="F10" s="1110"/>
      <c r="G10" s="1110"/>
      <c r="H10" s="383" t="s">
        <v>377</v>
      </c>
    </row>
    <row r="11" spans="1:10">
      <c r="A11" s="167" t="s">
        <v>378</v>
      </c>
      <c r="B11" s="1102" t="s">
        <v>389</v>
      </c>
      <c r="C11" s="1103"/>
      <c r="D11" s="167" t="s">
        <v>38</v>
      </c>
      <c r="E11" s="167" t="s">
        <v>390</v>
      </c>
      <c r="F11" s="168"/>
      <c r="G11" s="167" t="s">
        <v>391</v>
      </c>
    </row>
    <row r="12" spans="1:10" ht="13.5" customHeight="1">
      <c r="A12" s="309">
        <v>1</v>
      </c>
      <c r="B12" s="1104">
        <f>☆入力!AG16</f>
        <v>0</v>
      </c>
      <c r="C12" s="1105"/>
      <c r="D12" s="181">
        <f>☆入力!AH16</f>
        <v>0</v>
      </c>
      <c r="E12" s="169">
        <f ca="1">☆入力!AL16+LED計算式!X4</f>
        <v>0</v>
      </c>
      <c r="F12" s="170"/>
      <c r="G12" s="171">
        <f ca="1">ROUNDDOWN(☆入力!AK16+LED計算式!Y4,0)</f>
        <v>0</v>
      </c>
    </row>
    <row r="13" spans="1:10" ht="13.5" customHeight="1">
      <c r="A13" s="472">
        <v>2</v>
      </c>
      <c r="B13" s="1098">
        <f>☆入力!AG17</f>
        <v>0</v>
      </c>
      <c r="C13" s="1099"/>
      <c r="D13" s="182">
        <f>☆入力!AH17</f>
        <v>0</v>
      </c>
      <c r="E13" s="172">
        <f ca="1">☆入力!AL17+LED計算式!X5</f>
        <v>0</v>
      </c>
      <c r="F13" s="170"/>
      <c r="G13" s="173">
        <f ca="1">ROUNDDOWN(☆入力!AK17+LED計算式!Y5,0)</f>
        <v>0</v>
      </c>
    </row>
    <row r="14" spans="1:10" ht="13.5" customHeight="1">
      <c r="A14" s="472">
        <v>3</v>
      </c>
      <c r="B14" s="1098">
        <f>☆入力!AG18</f>
        <v>0</v>
      </c>
      <c r="C14" s="1099"/>
      <c r="D14" s="182">
        <f>☆入力!AH18</f>
        <v>0</v>
      </c>
      <c r="E14" s="172">
        <f ca="1">☆入力!AL18+LED計算式!X6</f>
        <v>0</v>
      </c>
      <c r="F14" s="170"/>
      <c r="G14" s="173">
        <f ca="1">ROUNDDOWN(☆入力!AK18+LED計算式!Y6,0)</f>
        <v>0</v>
      </c>
    </row>
    <row r="15" spans="1:10" ht="13.5" customHeight="1">
      <c r="A15" s="472">
        <v>4</v>
      </c>
      <c r="B15" s="1098">
        <f>☆入力!AG19</f>
        <v>0</v>
      </c>
      <c r="C15" s="1099"/>
      <c r="D15" s="182">
        <f>☆入力!AH19</f>
        <v>0</v>
      </c>
      <c r="E15" s="172">
        <f ca="1">☆入力!AL19+LED計算式!X7</f>
        <v>0</v>
      </c>
      <c r="F15" s="170"/>
      <c r="G15" s="173">
        <f ca="1">ROUNDDOWN(☆入力!AK19+LED計算式!Y7,0)</f>
        <v>0</v>
      </c>
    </row>
    <row r="16" spans="1:10" ht="13.5" customHeight="1">
      <c r="A16" s="472">
        <v>5</v>
      </c>
      <c r="B16" s="1098">
        <f>☆入力!AG20</f>
        <v>0</v>
      </c>
      <c r="C16" s="1099"/>
      <c r="D16" s="182">
        <f>☆入力!AH20</f>
        <v>0</v>
      </c>
      <c r="E16" s="172">
        <f ca="1">☆入力!AL20+LED計算式!X8</f>
        <v>0</v>
      </c>
      <c r="F16" s="170"/>
      <c r="G16" s="173">
        <f ca="1">ROUNDDOWN(☆入力!AK20+LED計算式!Y8,0)</f>
        <v>0</v>
      </c>
    </row>
    <row r="17" spans="1:7" ht="13.5" customHeight="1">
      <c r="A17" s="472">
        <v>6</v>
      </c>
      <c r="B17" s="1098">
        <f>☆入力!AG21</f>
        <v>0</v>
      </c>
      <c r="C17" s="1099"/>
      <c r="D17" s="182">
        <f>☆入力!AH21</f>
        <v>0</v>
      </c>
      <c r="E17" s="172">
        <f ca="1">☆入力!AL21+LED計算式!X9</f>
        <v>0</v>
      </c>
      <c r="F17" s="170"/>
      <c r="G17" s="173">
        <f ca="1">ROUNDDOWN(☆入力!AK21+LED計算式!Y9,0)</f>
        <v>0</v>
      </c>
    </row>
    <row r="18" spans="1:7" ht="13.5" customHeight="1">
      <c r="A18" s="472">
        <v>7</v>
      </c>
      <c r="B18" s="1098">
        <f>☆入力!AG22</f>
        <v>0</v>
      </c>
      <c r="C18" s="1099"/>
      <c r="D18" s="182">
        <f>☆入力!AH22</f>
        <v>0</v>
      </c>
      <c r="E18" s="172">
        <f ca="1">☆入力!AL22+LED計算式!X10</f>
        <v>0</v>
      </c>
      <c r="F18" s="170"/>
      <c r="G18" s="173">
        <f ca="1">ROUNDDOWN(☆入力!AK22+LED計算式!Y10,0)</f>
        <v>0</v>
      </c>
    </row>
    <row r="19" spans="1:7" ht="13.5" customHeight="1">
      <c r="A19" s="472">
        <v>8</v>
      </c>
      <c r="B19" s="1098">
        <f>☆入力!AG23</f>
        <v>0</v>
      </c>
      <c r="C19" s="1099"/>
      <c r="D19" s="182">
        <f>☆入力!AH23</f>
        <v>0</v>
      </c>
      <c r="E19" s="172">
        <f ca="1">☆入力!AL23+LED計算式!X11</f>
        <v>0</v>
      </c>
      <c r="F19" s="170"/>
      <c r="G19" s="173">
        <f ca="1">ROUNDDOWN(☆入力!AK23+LED計算式!Y11,0)</f>
        <v>0</v>
      </c>
    </row>
    <row r="20" spans="1:7" ht="13.5" customHeight="1">
      <c r="A20" s="472">
        <v>9</v>
      </c>
      <c r="B20" s="1098">
        <f>☆入力!AG24</f>
        <v>0</v>
      </c>
      <c r="C20" s="1099"/>
      <c r="D20" s="182">
        <f>☆入力!AH24</f>
        <v>0</v>
      </c>
      <c r="E20" s="172">
        <f ca="1">☆入力!AL24+LED計算式!X12</f>
        <v>0</v>
      </c>
      <c r="F20" s="170"/>
      <c r="G20" s="173">
        <f ca="1">ROUNDDOWN(☆入力!AK24+LED計算式!Y12,0)</f>
        <v>0</v>
      </c>
    </row>
    <row r="21" spans="1:7" ht="13.5" customHeight="1">
      <c r="A21" s="472">
        <v>10</v>
      </c>
      <c r="B21" s="1098">
        <f>☆入力!AG25</f>
        <v>0</v>
      </c>
      <c r="C21" s="1099"/>
      <c r="D21" s="182">
        <f>☆入力!AH25</f>
        <v>0</v>
      </c>
      <c r="E21" s="172">
        <f ca="1">☆入力!AL25+LED計算式!X13</f>
        <v>0</v>
      </c>
      <c r="F21" s="170"/>
      <c r="G21" s="173">
        <f ca="1">ROUNDDOWN(☆入力!AK25+LED計算式!Y13,0)</f>
        <v>0</v>
      </c>
    </row>
    <row r="22" spans="1:7" ht="13.5" customHeight="1">
      <c r="A22" s="472">
        <v>11</v>
      </c>
      <c r="B22" s="1098">
        <f>☆入力!AG26</f>
        <v>0</v>
      </c>
      <c r="C22" s="1099"/>
      <c r="D22" s="182">
        <f>☆入力!AH26</f>
        <v>0</v>
      </c>
      <c r="E22" s="172">
        <f ca="1">☆入力!AL26+LED計算式!X14</f>
        <v>0</v>
      </c>
      <c r="F22" s="170"/>
      <c r="G22" s="173">
        <f ca="1">ROUNDDOWN(☆入力!AK26+LED計算式!Y14,0)</f>
        <v>0</v>
      </c>
    </row>
    <row r="23" spans="1:7" ht="13.5" customHeight="1">
      <c r="A23" s="472">
        <v>12</v>
      </c>
      <c r="B23" s="1098">
        <f>☆入力!AG27</f>
        <v>0</v>
      </c>
      <c r="C23" s="1099"/>
      <c r="D23" s="182">
        <f>☆入力!AH27</f>
        <v>0</v>
      </c>
      <c r="E23" s="172">
        <f ca="1">☆入力!AL27+LED計算式!X15</f>
        <v>0</v>
      </c>
      <c r="F23" s="170"/>
      <c r="G23" s="173">
        <f ca="1">ROUNDDOWN(☆入力!AK27+LED計算式!Y15,0)</f>
        <v>0</v>
      </c>
    </row>
    <row r="24" spans="1:7" ht="13.5" customHeight="1">
      <c r="A24" s="472">
        <v>13</v>
      </c>
      <c r="B24" s="1098">
        <f>☆入力!AG28</f>
        <v>0</v>
      </c>
      <c r="C24" s="1099"/>
      <c r="D24" s="182">
        <f>☆入力!AH28</f>
        <v>0</v>
      </c>
      <c r="E24" s="172">
        <f ca="1">☆入力!AL28+LED計算式!X16</f>
        <v>0</v>
      </c>
      <c r="F24" s="170"/>
      <c r="G24" s="173">
        <f ca="1">ROUNDDOWN(☆入力!AK28+LED計算式!Y16,0)</f>
        <v>0</v>
      </c>
    </row>
    <row r="25" spans="1:7" ht="13.5" customHeight="1">
      <c r="A25" s="472">
        <v>14</v>
      </c>
      <c r="B25" s="1098">
        <f>☆入力!AG29</f>
        <v>0</v>
      </c>
      <c r="C25" s="1099"/>
      <c r="D25" s="182">
        <f>☆入力!AH29</f>
        <v>0</v>
      </c>
      <c r="E25" s="172">
        <f ca="1">☆入力!AL29+LED計算式!X17</f>
        <v>0</v>
      </c>
      <c r="F25" s="170"/>
      <c r="G25" s="173">
        <f ca="1">ROUNDDOWN(☆入力!AK29+LED計算式!Y17,0)</f>
        <v>0</v>
      </c>
    </row>
    <row r="26" spans="1:7" ht="13.5" customHeight="1">
      <c r="A26" s="472">
        <v>15</v>
      </c>
      <c r="B26" s="1098">
        <f>☆入力!AG30</f>
        <v>0</v>
      </c>
      <c r="C26" s="1099"/>
      <c r="D26" s="182">
        <f>☆入力!AH30</f>
        <v>0</v>
      </c>
      <c r="E26" s="172">
        <f ca="1">☆入力!AL30+LED計算式!X18</f>
        <v>0</v>
      </c>
      <c r="F26" s="170"/>
      <c r="G26" s="173">
        <f ca="1">ROUNDDOWN(☆入力!AK30+LED計算式!Y18,0)</f>
        <v>0</v>
      </c>
    </row>
    <row r="27" spans="1:7" ht="13.5" hidden="1" customHeight="1">
      <c r="A27" s="472">
        <v>16</v>
      </c>
      <c r="B27" s="1115">
        <f>☆入力!AG31</f>
        <v>0</v>
      </c>
      <c r="C27" s="1115"/>
      <c r="D27" s="182">
        <f>☆入力!AH31</f>
        <v>0</v>
      </c>
      <c r="E27" s="172">
        <f ca="1">☆入力!AL31+LED計算式!X19</f>
        <v>0</v>
      </c>
      <c r="F27" s="170"/>
      <c r="G27" s="173">
        <f ca="1">ROUNDDOWN(☆入力!AK31+LED計算式!Y19,0)</f>
        <v>0</v>
      </c>
    </row>
    <row r="28" spans="1:7" ht="13.5" hidden="1" customHeight="1">
      <c r="A28" s="472">
        <v>17</v>
      </c>
      <c r="B28" s="1115">
        <f>☆入力!AG32</f>
        <v>0</v>
      </c>
      <c r="C28" s="1115"/>
      <c r="D28" s="182">
        <f>☆入力!AH32</f>
        <v>0</v>
      </c>
      <c r="E28" s="172">
        <f ca="1">☆入力!AL32+LED計算式!X20</f>
        <v>0</v>
      </c>
      <c r="F28" s="170"/>
      <c r="G28" s="173">
        <f ca="1">ROUNDDOWN(☆入力!AK32+LED計算式!Y20,0)</f>
        <v>0</v>
      </c>
    </row>
    <row r="29" spans="1:7" ht="13.5" hidden="1" customHeight="1">
      <c r="A29" s="472">
        <v>18</v>
      </c>
      <c r="B29" s="1115">
        <f>☆入力!AG33</f>
        <v>0</v>
      </c>
      <c r="C29" s="1115"/>
      <c r="D29" s="182">
        <f>☆入力!AH33</f>
        <v>0</v>
      </c>
      <c r="E29" s="172">
        <f ca="1">☆入力!AL33+LED計算式!X21</f>
        <v>0</v>
      </c>
      <c r="F29" s="170"/>
      <c r="G29" s="173">
        <f ca="1">ROUNDDOWN(☆入力!AK33+LED計算式!Y21,0)</f>
        <v>0</v>
      </c>
    </row>
    <row r="30" spans="1:7" ht="13.5" hidden="1" customHeight="1">
      <c r="A30" s="472">
        <v>19</v>
      </c>
      <c r="B30" s="1115">
        <f>☆入力!AG34</f>
        <v>0</v>
      </c>
      <c r="C30" s="1115"/>
      <c r="D30" s="182">
        <f>☆入力!AH34</f>
        <v>0</v>
      </c>
      <c r="E30" s="172">
        <f ca="1">☆入力!AL34+LED計算式!X22</f>
        <v>0</v>
      </c>
      <c r="F30" s="170"/>
      <c r="G30" s="173">
        <f ca="1">ROUNDDOWN(☆入力!AK34+LED計算式!Y22,0)</f>
        <v>0</v>
      </c>
    </row>
    <row r="31" spans="1:7" ht="13.5" hidden="1" customHeight="1">
      <c r="A31" s="472">
        <v>20</v>
      </c>
      <c r="B31" s="1115">
        <f>☆入力!AG35</f>
        <v>0</v>
      </c>
      <c r="C31" s="1115"/>
      <c r="D31" s="182">
        <f>☆入力!AH35</f>
        <v>0</v>
      </c>
      <c r="E31" s="172">
        <f ca="1">☆入力!AL35+LED計算式!X23</f>
        <v>0</v>
      </c>
      <c r="F31" s="170"/>
      <c r="G31" s="173">
        <f ca="1">ROUNDDOWN(☆入力!AK35+LED計算式!Y23,0)</f>
        <v>0</v>
      </c>
    </row>
    <row r="32" spans="1:7" ht="13.5" customHeight="1">
      <c r="A32" s="1098">
        <f>☆入力!AH12</f>
        <v>0</v>
      </c>
      <c r="B32" s="1114"/>
      <c r="C32" s="1099"/>
      <c r="D32" s="182" t="str">
        <f>IF(☆入力!AH12&lt;&gt;"","1","")</f>
        <v/>
      </c>
      <c r="E32" s="172">
        <f>☆入力!AJ12</f>
        <v>0</v>
      </c>
      <c r="F32" s="170"/>
      <c r="G32" s="173">
        <f ca="1">ROUNDDOWN(☆入力!AK36+LED計算式!Y24,0)</f>
        <v>0</v>
      </c>
    </row>
    <row r="33" spans="1:7" ht="13.5" customHeight="1">
      <c r="A33" s="1111" t="str">
        <f>"複数棟キャンペーン割引（ "&amp;TEXT(☆入力!AR11,"0%")&amp;" OFF ）"</f>
        <v>複数棟キャンペーン割引（ 0% OFF ）</v>
      </c>
      <c r="B33" s="1112"/>
      <c r="C33" s="1113"/>
      <c r="D33" s="183">
        <v>1</v>
      </c>
      <c r="E33" s="174">
        <f ca="1">-(☆入力!AL14*☆入力!AR11)</f>
        <v>0</v>
      </c>
      <c r="F33" s="175"/>
      <c r="G33" s="176">
        <f ca="1">E33/54</f>
        <v>0</v>
      </c>
    </row>
    <row r="34" spans="1:7" ht="13.5">
      <c r="F34" s="95"/>
    </row>
    <row r="35" spans="1:7" ht="18.600000000000001" customHeight="1" thickBot="1">
      <c r="D35" s="76" t="s">
        <v>392</v>
      </c>
      <c r="E35" s="94">
        <f ca="1">ROUNDDOWN(SUM(E12:E33),0)</f>
        <v>0</v>
      </c>
      <c r="F35" s="95"/>
      <c r="G35" s="96">
        <f ca="1">ROUNDDOWN(SUM(G12:G33),0)</f>
        <v>0</v>
      </c>
    </row>
    <row r="36" spans="1:7" ht="12.75" thickTop="1">
      <c r="A36" s="105" t="s">
        <v>393</v>
      </c>
    </row>
  </sheetData>
  <mergeCells count="31">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77" t="s">
        <v>364</v>
      </c>
      <c r="B1" s="1077"/>
      <c r="C1" s="1077"/>
      <c r="D1" s="1077"/>
      <c r="G1" s="76" t="s">
        <v>365</v>
      </c>
      <c r="H1" s="186">
        <f ca="1">TODAY()</f>
        <v>46119</v>
      </c>
    </row>
    <row r="2" spans="1:11" ht="15" customHeight="1">
      <c r="A2" s="1077"/>
      <c r="B2" s="1077"/>
      <c r="C2" s="1077"/>
      <c r="D2" s="1077"/>
      <c r="G2" s="76"/>
      <c r="H2" s="78"/>
    </row>
    <row r="3" spans="1:11" ht="15" customHeight="1">
      <c r="A3" s="1100">
        <f>☆入力!C5</f>
        <v>0</v>
      </c>
      <c r="B3" s="1100"/>
      <c r="C3" s="1100"/>
      <c r="D3" s="1100"/>
    </row>
    <row r="4" spans="1:11" ht="15" customHeight="1">
      <c r="A4" s="1101"/>
      <c r="B4" s="1101"/>
      <c r="C4" s="1101"/>
      <c r="D4" s="1101"/>
      <c r="F4" s="1095" t="str">
        <f>IF(代理店入力用!N3="",①表紙!I25,代理店入力用!N3)</f>
        <v>株式会社スマイルサポート</v>
      </c>
      <c r="G4" s="1095"/>
      <c r="H4" s="1095"/>
    </row>
    <row r="5" spans="1:11" ht="15" customHeight="1">
      <c r="F5" s="1097" t="str">
        <f>IF(代理店入力用!N5="",①表紙!I26,①表紙!A26)</f>
        <v>〒305-0046茨城県つくば市東2-10-14</v>
      </c>
      <c r="G5" s="1097"/>
      <c r="H5" s="1097"/>
    </row>
    <row r="6" spans="1:11" ht="15" customHeight="1">
      <c r="A6" s="294" t="s">
        <v>366</v>
      </c>
      <c r="B6" s="105"/>
      <c r="F6" s="1097" t="str">
        <f>IF(代理店入力用!N6="",①表紙!I27,①表紙!A27)</f>
        <v>TEL：　029-860-5211</v>
      </c>
      <c r="G6" s="1097"/>
      <c r="H6" s="1097"/>
    </row>
    <row r="7" spans="1:11" ht="15" customHeight="1">
      <c r="A7" s="294" t="s">
        <v>394</v>
      </c>
      <c r="B7" s="105"/>
    </row>
    <row r="8" spans="1:11" ht="6" customHeight="1"/>
    <row r="9" spans="1:11" ht="10.5" customHeight="1">
      <c r="A9" s="473" t="s">
        <v>87</v>
      </c>
      <c r="B9" s="473" t="s">
        <v>226</v>
      </c>
      <c r="C9" s="473" t="s">
        <v>105</v>
      </c>
      <c r="D9" s="473" t="s">
        <v>315</v>
      </c>
      <c r="E9" s="473" t="s">
        <v>38</v>
      </c>
      <c r="F9" s="473" t="s">
        <v>395</v>
      </c>
      <c r="G9" s="1147" t="s">
        <v>381</v>
      </c>
      <c r="H9" s="1147"/>
      <c r="J9" s="379" t="s">
        <v>369</v>
      </c>
      <c r="K9" s="380">
        <f ca="1">ROUNDDOWN(G57/54,0)</f>
        <v>0</v>
      </c>
    </row>
    <row r="10" spans="1:11" ht="10.5" customHeight="1">
      <c r="A10" s="148">
        <f>☆入力!B16</f>
        <v>0</v>
      </c>
      <c r="B10" s="148" t="str">
        <f>☆入力!C16</f>
        <v>あいえうお</v>
      </c>
      <c r="C10" s="149" t="str">
        <f>IFERROR(VLOOKUP(☆入力!G16,選定!$C$3:$AG$100,11,FALSE),"")</f>
        <v/>
      </c>
      <c r="D10" s="316" t="str">
        <f>IFERROR(VLOOKUP(☆入力!G16,選定!$C$3:$AG$100,1,FALSE),"")</f>
        <v/>
      </c>
      <c r="E10" s="150">
        <f>☆入力!L16</f>
        <v>0</v>
      </c>
      <c r="F10" s="150" t="str">
        <f>IFERROR(VLOOKUP(☆入力!G16,選定!$C$3:$AG$100,7,FALSE),"")</f>
        <v/>
      </c>
      <c r="G10" s="1148" t="str">
        <f>IFERROR(F10*E10,"")</f>
        <v/>
      </c>
      <c r="H10" s="1148"/>
      <c r="J10" s="379" t="s">
        <v>372</v>
      </c>
      <c r="K10" s="380">
        <f ca="1">K9*1.1</f>
        <v>0</v>
      </c>
    </row>
    <row r="11" spans="1:11" ht="10.5" customHeight="1">
      <c r="A11" s="151">
        <f>☆入力!B17</f>
        <v>0</v>
      </c>
      <c r="B11" s="151" t="str">
        <f>☆入力!C17</f>
        <v>あいえうお</v>
      </c>
      <c r="C11" s="151" t="str">
        <f>IFERROR(VLOOKUP(☆入力!G17,選定!$C$3:$AG$100,11,FALSE),"")</f>
        <v/>
      </c>
      <c r="D11" s="316" t="str">
        <f>IFERROR(VLOOKUP(☆入力!G17,選定!$C$3:$AG$100,1,FALSE),"")</f>
        <v/>
      </c>
      <c r="E11" s="152">
        <f>☆入力!L17</f>
        <v>0</v>
      </c>
      <c r="F11" s="150" t="str">
        <f>IFERROR(VLOOKUP(☆入力!G17,選定!$C$3:$AG$100,7,FALSE),"")</f>
        <v/>
      </c>
      <c r="G11" s="1148" t="str">
        <f t="shared" ref="G11:G39" si="0">IFERROR(F11*E11,"")</f>
        <v/>
      </c>
      <c r="H11" s="1148"/>
      <c r="J11" s="27" t="s">
        <v>375</v>
      </c>
      <c r="K11" s="381">
        <f ca="1">G57</f>
        <v>0</v>
      </c>
    </row>
    <row r="12" spans="1:11" ht="10.5" customHeight="1">
      <c r="A12" s="151">
        <f>☆入力!B18</f>
        <v>0</v>
      </c>
      <c r="B12" s="151" t="str">
        <f>☆入力!C18</f>
        <v>あいえうお</v>
      </c>
      <c r="C12" s="151" t="str">
        <f>IFERROR(VLOOKUP(☆入力!G18,選定!$C$3:$AG$100,11,FALSE),"")</f>
        <v/>
      </c>
      <c r="D12" s="316" t="str">
        <f>IFERROR(VLOOKUP(☆入力!G18,選定!$C$3:$AG$100,1,FALSE),"")</f>
        <v/>
      </c>
      <c r="E12" s="152">
        <f>☆入力!L18</f>
        <v>0</v>
      </c>
      <c r="F12" s="150" t="str">
        <f>IFERROR(VLOOKUP(☆入力!G18,選定!$C$3:$AG$100,7,FALSE),"")</f>
        <v/>
      </c>
      <c r="G12" s="1148" t="str">
        <f t="shared" si="0"/>
        <v/>
      </c>
      <c r="H12" s="1148"/>
      <c r="J12" s="27" t="s">
        <v>376</v>
      </c>
      <c r="K12" s="381">
        <f ca="1">K11*1.1</f>
        <v>0</v>
      </c>
    </row>
    <row r="13" spans="1:11" ht="10.5" customHeight="1">
      <c r="A13" s="151">
        <f>☆入力!B19</f>
        <v>0</v>
      </c>
      <c r="B13" s="151" t="str">
        <f>☆入力!C19</f>
        <v>あいえうお</v>
      </c>
      <c r="C13" s="151" t="str">
        <f>IFERROR(VLOOKUP(☆入力!G19,選定!$C$3:$AG$100,11,FALSE),"")</f>
        <v/>
      </c>
      <c r="D13" s="316" t="str">
        <f>IFERROR(VLOOKUP(☆入力!G19,選定!$C$3:$AG$100,1,FALSE),"")</f>
        <v/>
      </c>
      <c r="E13" s="152">
        <f>☆入力!L19</f>
        <v>0</v>
      </c>
      <c r="F13" s="150" t="str">
        <f>IFERROR(VLOOKUP(☆入力!G19,選定!$C$3:$AG$100,7,FALSE),"")</f>
        <v/>
      </c>
      <c r="G13" s="1148" t="str">
        <f t="shared" si="0"/>
        <v/>
      </c>
      <c r="H13" s="1148"/>
    </row>
    <row r="14" spans="1:11" ht="10.5" customHeight="1">
      <c r="A14" s="151">
        <f>☆入力!B20</f>
        <v>0</v>
      </c>
      <c r="B14" s="151" t="str">
        <f>☆入力!C20</f>
        <v>あいえうお</v>
      </c>
      <c r="C14" s="151" t="str">
        <f>IFERROR(VLOOKUP(☆入力!G20,選定!$C$3:$AG$100,11,FALSE),"")</f>
        <v/>
      </c>
      <c r="D14" s="316" t="str">
        <f>IFERROR(VLOOKUP(☆入力!G20,選定!$C$3:$AG$100,1,FALSE),"")</f>
        <v/>
      </c>
      <c r="E14" s="152">
        <f>☆入力!L20</f>
        <v>0</v>
      </c>
      <c r="F14" s="150" t="str">
        <f>IFERROR(VLOOKUP(☆入力!G20,選定!$C$3:$AG$100,7,FALSE),"")</f>
        <v/>
      </c>
      <c r="G14" s="1148" t="str">
        <f t="shared" si="0"/>
        <v/>
      </c>
      <c r="H14" s="1148"/>
    </row>
    <row r="15" spans="1:11" ht="10.5" customHeight="1">
      <c r="A15" s="151">
        <f>☆入力!B21</f>
        <v>0</v>
      </c>
      <c r="B15" s="151" t="str">
        <f>☆入力!C21</f>
        <v>あいえうお</v>
      </c>
      <c r="C15" s="151" t="str">
        <f>IFERROR(VLOOKUP(☆入力!G21,選定!$C$3:$AG$100,11,FALSE),"")</f>
        <v/>
      </c>
      <c r="D15" s="316" t="str">
        <f>IFERROR(VLOOKUP(☆入力!G21,選定!$C$3:$AG$100,1,FALSE),"")</f>
        <v/>
      </c>
      <c r="E15" s="152">
        <f>☆入力!L21</f>
        <v>0</v>
      </c>
      <c r="F15" s="150" t="str">
        <f>IFERROR(VLOOKUP(☆入力!G21,選定!$C$3:$AG$100,7,FALSE),"")</f>
        <v/>
      </c>
      <c r="G15" s="1148" t="str">
        <f t="shared" si="0"/>
        <v/>
      </c>
      <c r="H15" s="1148"/>
    </row>
    <row r="16" spans="1:11" ht="10.5" customHeight="1">
      <c r="A16" s="151" t="str">
        <f>☆入力!B22</f>
        <v/>
      </c>
      <c r="B16" s="151">
        <f>☆入力!C22</f>
        <v>0</v>
      </c>
      <c r="C16" s="151" t="str">
        <f>IFERROR(VLOOKUP(☆入力!G22,選定!$C$3:$AG$100,11,FALSE),"")</f>
        <v/>
      </c>
      <c r="D16" s="316" t="str">
        <f>IFERROR(VLOOKUP(☆入力!G22,選定!$C$3:$AG$100,1,FALSE),"")</f>
        <v/>
      </c>
      <c r="E16" s="152">
        <f>☆入力!L22</f>
        <v>0</v>
      </c>
      <c r="F16" s="150" t="str">
        <f>IFERROR(VLOOKUP(☆入力!G22,選定!$C$3:$AG$100,7,FALSE),"")</f>
        <v/>
      </c>
      <c r="G16" s="1148" t="str">
        <f t="shared" si="0"/>
        <v/>
      </c>
      <c r="H16" s="1148"/>
    </row>
    <row r="17" spans="1:8" ht="10.5" customHeight="1">
      <c r="A17" s="151" t="str">
        <f>☆入力!B23</f>
        <v/>
      </c>
      <c r="B17" s="151">
        <f>☆入力!C23</f>
        <v>0</v>
      </c>
      <c r="C17" s="151" t="str">
        <f>IFERROR(VLOOKUP(☆入力!G23,選定!$C$3:$AG$100,11,FALSE),"")</f>
        <v/>
      </c>
      <c r="D17" s="316" t="str">
        <f>IFERROR(VLOOKUP(☆入力!G23,選定!$C$3:$AG$100,1,FALSE),"")</f>
        <v/>
      </c>
      <c r="E17" s="152">
        <f>☆入力!L23</f>
        <v>0</v>
      </c>
      <c r="F17" s="150" t="str">
        <f>IFERROR(VLOOKUP(☆入力!G23,選定!$C$3:$AG$100,7,FALSE),"")</f>
        <v/>
      </c>
      <c r="G17" s="1148" t="str">
        <f t="shared" si="0"/>
        <v/>
      </c>
      <c r="H17" s="1148"/>
    </row>
    <row r="18" spans="1:8" ht="10.5" customHeight="1">
      <c r="A18" s="151" t="str">
        <f>☆入力!B24</f>
        <v/>
      </c>
      <c r="B18" s="151">
        <f>☆入力!C24</f>
        <v>0</v>
      </c>
      <c r="C18" s="151" t="str">
        <f>IFERROR(VLOOKUP(☆入力!G24,選定!$C$3:$AG$100,11,FALSE),"")</f>
        <v/>
      </c>
      <c r="D18" s="316" t="str">
        <f>IFERROR(VLOOKUP(☆入力!G24,選定!$C$3:$AG$100,1,FALSE),"")</f>
        <v/>
      </c>
      <c r="E18" s="152">
        <f>☆入力!L24</f>
        <v>0</v>
      </c>
      <c r="F18" s="150" t="str">
        <f>IFERROR(VLOOKUP(☆入力!G24,選定!$C$3:$AG$100,7,FALSE),"")</f>
        <v/>
      </c>
      <c r="G18" s="1148" t="str">
        <f t="shared" si="0"/>
        <v/>
      </c>
      <c r="H18" s="1148"/>
    </row>
    <row r="19" spans="1:8" ht="10.5" customHeight="1">
      <c r="A19" s="151" t="str">
        <f>☆入力!B25</f>
        <v/>
      </c>
      <c r="B19" s="151">
        <f>☆入力!C25</f>
        <v>0</v>
      </c>
      <c r="C19" s="151" t="str">
        <f>IFERROR(VLOOKUP(☆入力!G25,選定!$C$3:$AG$100,11,FALSE),"")</f>
        <v/>
      </c>
      <c r="D19" s="316" t="str">
        <f>IFERROR(VLOOKUP(☆入力!G25,選定!$C$3:$AG$100,1,FALSE),"")</f>
        <v/>
      </c>
      <c r="E19" s="152">
        <f>☆入力!L25</f>
        <v>0</v>
      </c>
      <c r="F19" s="150" t="str">
        <f>IFERROR(VLOOKUP(☆入力!G25,選定!$C$3:$AG$100,7,FALSE),"")</f>
        <v/>
      </c>
      <c r="G19" s="1148" t="str">
        <f t="shared" si="0"/>
        <v/>
      </c>
      <c r="H19" s="1148"/>
    </row>
    <row r="20" spans="1:8" ht="10.5" customHeight="1">
      <c r="A20" s="151" t="str">
        <f>☆入力!B26</f>
        <v/>
      </c>
      <c r="B20" s="151">
        <f>☆入力!C26</f>
        <v>0</v>
      </c>
      <c r="C20" s="151" t="str">
        <f>IFERROR(VLOOKUP(☆入力!G26,選定!$C$3:$AG$100,11,FALSE),"")</f>
        <v/>
      </c>
      <c r="D20" s="316" t="str">
        <f>IFERROR(VLOOKUP(☆入力!G26,選定!$C$3:$AG$100,1,FALSE),"")</f>
        <v/>
      </c>
      <c r="E20" s="152">
        <f>☆入力!L26</f>
        <v>0</v>
      </c>
      <c r="F20" s="150" t="str">
        <f>IFERROR(VLOOKUP(☆入力!G26,選定!$C$3:$AG$100,7,FALSE),"")</f>
        <v/>
      </c>
      <c r="G20" s="1148" t="str">
        <f t="shared" si="0"/>
        <v/>
      </c>
      <c r="H20" s="1148"/>
    </row>
    <row r="21" spans="1:8" ht="10.5" customHeight="1">
      <c r="A21" s="151" t="str">
        <f>☆入力!B27</f>
        <v/>
      </c>
      <c r="B21" s="151">
        <f>☆入力!C27</f>
        <v>0</v>
      </c>
      <c r="C21" s="151" t="str">
        <f>IFERROR(VLOOKUP(☆入力!G27,選定!$C$3:$AG$100,11,FALSE),"")</f>
        <v/>
      </c>
      <c r="D21" s="316" t="str">
        <f>IFERROR(VLOOKUP(☆入力!G27,選定!$C$3:$AG$100,1,FALSE),"")</f>
        <v/>
      </c>
      <c r="E21" s="152">
        <f>☆入力!L27</f>
        <v>0</v>
      </c>
      <c r="F21" s="150" t="str">
        <f>IFERROR(VLOOKUP(☆入力!G27,選定!$C$3:$AG$100,7,FALSE),"")</f>
        <v/>
      </c>
      <c r="G21" s="1148" t="str">
        <f t="shared" si="0"/>
        <v/>
      </c>
      <c r="H21" s="1148"/>
    </row>
    <row r="22" spans="1:8" ht="10.5" customHeight="1">
      <c r="A22" s="151" t="str">
        <f>☆入力!B28</f>
        <v/>
      </c>
      <c r="B22" s="151">
        <f>☆入力!C28</f>
        <v>0</v>
      </c>
      <c r="C22" s="151" t="str">
        <f>IFERROR(VLOOKUP(☆入力!G28,選定!$C$3:$AG$100,11,FALSE),"")</f>
        <v/>
      </c>
      <c r="D22" s="316" t="str">
        <f>IFERROR(VLOOKUP(☆入力!G28,選定!$C$3:$AG$100,1,FALSE),"")</f>
        <v/>
      </c>
      <c r="E22" s="152">
        <f>☆入力!L28</f>
        <v>0</v>
      </c>
      <c r="F22" s="150" t="str">
        <f>IFERROR(VLOOKUP(☆入力!G28,選定!$C$3:$AG$100,7,FALSE),"")</f>
        <v/>
      </c>
      <c r="G22" s="1148" t="str">
        <f t="shared" si="0"/>
        <v/>
      </c>
      <c r="H22" s="1148"/>
    </row>
    <row r="23" spans="1:8" ht="10.5" customHeight="1">
      <c r="A23" s="151" t="str">
        <f>☆入力!B29</f>
        <v/>
      </c>
      <c r="B23" s="151">
        <f>☆入力!C29</f>
        <v>0</v>
      </c>
      <c r="C23" s="151" t="str">
        <f>IFERROR(VLOOKUP(☆入力!G29,選定!$C$3:$AG$100,11,FALSE),"")</f>
        <v/>
      </c>
      <c r="D23" s="316" t="str">
        <f>IFERROR(VLOOKUP(☆入力!G29,選定!$C$3:$AG$100,1,FALSE),"")</f>
        <v/>
      </c>
      <c r="E23" s="152">
        <f>☆入力!L29</f>
        <v>0</v>
      </c>
      <c r="F23" s="150" t="str">
        <f>IFERROR(VLOOKUP(☆入力!G29,選定!$C$3:$AG$100,7,FALSE),"")</f>
        <v/>
      </c>
      <c r="G23" s="1148" t="str">
        <f t="shared" si="0"/>
        <v/>
      </c>
      <c r="H23" s="1148"/>
    </row>
    <row r="24" spans="1:8" ht="10.5" customHeight="1">
      <c r="A24" s="151" t="str">
        <f>☆入力!B30</f>
        <v/>
      </c>
      <c r="B24" s="151">
        <f>☆入力!C30</f>
        <v>0</v>
      </c>
      <c r="C24" s="151" t="str">
        <f>IFERROR(VLOOKUP(☆入力!G30,選定!$C$3:$AG$100,11,FALSE),"")</f>
        <v/>
      </c>
      <c r="D24" s="316" t="str">
        <f>IFERROR(VLOOKUP(☆入力!G30,選定!$C$3:$AG$100,1,FALSE),"")</f>
        <v/>
      </c>
      <c r="E24" s="152">
        <f>☆入力!L30</f>
        <v>0</v>
      </c>
      <c r="F24" s="150" t="str">
        <f>IFERROR(VLOOKUP(☆入力!G30,選定!$C$3:$AG$100,7,FALSE),"")</f>
        <v/>
      </c>
      <c r="G24" s="1148" t="str">
        <f t="shared" si="0"/>
        <v/>
      </c>
      <c r="H24" s="1148"/>
    </row>
    <row r="25" spans="1:8" ht="10.5" hidden="1" customHeight="1" outlineLevel="1">
      <c r="A25" s="151" t="str">
        <f>☆入力!B31</f>
        <v/>
      </c>
      <c r="B25" s="151">
        <f>☆入力!C31</f>
        <v>0</v>
      </c>
      <c r="C25" s="151" t="str">
        <f>IFERROR(VLOOKUP(☆入力!G31,選定!$C$3:$AG$100,11,FALSE),"")</f>
        <v/>
      </c>
      <c r="D25" s="316" t="str">
        <f>IFERROR(VLOOKUP(☆入力!G31,選定!$C$3:$AG$100,1,FALSE),"")</f>
        <v/>
      </c>
      <c r="E25" s="152">
        <f>☆入力!L31</f>
        <v>0</v>
      </c>
      <c r="F25" s="150" t="str">
        <f>IFERROR(VLOOKUP(☆入力!G31,選定!$C$3:$AG$100,7,FALSE),"")</f>
        <v/>
      </c>
      <c r="G25" s="1148" t="str">
        <f t="shared" si="0"/>
        <v/>
      </c>
      <c r="H25" s="1148"/>
    </row>
    <row r="26" spans="1:8" ht="10.5" hidden="1" customHeight="1" outlineLevel="1">
      <c r="A26" s="151" t="str">
        <f>☆入力!B32</f>
        <v/>
      </c>
      <c r="B26" s="151">
        <f>☆入力!C32</f>
        <v>0</v>
      </c>
      <c r="C26" s="151" t="str">
        <f>IFERROR(VLOOKUP(☆入力!G32,選定!$C$3:$AG$100,11,FALSE),"")</f>
        <v/>
      </c>
      <c r="D26" s="316" t="str">
        <f>IFERROR(VLOOKUP(☆入力!G32,選定!$C$3:$AG$100,1,FALSE),"")</f>
        <v/>
      </c>
      <c r="E26" s="152">
        <f>☆入力!L32</f>
        <v>0</v>
      </c>
      <c r="F26" s="150" t="str">
        <f>IFERROR(VLOOKUP(☆入力!G32,選定!$C$3:$AG$100,7,FALSE),"")</f>
        <v/>
      </c>
      <c r="G26" s="1148" t="str">
        <f t="shared" si="0"/>
        <v/>
      </c>
      <c r="H26" s="1148"/>
    </row>
    <row r="27" spans="1:8" ht="10.5" hidden="1" customHeight="1" outlineLevel="1">
      <c r="A27" s="151" t="str">
        <f>☆入力!B33</f>
        <v/>
      </c>
      <c r="B27" s="151">
        <f>☆入力!C33</f>
        <v>0</v>
      </c>
      <c r="C27" s="151" t="str">
        <f>IFERROR(VLOOKUP(☆入力!G33,選定!$C$3:$AG$100,11,FALSE),"")</f>
        <v/>
      </c>
      <c r="D27" s="316" t="str">
        <f>IFERROR(VLOOKUP(☆入力!G33,選定!$C$3:$AG$100,1,FALSE),"")</f>
        <v/>
      </c>
      <c r="E27" s="152">
        <f>☆入力!L33</f>
        <v>0</v>
      </c>
      <c r="F27" s="150" t="str">
        <f>IFERROR(VLOOKUP(☆入力!G33,選定!$C$3:$AG$100,7,FALSE),"")</f>
        <v/>
      </c>
      <c r="G27" s="1148" t="str">
        <f t="shared" si="0"/>
        <v/>
      </c>
      <c r="H27" s="1148"/>
    </row>
    <row r="28" spans="1:8" ht="10.35" hidden="1" customHeight="1" outlineLevel="1">
      <c r="A28" s="151" t="str">
        <f>☆入力!B34</f>
        <v/>
      </c>
      <c r="B28" s="151">
        <f>☆入力!C34</f>
        <v>0</v>
      </c>
      <c r="C28" s="151" t="str">
        <f>IFERROR(VLOOKUP(☆入力!G34,選定!$C$3:$AG$100,11,FALSE),"")</f>
        <v/>
      </c>
      <c r="D28" s="316" t="str">
        <f>IFERROR(VLOOKUP(☆入力!G34,選定!$C$3:$AG$100,1,FALSE),"")</f>
        <v/>
      </c>
      <c r="E28" s="152">
        <f>☆入力!L34</f>
        <v>0</v>
      </c>
      <c r="F28" s="150" t="str">
        <f>IFERROR(VLOOKUP(☆入力!G34,選定!$C$3:$AG$100,7,FALSE),"")</f>
        <v/>
      </c>
      <c r="G28" s="1148" t="str">
        <f t="shared" si="0"/>
        <v/>
      </c>
      <c r="H28" s="1148"/>
    </row>
    <row r="29" spans="1:8" ht="10.5" hidden="1" customHeight="1" outlineLevel="1">
      <c r="A29" s="151" t="str">
        <f>☆入力!B35</f>
        <v/>
      </c>
      <c r="B29" s="151">
        <f>☆入力!C35</f>
        <v>0</v>
      </c>
      <c r="C29" s="151" t="str">
        <f>IFERROR(VLOOKUP(☆入力!G35,選定!$C$3:$AG$100,11,FALSE),"")</f>
        <v/>
      </c>
      <c r="D29" s="316" t="str">
        <f>IFERROR(VLOOKUP(☆入力!G35,選定!$C$3:$AG$100,1,FALSE),"")</f>
        <v/>
      </c>
      <c r="E29" s="152">
        <f>☆入力!L35</f>
        <v>0</v>
      </c>
      <c r="F29" s="150" t="str">
        <f>IFERROR(VLOOKUP(☆入力!G35,選定!$C$3:$AG$100,7,FALSE),"")</f>
        <v/>
      </c>
      <c r="G29" s="1148" t="str">
        <f t="shared" si="0"/>
        <v/>
      </c>
      <c r="H29" s="1148"/>
    </row>
    <row r="30" spans="1:8" ht="10.5" hidden="1" customHeight="1" outlineLevel="1">
      <c r="A30" s="151" t="str">
        <f>☆入力!B36</f>
        <v/>
      </c>
      <c r="B30" s="151">
        <f>☆入力!C36</f>
        <v>0</v>
      </c>
      <c r="C30" s="151" t="str">
        <f>IFERROR(VLOOKUP(☆入力!G36,選定!$C$3:$AG$100,11,FALSE),"")</f>
        <v/>
      </c>
      <c r="D30" s="316" t="str">
        <f>IFERROR(VLOOKUP(☆入力!G36,選定!$C$3:$AG$100,1,FALSE),"")</f>
        <v/>
      </c>
      <c r="E30" s="152">
        <f>☆入力!L36</f>
        <v>0</v>
      </c>
      <c r="F30" s="150" t="str">
        <f>IFERROR(VLOOKUP(☆入力!G36,選定!$C$3:$AG$100,7,FALSE),"")</f>
        <v/>
      </c>
      <c r="G30" s="1148" t="str">
        <f t="shared" si="0"/>
        <v/>
      </c>
      <c r="H30" s="1148"/>
    </row>
    <row r="31" spans="1:8" ht="10.5" hidden="1" customHeight="1" outlineLevel="1">
      <c r="A31" s="151" t="str">
        <f>☆入力!B37</f>
        <v/>
      </c>
      <c r="B31" s="151">
        <f>☆入力!C37</f>
        <v>0</v>
      </c>
      <c r="C31" s="151" t="str">
        <f>IFERROR(VLOOKUP(☆入力!G37,選定!$C$3:$AG$100,11,FALSE),"")</f>
        <v/>
      </c>
      <c r="D31" s="316" t="str">
        <f>IFERROR(VLOOKUP(☆入力!G37,選定!$C$3:$AG$100,1,FALSE),"")</f>
        <v/>
      </c>
      <c r="E31" s="152">
        <f>☆入力!L37</f>
        <v>0</v>
      </c>
      <c r="F31" s="150" t="str">
        <f>IFERROR(VLOOKUP(☆入力!G37,選定!$C$3:$AG$100,7,FALSE),"")</f>
        <v/>
      </c>
      <c r="G31" s="1148" t="str">
        <f t="shared" si="0"/>
        <v/>
      </c>
      <c r="H31" s="1148"/>
    </row>
    <row r="32" spans="1:8" ht="10.5" hidden="1" customHeight="1" outlineLevel="1">
      <c r="A32" s="151" t="str">
        <f>☆入力!B38</f>
        <v/>
      </c>
      <c r="B32" s="151">
        <f>☆入力!C38</f>
        <v>0</v>
      </c>
      <c r="C32" s="151" t="str">
        <f>IFERROR(VLOOKUP(☆入力!G38,選定!$C$3:$AG$100,11,FALSE),"")</f>
        <v/>
      </c>
      <c r="D32" s="316" t="str">
        <f>IFERROR(VLOOKUP(☆入力!G38,選定!$C$3:$AG$100,1,FALSE),"")</f>
        <v/>
      </c>
      <c r="E32" s="152">
        <f>☆入力!L38</f>
        <v>0</v>
      </c>
      <c r="F32" s="150" t="str">
        <f>IFERROR(VLOOKUP(☆入力!G38,選定!$C$3:$AG$100,7,FALSE),"")</f>
        <v/>
      </c>
      <c r="G32" s="1148" t="str">
        <f t="shared" si="0"/>
        <v/>
      </c>
      <c r="H32" s="1148"/>
    </row>
    <row r="33" spans="1:8" ht="10.5" hidden="1" customHeight="1" outlineLevel="1">
      <c r="A33" s="151" t="str">
        <f>☆入力!B39</f>
        <v/>
      </c>
      <c r="B33" s="151">
        <f>☆入力!C39</f>
        <v>0</v>
      </c>
      <c r="C33" s="151" t="str">
        <f>IFERROR(VLOOKUP(☆入力!G39,選定!$C$3:$AG$100,11,FALSE),"")</f>
        <v/>
      </c>
      <c r="D33" s="316" t="str">
        <f>IFERROR(VLOOKUP(☆入力!G39,選定!$C$3:$AG$100,1,FALSE),"")</f>
        <v/>
      </c>
      <c r="E33" s="152">
        <f>☆入力!L39</f>
        <v>0</v>
      </c>
      <c r="F33" s="150" t="str">
        <f>IFERROR(VLOOKUP(☆入力!G39,選定!$C$3:$AG$100,7,FALSE),"")</f>
        <v/>
      </c>
      <c r="G33" s="1148" t="str">
        <f t="shared" si="0"/>
        <v/>
      </c>
      <c r="H33" s="1148"/>
    </row>
    <row r="34" spans="1:8" ht="10.5" hidden="1" customHeight="1" outlineLevel="1">
      <c r="A34" s="153" t="str">
        <f>☆入力!B40</f>
        <v/>
      </c>
      <c r="B34" s="153">
        <f>☆入力!C40</f>
        <v>0</v>
      </c>
      <c r="C34" s="151" t="str">
        <f>IFERROR(VLOOKUP(☆入力!G40,選定!$C$3:$AG$100,11,FALSE),"")</f>
        <v/>
      </c>
      <c r="D34" s="316" t="str">
        <f>IFERROR(VLOOKUP(☆入力!G40,選定!$C$3:$AG$100,1,FALSE),"")</f>
        <v/>
      </c>
      <c r="E34" s="154">
        <f>☆入力!L40</f>
        <v>0</v>
      </c>
      <c r="F34" s="150" t="str">
        <f>IFERROR(VLOOKUP(☆入力!G40,選定!$C$3:$AG$100,7,FALSE),"")</f>
        <v/>
      </c>
      <c r="G34" s="1148" t="str">
        <f t="shared" si="0"/>
        <v/>
      </c>
      <c r="H34" s="1148"/>
    </row>
    <row r="35" spans="1:8" ht="10.5" hidden="1" customHeight="1" outlineLevel="1">
      <c r="A35" s="153" t="str">
        <f>☆入力!B41</f>
        <v/>
      </c>
      <c r="B35" s="153">
        <f>☆入力!C41</f>
        <v>0</v>
      </c>
      <c r="C35" s="151" t="str">
        <f>IFERROR(VLOOKUP(☆入力!G41,選定!$C$3:$AG$100,11,FALSE),"")</f>
        <v/>
      </c>
      <c r="D35" s="316" t="str">
        <f>IFERROR(VLOOKUP(☆入力!G41,選定!$C$3:$AG$100,1,FALSE),"")</f>
        <v/>
      </c>
      <c r="E35" s="154">
        <f>☆入力!L41</f>
        <v>0</v>
      </c>
      <c r="F35" s="150" t="str">
        <f>IFERROR(VLOOKUP(☆入力!G41,選定!$C$3:$AG$100,7,FALSE),"")</f>
        <v/>
      </c>
      <c r="G35" s="1148" t="str">
        <f t="shared" si="0"/>
        <v/>
      </c>
      <c r="H35" s="1148"/>
    </row>
    <row r="36" spans="1:8" ht="10.5" hidden="1" customHeight="1" outlineLevel="1">
      <c r="A36" s="153" t="str">
        <f>☆入力!B42</f>
        <v/>
      </c>
      <c r="B36" s="153">
        <f>☆入力!C42</f>
        <v>0</v>
      </c>
      <c r="C36" s="151" t="str">
        <f>IFERROR(VLOOKUP(☆入力!G42,選定!$C$3:$AG$100,11,FALSE),"")</f>
        <v/>
      </c>
      <c r="D36" s="316" t="str">
        <f>IFERROR(VLOOKUP(☆入力!G42,選定!$C$3:$AG$100,1,FALSE),"")</f>
        <v/>
      </c>
      <c r="E36" s="154">
        <f>☆入力!L42</f>
        <v>0</v>
      </c>
      <c r="F36" s="150" t="str">
        <f>IFERROR(VLOOKUP(☆入力!G42,選定!$C$3:$AG$100,7,FALSE),"")</f>
        <v/>
      </c>
      <c r="G36" s="1148" t="str">
        <f t="shared" si="0"/>
        <v/>
      </c>
      <c r="H36" s="1148"/>
    </row>
    <row r="37" spans="1:8" ht="10.5" hidden="1" customHeight="1" outlineLevel="1">
      <c r="A37" s="153" t="str">
        <f>☆入力!B43</f>
        <v/>
      </c>
      <c r="B37" s="153">
        <f>☆入力!C43</f>
        <v>0</v>
      </c>
      <c r="C37" s="151" t="str">
        <f>IFERROR(VLOOKUP(☆入力!G43,選定!$C$3:$AG$100,11,FALSE),"")</f>
        <v/>
      </c>
      <c r="D37" s="316" t="str">
        <f>IFERROR(VLOOKUP(☆入力!G43,選定!$C$3:$AG$100,1,FALSE),"")</f>
        <v/>
      </c>
      <c r="E37" s="154">
        <f>☆入力!L43</f>
        <v>0</v>
      </c>
      <c r="F37" s="150" t="str">
        <f>IFERROR(VLOOKUP(☆入力!G43,選定!$C$3:$AG$100,7,FALSE),"")</f>
        <v/>
      </c>
      <c r="G37" s="1148" t="str">
        <f t="shared" si="0"/>
        <v/>
      </c>
      <c r="H37" s="1148"/>
    </row>
    <row r="38" spans="1:8" ht="10.5" hidden="1" customHeight="1" outlineLevel="1">
      <c r="A38" s="153" t="str">
        <f>☆入力!B44</f>
        <v/>
      </c>
      <c r="B38" s="153">
        <f>☆入力!C44</f>
        <v>0</v>
      </c>
      <c r="C38" s="151" t="str">
        <f>IFERROR(VLOOKUP(☆入力!G44,選定!$C$3:$AG$100,11,FALSE),"")</f>
        <v/>
      </c>
      <c r="D38" s="316" t="str">
        <f>IFERROR(VLOOKUP(☆入力!G44,選定!$C$3:$AG$100,1,FALSE),"")</f>
        <v/>
      </c>
      <c r="E38" s="154">
        <f>☆入力!L44</f>
        <v>0</v>
      </c>
      <c r="F38" s="150" t="str">
        <f>IFERROR(VLOOKUP(☆入力!G44,選定!$C$3:$AG$100,7,FALSE),"")</f>
        <v/>
      </c>
      <c r="G38" s="1148" t="str">
        <f t="shared" si="0"/>
        <v/>
      </c>
      <c r="H38" s="1148"/>
    </row>
    <row r="39" spans="1:8" ht="10.5" hidden="1" customHeight="1" outlineLevel="1">
      <c r="A39" s="153" t="str">
        <f>☆入力!B45</f>
        <v/>
      </c>
      <c r="B39" s="153">
        <f>☆入力!C45</f>
        <v>0</v>
      </c>
      <c r="C39" s="159" t="str">
        <f>IFERROR(VLOOKUP(☆入力!G45,選定!$C$3:$AG$100,11,FALSE),"")</f>
        <v/>
      </c>
      <c r="D39" s="316" t="str">
        <f>IFERROR(VLOOKUP(☆入力!G45,選定!$C$3:$AG$100,1,FALSE),"")</f>
        <v/>
      </c>
      <c r="E39" s="154">
        <f>☆入力!L45</f>
        <v>0</v>
      </c>
      <c r="F39" s="150" t="str">
        <f>IFERROR(VLOOKUP(☆入力!G45,選定!$C$3:$AG$100,7,FALSE),"")</f>
        <v/>
      </c>
      <c r="G39" s="1148" t="str">
        <f t="shared" si="0"/>
        <v/>
      </c>
      <c r="H39" s="1148"/>
    </row>
    <row r="40" spans="1:8" ht="10.5" customHeight="1" collapsed="1">
      <c r="A40" s="1160" t="s">
        <v>381</v>
      </c>
      <c r="B40" s="1161"/>
      <c r="C40" s="1161"/>
      <c r="D40" s="1162"/>
      <c r="E40" s="155">
        <v>1</v>
      </c>
      <c r="F40" s="156"/>
      <c r="G40" s="1163">
        <f>SUM(G10:H39)</f>
        <v>0</v>
      </c>
      <c r="H40" s="1164"/>
    </row>
    <row r="41" spans="1:8" ht="10.5" customHeight="1">
      <c r="A41" s="1149" t="s">
        <v>396</v>
      </c>
      <c r="B41" s="1150"/>
      <c r="C41" s="1150"/>
      <c r="D41" s="1151"/>
      <c r="E41" s="157">
        <v>1</v>
      </c>
      <c r="F41" s="158"/>
      <c r="G41" s="1152">
        <f ca="1">(☆入力!AL14+代理店入力用!D5)-SUM(G40,G46:H54)</f>
        <v>-28000</v>
      </c>
      <c r="H41" s="1153"/>
    </row>
    <row r="42" spans="1:8" ht="10.5" customHeight="1">
      <c r="A42" s="1149" t="str">
        <f>"複数棟キャンペーン割引（ "&amp;TEXT(☆入力!AR11,"0%")&amp;" ＯＦＦ）"</f>
        <v>複数棟キャンペーン割引（ 0% ＯＦＦ）</v>
      </c>
      <c r="B42" s="1150"/>
      <c r="C42" s="1150"/>
      <c r="D42" s="1151"/>
      <c r="E42" s="157">
        <v>1</v>
      </c>
      <c r="F42" s="158"/>
      <c r="G42" s="1152">
        <f ca="1">-(☆入力!AL14*☆入力!AR11)</f>
        <v>0</v>
      </c>
      <c r="H42" s="1153"/>
    </row>
    <row r="43" spans="1:8" ht="10.5" customHeight="1" thickBot="1">
      <c r="A43" s="116"/>
      <c r="B43" s="116"/>
      <c r="C43" s="116"/>
      <c r="D43" s="117"/>
      <c r="E43" s="118"/>
      <c r="F43" s="122" t="s">
        <v>397</v>
      </c>
      <c r="G43" s="1126">
        <f ca="1">SUM(G40:H42)</f>
        <v>-28000</v>
      </c>
      <c r="H43" s="1126"/>
    </row>
    <row r="44" spans="1:8" ht="10.5" customHeight="1" thickTop="1">
      <c r="A44" s="112"/>
      <c r="B44" s="112"/>
      <c r="C44" s="112"/>
      <c r="D44" s="113"/>
      <c r="E44" s="114"/>
      <c r="F44" s="114"/>
      <c r="G44" s="115"/>
      <c r="H44" s="115"/>
    </row>
    <row r="45" spans="1:8" ht="10.5" customHeight="1">
      <c r="A45" s="1154" t="s">
        <v>398</v>
      </c>
      <c r="B45" s="1155"/>
      <c r="C45" s="1155"/>
      <c r="D45" s="1156"/>
      <c r="E45" s="473" t="s">
        <v>211</v>
      </c>
      <c r="F45" s="473" t="s">
        <v>380</v>
      </c>
      <c r="G45" s="1147" t="s">
        <v>381</v>
      </c>
      <c r="H45" s="1147"/>
    </row>
    <row r="46" spans="1:8" ht="10.5" customHeight="1">
      <c r="A46" s="1157" t="s">
        <v>399</v>
      </c>
      <c r="B46" s="1158"/>
      <c r="C46" s="1158"/>
      <c r="D46" s="1159"/>
      <c r="E46" s="150">
        <f>VLOOKUP(☆入力!L14,LED計算式!M21:N26,2,TRUE)</f>
        <v>1</v>
      </c>
      <c r="F46" s="150">
        <v>20000</v>
      </c>
      <c r="G46" s="1148">
        <f t="shared" ref="G46:G47" si="1">IFERROR(F46*E46,"")</f>
        <v>20000</v>
      </c>
      <c r="H46" s="1148"/>
    </row>
    <row r="47" spans="1:8" ht="10.35" customHeight="1">
      <c r="A47" s="1117" t="s">
        <v>400</v>
      </c>
      <c r="B47" s="1118"/>
      <c r="C47" s="1118"/>
      <c r="D47" s="1119"/>
      <c r="E47" s="152">
        <f>LED計算式!O36</f>
        <v>0</v>
      </c>
      <c r="F47" s="152">
        <v>3000</v>
      </c>
      <c r="G47" s="1116">
        <f t="shared" si="1"/>
        <v>0</v>
      </c>
      <c r="H47" s="1116"/>
    </row>
    <row r="48" spans="1:8" ht="10.35" hidden="1" customHeight="1" outlineLevel="1">
      <c r="A48" s="1117" t="s">
        <v>401</v>
      </c>
      <c r="B48" s="1118"/>
      <c r="C48" s="1118"/>
      <c r="D48" s="1119"/>
      <c r="E48" s="152">
        <f>LED計算式!O37</f>
        <v>0</v>
      </c>
      <c r="F48" s="152">
        <v>4500</v>
      </c>
      <c r="G48" s="1116">
        <f t="shared" ref="G48:G54" si="2">IFERROR(F48*E48,"")</f>
        <v>0</v>
      </c>
      <c r="H48" s="1116"/>
    </row>
    <row r="49" spans="1:9" ht="10.35" hidden="1" customHeight="1" outlineLevel="1">
      <c r="A49" s="1117" t="s">
        <v>402</v>
      </c>
      <c r="B49" s="1118"/>
      <c r="C49" s="1118"/>
      <c r="D49" s="1119"/>
      <c r="E49" s="152">
        <f>LED計算式!O38</f>
        <v>0</v>
      </c>
      <c r="F49" s="152">
        <v>2000</v>
      </c>
      <c r="G49" s="1116">
        <f t="shared" si="2"/>
        <v>0</v>
      </c>
      <c r="H49" s="1116"/>
    </row>
    <row r="50" spans="1:9" ht="10.35" hidden="1" customHeight="1" outlineLevel="1">
      <c r="A50" s="1117" t="s">
        <v>403</v>
      </c>
      <c r="B50" s="1118"/>
      <c r="C50" s="1118"/>
      <c r="D50" s="1119"/>
      <c r="E50" s="152">
        <f>LED計算式!O39</f>
        <v>0</v>
      </c>
      <c r="F50" s="152">
        <v>600</v>
      </c>
      <c r="G50" s="1116">
        <f t="shared" si="2"/>
        <v>0</v>
      </c>
      <c r="H50" s="1116"/>
    </row>
    <row r="51" spans="1:9" ht="10.5" customHeight="1" collapsed="1">
      <c r="A51" s="1117" t="s">
        <v>404</v>
      </c>
      <c r="B51" s="1118"/>
      <c r="C51" s="1118"/>
      <c r="D51" s="1119"/>
      <c r="E51" s="152">
        <f>COUNTA(☆入力!AG16:AG45)</f>
        <v>1</v>
      </c>
      <c r="F51" s="152">
        <v>3000</v>
      </c>
      <c r="G51" s="1116">
        <f t="shared" si="2"/>
        <v>3000</v>
      </c>
      <c r="H51" s="1116"/>
    </row>
    <row r="52" spans="1:9" ht="10.5" customHeight="1">
      <c r="A52" s="1117" t="s">
        <v>405</v>
      </c>
      <c r="B52" s="1118"/>
      <c r="C52" s="1118"/>
      <c r="D52" s="1119"/>
      <c r="E52" s="152">
        <f>SUM(E47:E49)</f>
        <v>0</v>
      </c>
      <c r="F52" s="152">
        <v>1000</v>
      </c>
      <c r="G52" s="1116">
        <f t="shared" si="2"/>
        <v>0</v>
      </c>
      <c r="H52" s="1116"/>
    </row>
    <row r="53" spans="1:9" ht="10.5" customHeight="1">
      <c r="A53" s="1117" t="s">
        <v>406</v>
      </c>
      <c r="B53" s="1118"/>
      <c r="C53" s="1118"/>
      <c r="D53" s="1119"/>
      <c r="E53" s="152">
        <f>COUNTA(☆入力!AG16:AG45)</f>
        <v>1</v>
      </c>
      <c r="F53" s="152">
        <v>5000</v>
      </c>
      <c r="G53" s="1116">
        <f t="shared" si="2"/>
        <v>5000</v>
      </c>
      <c r="H53" s="1116"/>
    </row>
    <row r="54" spans="1:9" ht="10.5" customHeight="1">
      <c r="A54" s="1121">
        <f>☆入力!AH12</f>
        <v>0</v>
      </c>
      <c r="B54" s="1122"/>
      <c r="C54" s="1122"/>
      <c r="D54" s="1123"/>
      <c r="E54" s="160" t="str">
        <f>IF(☆入力!AH12&lt;&gt;"","1","")</f>
        <v/>
      </c>
      <c r="F54" s="161">
        <f>☆入力!AJ12</f>
        <v>0</v>
      </c>
      <c r="G54" s="1116" t="str">
        <f t="shared" si="2"/>
        <v/>
      </c>
      <c r="H54" s="1116"/>
    </row>
    <row r="55" spans="1:9" ht="10.5" customHeight="1" thickBot="1">
      <c r="A55" s="1547"/>
      <c r="B55" s="1547"/>
      <c r="C55" s="1547"/>
      <c r="D55" s="1547"/>
      <c r="E55" s="105"/>
      <c r="F55" s="122" t="s">
        <v>407</v>
      </c>
      <c r="G55" s="1126">
        <f>SUM(G46:H54)</f>
        <v>28000</v>
      </c>
      <c r="H55" s="1126"/>
    </row>
    <row r="56" spans="1:9" ht="12.75" thickTop="1">
      <c r="A56" s="1120" t="s">
        <v>384</v>
      </c>
      <c r="B56" s="1120"/>
      <c r="C56" s="1120"/>
      <c r="D56" s="1120"/>
      <c r="E56" s="105"/>
      <c r="F56" s="105"/>
      <c r="G56" s="105"/>
      <c r="H56" s="105"/>
    </row>
    <row r="57" spans="1:9" ht="10.35" customHeight="1" thickBot="1">
      <c r="A57" s="1138" t="str">
        <f>☆入力!AH4</f>
        <v>生産終了品などがあった場合、同メーカーもしくは他メーカーの同等品に変更される場合がございます。</v>
      </c>
      <c r="B57" s="1139"/>
      <c r="C57" s="1139"/>
      <c r="D57" s="1140"/>
      <c r="E57" s="105"/>
      <c r="F57" s="119" t="s">
        <v>408</v>
      </c>
      <c r="G57" s="1127">
        <f ca="1">ROUNDDOWN(G43+G55,0)</f>
        <v>0</v>
      </c>
      <c r="H57" s="1127"/>
    </row>
    <row r="58" spans="1:9" ht="10.35" customHeight="1" thickTop="1" thickBot="1">
      <c r="A58" s="1141"/>
      <c r="B58" s="1142"/>
      <c r="C58" s="1142"/>
      <c r="D58" s="1143"/>
    </row>
    <row r="59" spans="1:9" ht="10.35" customHeight="1">
      <c r="A59" s="1141">
        <f>☆入力!AH5</f>
        <v>0</v>
      </c>
      <c r="B59" s="1142"/>
      <c r="C59" s="1142"/>
      <c r="D59" s="1143"/>
      <c r="F59" s="1136" t="s">
        <v>409</v>
      </c>
      <c r="G59" s="1128">
        <f ca="1">VLOOKUP(F59,J11:K12,2,FALSE)</f>
        <v>0</v>
      </c>
      <c r="H59" s="1129"/>
    </row>
    <row r="60" spans="1:9" ht="10.35" customHeight="1" thickBot="1">
      <c r="A60" s="1141"/>
      <c r="B60" s="1142"/>
      <c r="C60" s="1142"/>
      <c r="D60" s="1143"/>
      <c r="F60" s="1137"/>
      <c r="G60" s="1130"/>
      <c r="H60" s="1131"/>
    </row>
    <row r="61" spans="1:9" ht="10.35" customHeight="1">
      <c r="A61" s="1141">
        <f>☆入力!AH6</f>
        <v>0</v>
      </c>
      <c r="B61" s="1142"/>
      <c r="C61" s="1142"/>
      <c r="D61" s="1143"/>
      <c r="F61" s="1132" t="s">
        <v>369</v>
      </c>
      <c r="G61" s="1134">
        <f ca="1">VLOOKUP(F61,J9:K10,2,FALSE)</f>
        <v>0</v>
      </c>
      <c r="H61" s="1124" t="s">
        <v>410</v>
      </c>
    </row>
    <row r="62" spans="1:9" ht="10.35" customHeight="1" thickBot="1">
      <c r="A62" s="1144"/>
      <c r="B62" s="1145"/>
      <c r="C62" s="1145"/>
      <c r="D62" s="1146"/>
      <c r="F62" s="1133"/>
      <c r="G62" s="1135"/>
      <c r="H62" s="1125"/>
    </row>
    <row r="63" spans="1:9" ht="18" customHeight="1">
      <c r="F63" s="231" t="s">
        <v>411</v>
      </c>
      <c r="I63" s="383" t="s">
        <v>377</v>
      </c>
    </row>
    <row r="64" spans="1:9" ht="10.15" customHeight="1"/>
    <row r="65" ht="10.15" customHeight="1"/>
    <row r="66" ht="10.15" customHeight="1"/>
    <row r="67" ht="10.15" customHeight="1"/>
  </sheetData>
  <mergeCells count="75">
    <mergeCell ref="G35:H35"/>
    <mergeCell ref="G36:H36"/>
    <mergeCell ref="G37:H37"/>
    <mergeCell ref="G38:H38"/>
    <mergeCell ref="G39:H39"/>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19:H19"/>
    <mergeCell ref="G20:H20"/>
    <mergeCell ref="G21:H21"/>
    <mergeCell ref="G22:H22"/>
    <mergeCell ref="G23:H23"/>
    <mergeCell ref="G24:H24"/>
    <mergeCell ref="G25:H25"/>
    <mergeCell ref="G26:H26"/>
    <mergeCell ref="G27:H27"/>
    <mergeCell ref="G28:H28"/>
    <mergeCell ref="G29:H29"/>
    <mergeCell ref="G31:H31"/>
    <mergeCell ref="G32:H32"/>
    <mergeCell ref="G33:H33"/>
    <mergeCell ref="G34:H34"/>
    <mergeCell ref="G30:H30"/>
    <mergeCell ref="A40:D40"/>
    <mergeCell ref="G40:H40"/>
    <mergeCell ref="A41:D41"/>
    <mergeCell ref="G41:H41"/>
    <mergeCell ref="G43:H43"/>
    <mergeCell ref="G45:H45"/>
    <mergeCell ref="G46:H46"/>
    <mergeCell ref="A42:D42"/>
    <mergeCell ref="G42:H42"/>
    <mergeCell ref="A45:D45"/>
    <mergeCell ref="A46:D46"/>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7:H47"/>
    <mergeCell ref="G51:H51"/>
    <mergeCell ref="G52:H52"/>
    <mergeCell ref="A47:D47"/>
    <mergeCell ref="A51:D51"/>
    <mergeCell ref="A52:D52"/>
    <mergeCell ref="G48:H48"/>
    <mergeCell ref="G49:H49"/>
    <mergeCell ref="G50:H50"/>
    <mergeCell ref="A48:D48"/>
    <mergeCell ref="A49:D49"/>
    <mergeCell ref="A50:D50"/>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77" t="s">
        <v>364</v>
      </c>
      <c r="B1" s="1077"/>
      <c r="C1" s="1077"/>
      <c r="F1" s="76" t="s">
        <v>365</v>
      </c>
      <c r="G1" s="77">
        <f ca="1">TODAY()</f>
        <v>46119</v>
      </c>
    </row>
    <row r="2" spans="1:10" ht="15" customHeight="1">
      <c r="A2" s="1077"/>
      <c r="B2" s="1077"/>
      <c r="C2" s="1077"/>
      <c r="F2" s="76"/>
      <c r="G2" s="78"/>
    </row>
    <row r="3" spans="1:10" ht="15" customHeight="1">
      <c r="A3" s="1100">
        <f>☆入力!C5</f>
        <v>0</v>
      </c>
      <c r="B3" s="1100"/>
      <c r="C3" s="1100"/>
    </row>
    <row r="4" spans="1:10" ht="15" customHeight="1">
      <c r="A4" s="1101"/>
      <c r="B4" s="1101"/>
      <c r="C4" s="1101"/>
      <c r="E4" s="1095" t="str">
        <f>IF(代理店入力用!N3="",①表紙!I25,代理店入力用!N3)</f>
        <v>株式会社スマイルサポート</v>
      </c>
      <c r="F4" s="1095"/>
      <c r="G4" s="1095"/>
    </row>
    <row r="5" spans="1:10" ht="15" customHeight="1">
      <c r="E5" s="1096" t="str">
        <f>IF(代理店入力用!N5="",①表紙!I26,①表紙!A26)</f>
        <v>〒305-0046茨城県つくば市東2-10-14</v>
      </c>
      <c r="F5" s="1096"/>
      <c r="G5" s="1096"/>
    </row>
    <row r="6" spans="1:10" ht="15" customHeight="1">
      <c r="A6" s="105" t="s">
        <v>366</v>
      </c>
      <c r="E6" s="1096" t="str">
        <f>IF(代理店入力用!N6="",①表紙!I27,①表紙!A27)</f>
        <v>TEL：　029-860-5211</v>
      </c>
      <c r="F6" s="1096"/>
      <c r="G6" s="1096"/>
    </row>
    <row r="7" spans="1:10" ht="15" customHeight="1">
      <c r="A7" s="105" t="s">
        <v>394</v>
      </c>
    </row>
    <row r="8" spans="1:10" ht="6" customHeight="1"/>
    <row r="9" spans="1:10" ht="10.5" customHeight="1">
      <c r="A9" s="473" t="s">
        <v>378</v>
      </c>
      <c r="B9" s="473" t="s">
        <v>105</v>
      </c>
      <c r="C9" s="473" t="s">
        <v>315</v>
      </c>
      <c r="D9" s="473" t="s">
        <v>38</v>
      </c>
      <c r="E9" s="473" t="s">
        <v>395</v>
      </c>
      <c r="F9" s="1147" t="s">
        <v>381</v>
      </c>
      <c r="G9" s="1147"/>
      <c r="I9" s="379" t="s">
        <v>369</v>
      </c>
      <c r="J9" s="382">
        <f ca="1">ROUNDDOWN(F56/54,0)</f>
        <v>0</v>
      </c>
    </row>
    <row r="10" spans="1:10" ht="10.5" customHeight="1">
      <c r="A10" s="148">
        <v>1</v>
      </c>
      <c r="B10" s="149" t="str">
        <f>IFERROR(VLOOKUP(☆入力!G16,選定!$C$3:$AG$100,11,FALSE),"")</f>
        <v/>
      </c>
      <c r="C10" s="316" t="str">
        <f>IFERROR(VLOOKUP(☆入力!G16,選定!$C$3:$AG$100,1,FALSE),"")</f>
        <v/>
      </c>
      <c r="D10" s="150">
        <f>☆入力!L16</f>
        <v>0</v>
      </c>
      <c r="E10" s="150" t="str">
        <f>IFERROR(VLOOKUP(☆入力!G16,選定!$C$3:$AG$100,7,FALSE),"")</f>
        <v/>
      </c>
      <c r="F10" s="1148" t="str">
        <f>IFERROR(E10*D10,"")</f>
        <v/>
      </c>
      <c r="G10" s="1148"/>
      <c r="I10" s="379" t="s">
        <v>372</v>
      </c>
      <c r="J10" s="382">
        <f ca="1">J9*1.1</f>
        <v>0</v>
      </c>
    </row>
    <row r="11" spans="1:10" ht="10.5" customHeight="1">
      <c r="A11" s="151">
        <v>2</v>
      </c>
      <c r="B11" s="151" t="str">
        <f>IFERROR(VLOOKUP(☆入力!G17,選定!$C$3:$AG$100,11,FALSE),"")</f>
        <v/>
      </c>
      <c r="C11" s="316" t="str">
        <f>IFERROR(VLOOKUP(☆入力!G17,選定!$C$3:$AG$100,1,FALSE),"")</f>
        <v/>
      </c>
      <c r="D11" s="152">
        <f>☆入力!L17</f>
        <v>0</v>
      </c>
      <c r="E11" s="150" t="str">
        <f>IFERROR(VLOOKUP(☆入力!G17,選定!$C$3:$AG$100,7,FALSE),"")</f>
        <v/>
      </c>
      <c r="F11" s="1165" t="str">
        <f t="shared" ref="F11:F39" si="0">IFERROR(E11*D11,"")</f>
        <v/>
      </c>
      <c r="G11" s="1166"/>
      <c r="I11" s="27" t="s">
        <v>375</v>
      </c>
      <c r="J11" s="382">
        <f ca="1">F56</f>
        <v>0</v>
      </c>
    </row>
    <row r="12" spans="1:10" ht="10.5" customHeight="1">
      <c r="A12" s="151">
        <v>3</v>
      </c>
      <c r="B12" s="151" t="str">
        <f>IFERROR(VLOOKUP(☆入力!G18,選定!$C$3:$AG$100,11,FALSE),"")</f>
        <v/>
      </c>
      <c r="C12" s="316" t="str">
        <f>IFERROR(VLOOKUP(☆入力!G18,選定!$C$3:$AG$100,1,FALSE),"")</f>
        <v/>
      </c>
      <c r="D12" s="152">
        <f>☆入力!L18</f>
        <v>0</v>
      </c>
      <c r="E12" s="150" t="str">
        <f>IFERROR(VLOOKUP(☆入力!G18,選定!$C$3:$AG$100,7,FALSE),"")</f>
        <v/>
      </c>
      <c r="F12" s="1165" t="str">
        <f t="shared" si="0"/>
        <v/>
      </c>
      <c r="G12" s="1166"/>
      <c r="I12" s="27" t="s">
        <v>376</v>
      </c>
      <c r="J12" s="382">
        <f ca="1">J11*1.1</f>
        <v>0</v>
      </c>
    </row>
    <row r="13" spans="1:10" ht="10.5" customHeight="1">
      <c r="A13" s="151">
        <v>4</v>
      </c>
      <c r="B13" s="151" t="str">
        <f>IFERROR(VLOOKUP(☆入力!G19,選定!$C$3:$AG$100,11,FALSE),"")</f>
        <v/>
      </c>
      <c r="C13" s="317" t="str">
        <f>IFERROR(VLOOKUP(☆入力!G19,選定!$C$3:$AG$100,1,FALSE),"")</f>
        <v/>
      </c>
      <c r="D13" s="152">
        <f>☆入力!L19</f>
        <v>0</v>
      </c>
      <c r="E13" s="150" t="str">
        <f>IFERROR(VLOOKUP(☆入力!G19,選定!$C$3:$AG$100,7,FALSE),"")</f>
        <v/>
      </c>
      <c r="F13" s="1170" t="str">
        <f t="shared" si="0"/>
        <v/>
      </c>
      <c r="G13" s="1171"/>
    </row>
    <row r="14" spans="1:10" ht="10.5" customHeight="1">
      <c r="A14" s="151">
        <v>5</v>
      </c>
      <c r="B14" s="151" t="str">
        <f>IFERROR(VLOOKUP(☆入力!G20,選定!$C$3:$AG$100,11,FALSE),"")</f>
        <v/>
      </c>
      <c r="C14" s="317" t="str">
        <f>IFERROR(VLOOKUP(☆入力!G20,選定!$C$3:$AG$100,1,FALSE),"")</f>
        <v/>
      </c>
      <c r="D14" s="152">
        <f>☆入力!L20</f>
        <v>0</v>
      </c>
      <c r="E14" s="150" t="str">
        <f>IFERROR(VLOOKUP(☆入力!G20,選定!$C$3:$AG$100,7,FALSE),"")</f>
        <v/>
      </c>
      <c r="F14" s="1170" t="str">
        <f t="shared" si="0"/>
        <v/>
      </c>
      <c r="G14" s="1171"/>
    </row>
    <row r="15" spans="1:10" ht="10.5" customHeight="1">
      <c r="A15" s="151">
        <v>6</v>
      </c>
      <c r="B15" s="151" t="str">
        <f>IFERROR(VLOOKUP(☆入力!G21,選定!$C$3:$AG$100,11,FALSE),"")</f>
        <v/>
      </c>
      <c r="C15" s="317" t="str">
        <f>IFERROR(VLOOKUP(☆入力!G21,選定!$C$3:$AG$100,1,FALSE),"")</f>
        <v/>
      </c>
      <c r="D15" s="152">
        <f>☆入力!L21</f>
        <v>0</v>
      </c>
      <c r="E15" s="150" t="str">
        <f>IFERROR(VLOOKUP(☆入力!G21,選定!$C$3:$AG$100,7,FALSE),"")</f>
        <v/>
      </c>
      <c r="F15" s="1170" t="str">
        <f t="shared" si="0"/>
        <v/>
      </c>
      <c r="G15" s="1171"/>
    </row>
    <row r="16" spans="1:10" ht="10.5" customHeight="1">
      <c r="A16" s="151">
        <v>7</v>
      </c>
      <c r="B16" s="151" t="str">
        <f>IFERROR(VLOOKUP(☆入力!G22,選定!$C$3:$AG$100,11,FALSE),"")</f>
        <v/>
      </c>
      <c r="C16" s="317" t="str">
        <f>IFERROR(VLOOKUP(☆入力!G22,選定!$C$3:$AG$100,1,FALSE),"")</f>
        <v/>
      </c>
      <c r="D16" s="152">
        <f>☆入力!L22</f>
        <v>0</v>
      </c>
      <c r="E16" s="150" t="str">
        <f>IFERROR(VLOOKUP(☆入力!G22,選定!$C$3:$AG$100,7,FALSE),"")</f>
        <v/>
      </c>
      <c r="F16" s="1170" t="str">
        <f t="shared" si="0"/>
        <v/>
      </c>
      <c r="G16" s="1171"/>
    </row>
    <row r="17" spans="1:7" ht="10.5" customHeight="1">
      <c r="A17" s="151">
        <v>8</v>
      </c>
      <c r="B17" s="151" t="str">
        <f>IFERROR(VLOOKUP(☆入力!G23,選定!$C$3:$AG$100,11,FALSE),"")</f>
        <v/>
      </c>
      <c r="C17" s="317" t="str">
        <f>IFERROR(VLOOKUP(☆入力!G23,選定!$C$3:$AG$100,1,FALSE),"")</f>
        <v/>
      </c>
      <c r="D17" s="152">
        <f>☆入力!L23</f>
        <v>0</v>
      </c>
      <c r="E17" s="150" t="str">
        <f>IFERROR(VLOOKUP(☆入力!G23,選定!$C$3:$AG$100,7,FALSE),"")</f>
        <v/>
      </c>
      <c r="F17" s="1170" t="str">
        <f t="shared" si="0"/>
        <v/>
      </c>
      <c r="G17" s="1171"/>
    </row>
    <row r="18" spans="1:7" ht="10.5" customHeight="1">
      <c r="A18" s="151">
        <v>9</v>
      </c>
      <c r="B18" s="151" t="str">
        <f>IFERROR(VLOOKUP(☆入力!G24,選定!$C$3:$AG$100,11,FALSE),"")</f>
        <v/>
      </c>
      <c r="C18" s="317" t="str">
        <f>IFERROR(VLOOKUP(☆入力!G24,選定!$C$3:$AG$100,1,FALSE),"")</f>
        <v/>
      </c>
      <c r="D18" s="152">
        <f>☆入力!L24</f>
        <v>0</v>
      </c>
      <c r="E18" s="150" t="str">
        <f>IFERROR(VLOOKUP(☆入力!G24,選定!$C$3:$AG$100,7,FALSE),"")</f>
        <v/>
      </c>
      <c r="F18" s="1170" t="str">
        <f t="shared" si="0"/>
        <v/>
      </c>
      <c r="G18" s="1171"/>
    </row>
    <row r="19" spans="1:7" ht="10.5" customHeight="1">
      <c r="A19" s="151">
        <v>10</v>
      </c>
      <c r="B19" s="151" t="str">
        <f>IFERROR(VLOOKUP(☆入力!G25,選定!$C$3:$AG$100,11,FALSE),"")</f>
        <v/>
      </c>
      <c r="C19" s="317" t="str">
        <f>IFERROR(VLOOKUP(☆入力!G25,選定!$C$3:$AG$100,1,FALSE),"")</f>
        <v/>
      </c>
      <c r="D19" s="152">
        <f>☆入力!L25</f>
        <v>0</v>
      </c>
      <c r="E19" s="150" t="str">
        <f>IFERROR(VLOOKUP(☆入力!G25,選定!$C$3:$AG$100,7,FALSE),"")</f>
        <v/>
      </c>
      <c r="F19" s="1170" t="str">
        <f t="shared" si="0"/>
        <v/>
      </c>
      <c r="G19" s="1171"/>
    </row>
    <row r="20" spans="1:7" ht="10.5" customHeight="1">
      <c r="A20" s="151">
        <v>11</v>
      </c>
      <c r="B20" s="151" t="str">
        <f>IFERROR(VLOOKUP(☆入力!G26,選定!$C$3:$AG$100,11,FALSE),"")</f>
        <v/>
      </c>
      <c r="C20" s="317" t="str">
        <f>IFERROR(VLOOKUP(☆入力!G26,選定!$C$3:$AG$100,1,FALSE),"")</f>
        <v/>
      </c>
      <c r="D20" s="152">
        <f>☆入力!L26</f>
        <v>0</v>
      </c>
      <c r="E20" s="150" t="str">
        <f>IFERROR(VLOOKUP(☆入力!G26,選定!$C$3:$AG$100,7,FALSE),"")</f>
        <v/>
      </c>
      <c r="F20" s="1170" t="str">
        <f t="shared" si="0"/>
        <v/>
      </c>
      <c r="G20" s="1171"/>
    </row>
    <row r="21" spans="1:7" ht="10.5" customHeight="1">
      <c r="A21" s="151">
        <v>12</v>
      </c>
      <c r="B21" s="151" t="str">
        <f>IFERROR(VLOOKUP(☆入力!G27,選定!$C$3:$AG$100,11,FALSE),"")</f>
        <v/>
      </c>
      <c r="C21" s="317" t="str">
        <f>IFERROR(VLOOKUP(☆入力!G27,選定!$C$3:$AG$100,1,FALSE),"")</f>
        <v/>
      </c>
      <c r="D21" s="152">
        <f>☆入力!L27</f>
        <v>0</v>
      </c>
      <c r="E21" s="150" t="str">
        <f>IFERROR(VLOOKUP(☆入力!G27,選定!$C$3:$AG$100,7,FALSE),"")</f>
        <v/>
      </c>
      <c r="F21" s="1170" t="str">
        <f t="shared" si="0"/>
        <v/>
      </c>
      <c r="G21" s="1171"/>
    </row>
    <row r="22" spans="1:7" ht="10.5" customHeight="1">
      <c r="A22" s="151">
        <v>13</v>
      </c>
      <c r="B22" s="151" t="str">
        <f>IFERROR(VLOOKUP(☆入力!G28,選定!$C$3:$AG$100,11,FALSE),"")</f>
        <v/>
      </c>
      <c r="C22" s="317" t="str">
        <f>IFERROR(VLOOKUP(☆入力!G28,選定!$C$3:$AG$100,1,FALSE),"")</f>
        <v/>
      </c>
      <c r="D22" s="152">
        <f>☆入力!L28</f>
        <v>0</v>
      </c>
      <c r="E22" s="150" t="str">
        <f>IFERROR(VLOOKUP(☆入力!G28,選定!$C$3:$AG$100,7,FALSE),"")</f>
        <v/>
      </c>
      <c r="F22" s="1170" t="str">
        <f t="shared" si="0"/>
        <v/>
      </c>
      <c r="G22" s="1171"/>
    </row>
    <row r="23" spans="1:7" ht="10.5" customHeight="1">
      <c r="A23" s="151">
        <v>14</v>
      </c>
      <c r="B23" s="151" t="str">
        <f>IFERROR(VLOOKUP(☆入力!G29,選定!$C$3:$AG$100,11,FALSE),"")</f>
        <v/>
      </c>
      <c r="C23" s="317" t="str">
        <f>IFERROR(VLOOKUP(☆入力!G29,選定!$C$3:$AG$100,1,FALSE),"")</f>
        <v/>
      </c>
      <c r="D23" s="152">
        <f>☆入力!L29</f>
        <v>0</v>
      </c>
      <c r="E23" s="150" t="str">
        <f>IFERROR(VLOOKUP(☆入力!G29,選定!$C$3:$AG$100,7,FALSE),"")</f>
        <v/>
      </c>
      <c r="F23" s="1170" t="str">
        <f t="shared" si="0"/>
        <v/>
      </c>
      <c r="G23" s="1171"/>
    </row>
    <row r="24" spans="1:7" ht="10.5" customHeight="1">
      <c r="A24" s="151">
        <v>15</v>
      </c>
      <c r="B24" s="151" t="str">
        <f>IFERROR(VLOOKUP(☆入力!G30,選定!$C$3:$AG$100,11,FALSE),"")</f>
        <v/>
      </c>
      <c r="C24" s="317" t="str">
        <f>IFERROR(VLOOKUP(☆入力!G30,選定!$C$3:$AG$100,1,FALSE),"")</f>
        <v/>
      </c>
      <c r="D24" s="152">
        <f>☆入力!L30</f>
        <v>0</v>
      </c>
      <c r="E24" s="150" t="str">
        <f>IFERROR(VLOOKUP(☆入力!G30,選定!$C$3:$AG$100,7,FALSE),"")</f>
        <v/>
      </c>
      <c r="F24" s="1170" t="str">
        <f t="shared" si="0"/>
        <v/>
      </c>
      <c r="G24" s="1171"/>
    </row>
    <row r="25" spans="1:7" ht="10.5" hidden="1" customHeight="1" outlineLevel="1">
      <c r="A25" s="151">
        <v>16</v>
      </c>
      <c r="B25" s="151" t="str">
        <f>IFERROR(VLOOKUP(☆入力!G31,選定!$C$3:$AG$100,11,FALSE),"")</f>
        <v/>
      </c>
      <c r="C25" s="317" t="str">
        <f>IFERROR(VLOOKUP(☆入力!G31,選定!$C$3:$AG$100,1,FALSE),"")</f>
        <v/>
      </c>
      <c r="D25" s="152">
        <f>☆入力!L31</f>
        <v>0</v>
      </c>
      <c r="E25" s="150" t="str">
        <f>IFERROR(VLOOKUP(☆入力!G31,選定!$C$3:$AG$100,7,FALSE),"")</f>
        <v/>
      </c>
      <c r="F25" s="1170" t="str">
        <f t="shared" si="0"/>
        <v/>
      </c>
      <c r="G25" s="1171"/>
    </row>
    <row r="26" spans="1:7" ht="10.5" hidden="1" customHeight="1" outlineLevel="1">
      <c r="A26" s="151">
        <v>17</v>
      </c>
      <c r="B26" s="151" t="str">
        <f>IFERROR(VLOOKUP(☆入力!G32,選定!$C$3:$AG$100,11,FALSE),"")</f>
        <v/>
      </c>
      <c r="C26" s="317" t="str">
        <f>IFERROR(VLOOKUP(☆入力!G32,選定!$C$3:$AG$100,1,FALSE),"")</f>
        <v/>
      </c>
      <c r="D26" s="152">
        <f>☆入力!L32</f>
        <v>0</v>
      </c>
      <c r="E26" s="150" t="str">
        <f>IFERROR(VLOOKUP(☆入力!G32,選定!$C$3:$AG$100,7,FALSE),"")</f>
        <v/>
      </c>
      <c r="F26" s="1170" t="str">
        <f t="shared" si="0"/>
        <v/>
      </c>
      <c r="G26" s="1171"/>
    </row>
    <row r="27" spans="1:7" ht="10.5" hidden="1" customHeight="1" outlineLevel="1">
      <c r="A27" s="151">
        <v>18</v>
      </c>
      <c r="B27" s="151" t="str">
        <f>IFERROR(VLOOKUP(☆入力!G33,選定!$C$3:$AG$100,11,FALSE),"")</f>
        <v/>
      </c>
      <c r="C27" s="317" t="str">
        <f>IFERROR(VLOOKUP(☆入力!G33,選定!$C$3:$AG$100,1,FALSE),"")</f>
        <v/>
      </c>
      <c r="D27" s="152">
        <f>☆入力!L33</f>
        <v>0</v>
      </c>
      <c r="E27" s="150" t="str">
        <f>IFERROR(VLOOKUP(☆入力!G33,選定!$C$3:$AG$100,7,FALSE),"")</f>
        <v/>
      </c>
      <c r="F27" s="1170" t="str">
        <f t="shared" si="0"/>
        <v/>
      </c>
      <c r="G27" s="1171"/>
    </row>
    <row r="28" spans="1:7" ht="10.5" hidden="1" customHeight="1" outlineLevel="1">
      <c r="A28" s="151">
        <v>19</v>
      </c>
      <c r="B28" s="151" t="str">
        <f>IFERROR(VLOOKUP(☆入力!G34,選定!$C$3:$AG$100,11,FALSE),"")</f>
        <v/>
      </c>
      <c r="C28" s="317" t="str">
        <f>IFERROR(VLOOKUP(☆入力!G34,選定!$C$3:$AG$100,1,FALSE),"")</f>
        <v/>
      </c>
      <c r="D28" s="152">
        <f>☆入力!L34</f>
        <v>0</v>
      </c>
      <c r="E28" s="150" t="str">
        <f>IFERROR(VLOOKUP(☆入力!G34,選定!$C$3:$AG$100,7,FALSE),"")</f>
        <v/>
      </c>
      <c r="F28" s="1170" t="str">
        <f t="shared" si="0"/>
        <v/>
      </c>
      <c r="G28" s="1171"/>
    </row>
    <row r="29" spans="1:7" ht="10.5" hidden="1" customHeight="1" outlineLevel="1">
      <c r="A29" s="151">
        <v>20</v>
      </c>
      <c r="B29" s="151" t="str">
        <f>IFERROR(VLOOKUP(☆入力!G35,選定!$C$3:$AG$100,11,FALSE),"")</f>
        <v/>
      </c>
      <c r="C29" s="317" t="str">
        <f>IFERROR(VLOOKUP(☆入力!G35,選定!$C$3:$AG$100,1,FALSE),"")</f>
        <v/>
      </c>
      <c r="D29" s="152">
        <f>☆入力!L35</f>
        <v>0</v>
      </c>
      <c r="E29" s="150" t="str">
        <f>IFERROR(VLOOKUP(☆入力!G35,選定!$C$3:$AG$100,7,FALSE),"")</f>
        <v/>
      </c>
      <c r="F29" s="1170" t="str">
        <f t="shared" si="0"/>
        <v/>
      </c>
      <c r="G29" s="1171"/>
    </row>
    <row r="30" spans="1:7" ht="10.5" hidden="1" customHeight="1" outlineLevel="1">
      <c r="A30" s="151">
        <v>21</v>
      </c>
      <c r="B30" s="151" t="str">
        <f>IFERROR(VLOOKUP(☆入力!G36,選定!$C$3:$AG$100,11,FALSE),"")</f>
        <v/>
      </c>
      <c r="C30" s="316" t="str">
        <f>IFERROR(VLOOKUP(☆入力!G36,選定!$C$3:$AG$100,1,FALSE),"")</f>
        <v/>
      </c>
      <c r="D30" s="152">
        <f>☆入力!L36</f>
        <v>0</v>
      </c>
      <c r="E30" s="150" t="str">
        <f>IFERROR(VLOOKUP(☆入力!G36,選定!$C$3:$AG$100,7,FALSE),"")</f>
        <v/>
      </c>
      <c r="F30" s="1165" t="str">
        <f t="shared" si="0"/>
        <v/>
      </c>
      <c r="G30" s="1166"/>
    </row>
    <row r="31" spans="1:7" ht="10.5" hidden="1" customHeight="1" outlineLevel="1">
      <c r="A31" s="151">
        <v>22</v>
      </c>
      <c r="B31" s="151" t="str">
        <f>IFERROR(VLOOKUP(☆入力!G37,選定!$C$3:$AG$100,11,FALSE),"")</f>
        <v/>
      </c>
      <c r="C31" s="316" t="str">
        <f>IFERROR(VLOOKUP(☆入力!G37,選定!$C$3:$AG$100,1,FALSE),"")</f>
        <v/>
      </c>
      <c r="D31" s="152">
        <f>☆入力!L37</f>
        <v>0</v>
      </c>
      <c r="E31" s="150" t="str">
        <f>IFERROR(VLOOKUP(☆入力!G37,選定!$C$3:$AG$100,7,FALSE),"")</f>
        <v/>
      </c>
      <c r="F31" s="1165" t="str">
        <f t="shared" si="0"/>
        <v/>
      </c>
      <c r="G31" s="1166"/>
    </row>
    <row r="32" spans="1:7" ht="10.5" hidden="1" customHeight="1" outlineLevel="1">
      <c r="A32" s="151">
        <v>23</v>
      </c>
      <c r="B32" s="151" t="str">
        <f>IFERROR(VLOOKUP(☆入力!G38,選定!$C$3:$AG$100,11,FALSE),"")</f>
        <v/>
      </c>
      <c r="C32" s="316" t="str">
        <f>IFERROR(VLOOKUP(☆入力!G38,選定!$C$3:$AG$100,1,FALSE),"")</f>
        <v/>
      </c>
      <c r="D32" s="152">
        <f>☆入力!L38</f>
        <v>0</v>
      </c>
      <c r="E32" s="150" t="str">
        <f>IFERROR(VLOOKUP(☆入力!G38,選定!$C$3:$AG$100,7,FALSE),"")</f>
        <v/>
      </c>
      <c r="F32" s="1165" t="str">
        <f t="shared" si="0"/>
        <v/>
      </c>
      <c r="G32" s="1166"/>
    </row>
    <row r="33" spans="1:7" ht="10.5" hidden="1" customHeight="1" outlineLevel="1">
      <c r="A33" s="151">
        <v>24</v>
      </c>
      <c r="B33" s="151" t="str">
        <f>IFERROR(VLOOKUP(☆入力!G39,選定!$C$3:$AG$100,11,FALSE),"")</f>
        <v/>
      </c>
      <c r="C33" s="308" t="str">
        <f>IFERROR(VLOOKUP(☆入力!G39,選定!$C$3:$AG$100,1,FALSE),"")</f>
        <v/>
      </c>
      <c r="D33" s="152">
        <f>☆入力!L39</f>
        <v>0</v>
      </c>
      <c r="E33" s="150" t="str">
        <f>IFERROR(VLOOKUP(☆入力!G39,選定!$C$3:$AG$100,7,FALSE),"")</f>
        <v/>
      </c>
      <c r="F33" s="1165" t="str">
        <f t="shared" si="0"/>
        <v/>
      </c>
      <c r="G33" s="1166"/>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65" t="str">
        <f t="shared" si="0"/>
        <v/>
      </c>
      <c r="G34" s="1166"/>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65" t="str">
        <f t="shared" si="0"/>
        <v/>
      </c>
      <c r="G35" s="1166"/>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65" t="str">
        <f t="shared" si="0"/>
        <v/>
      </c>
      <c r="G36" s="1166"/>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65" t="str">
        <f t="shared" si="0"/>
        <v/>
      </c>
      <c r="G37" s="1166"/>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65" t="str">
        <f t="shared" si="0"/>
        <v/>
      </c>
      <c r="G38" s="1166"/>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67" t="str">
        <f t="shared" si="0"/>
        <v/>
      </c>
      <c r="G39" s="1168"/>
    </row>
    <row r="40" spans="1:7" ht="10.5" customHeight="1" collapsed="1">
      <c r="A40" s="1160" t="s">
        <v>381</v>
      </c>
      <c r="B40" s="1161"/>
      <c r="C40" s="1162"/>
      <c r="D40" s="155">
        <v>1</v>
      </c>
      <c r="E40" s="155"/>
      <c r="F40" s="1172">
        <f>SUM(F10:G39)</f>
        <v>0</v>
      </c>
      <c r="G40" s="1172"/>
    </row>
    <row r="41" spans="1:7" ht="10.5" customHeight="1">
      <c r="A41" s="1149" t="s">
        <v>396</v>
      </c>
      <c r="B41" s="1150"/>
      <c r="C41" s="1151"/>
      <c r="D41" s="157">
        <v>1</v>
      </c>
      <c r="E41" s="157"/>
      <c r="F41" s="1173">
        <f ca="1">(☆入力!AL14+代理店入力用!D5)-SUM(F40,F45:G53)</f>
        <v>-28000</v>
      </c>
      <c r="G41" s="1173"/>
    </row>
    <row r="42" spans="1:7" ht="10.5" customHeight="1" thickBot="1">
      <c r="A42" s="116"/>
      <c r="B42" s="116"/>
      <c r="C42" s="117"/>
      <c r="D42" s="118"/>
      <c r="E42" s="122" t="s">
        <v>397</v>
      </c>
      <c r="F42" s="1126">
        <f ca="1">SUM(F40:G41)</f>
        <v>-28000</v>
      </c>
      <c r="G42" s="1126"/>
    </row>
    <row r="43" spans="1:7" ht="10.5" customHeight="1" thickTop="1">
      <c r="A43" s="112"/>
      <c r="B43" s="112"/>
      <c r="C43" s="113"/>
      <c r="D43" s="114"/>
      <c r="E43" s="114"/>
      <c r="F43" s="115"/>
      <c r="G43" s="115"/>
    </row>
    <row r="44" spans="1:7" ht="10.5" customHeight="1">
      <c r="A44" s="1154" t="s">
        <v>398</v>
      </c>
      <c r="B44" s="1155"/>
      <c r="C44" s="1156"/>
      <c r="D44" s="473" t="s">
        <v>211</v>
      </c>
      <c r="E44" s="473" t="s">
        <v>380</v>
      </c>
      <c r="F44" s="1147" t="s">
        <v>381</v>
      </c>
      <c r="G44" s="1147"/>
    </row>
    <row r="45" spans="1:7" ht="10.5" customHeight="1">
      <c r="A45" s="1157" t="s">
        <v>399</v>
      </c>
      <c r="B45" s="1158"/>
      <c r="C45" s="1159"/>
      <c r="D45" s="210">
        <f>VLOOKUP(☆入力!L14,LED計算式!M21:N27,2,TRUE)</f>
        <v>1</v>
      </c>
      <c r="E45" s="150">
        <v>20000</v>
      </c>
      <c r="F45" s="1169">
        <f t="shared" ref="F45" si="1">IFERROR(E45*D45,"")</f>
        <v>20000</v>
      </c>
      <c r="G45" s="1169"/>
    </row>
    <row r="46" spans="1:7" ht="10.5" customHeight="1">
      <c r="A46" s="1117" t="s">
        <v>400</v>
      </c>
      <c r="B46" s="1118"/>
      <c r="C46" s="1119"/>
      <c r="D46" s="152">
        <f>LED計算式!O36</f>
        <v>0</v>
      </c>
      <c r="E46" s="152">
        <v>3000</v>
      </c>
      <c r="F46" s="1148">
        <f t="shared" ref="F46:F53" si="2">IFERROR(E46*D46,"")</f>
        <v>0</v>
      </c>
      <c r="G46" s="1148"/>
    </row>
    <row r="47" spans="1:7" ht="10.5" hidden="1" customHeight="1" outlineLevel="1">
      <c r="A47" s="1174" t="s">
        <v>412</v>
      </c>
      <c r="B47" s="1175"/>
      <c r="C47" s="1176"/>
      <c r="D47" s="152">
        <f>LED計算式!O37</f>
        <v>0</v>
      </c>
      <c r="E47" s="152">
        <v>4500</v>
      </c>
      <c r="F47" s="1148">
        <f t="shared" si="2"/>
        <v>0</v>
      </c>
      <c r="G47" s="1148"/>
    </row>
    <row r="48" spans="1:7" ht="10.5" hidden="1" customHeight="1" outlineLevel="1">
      <c r="A48" s="1174" t="s">
        <v>413</v>
      </c>
      <c r="B48" s="1175"/>
      <c r="C48" s="1176"/>
      <c r="D48" s="152">
        <f>LED計算式!O38</f>
        <v>0</v>
      </c>
      <c r="E48" s="152">
        <v>2000</v>
      </c>
      <c r="F48" s="1148">
        <f t="shared" si="2"/>
        <v>0</v>
      </c>
      <c r="G48" s="1148"/>
    </row>
    <row r="49" spans="1:8" ht="10.5" hidden="1" customHeight="1" outlineLevel="1">
      <c r="A49" s="1174" t="s">
        <v>414</v>
      </c>
      <c r="B49" s="1175"/>
      <c r="C49" s="1176"/>
      <c r="D49" s="152">
        <f>LED計算式!O39</f>
        <v>0</v>
      </c>
      <c r="E49" s="152">
        <v>600</v>
      </c>
      <c r="F49" s="1148">
        <f t="shared" si="2"/>
        <v>0</v>
      </c>
      <c r="G49" s="1148"/>
    </row>
    <row r="50" spans="1:8" ht="10.5" customHeight="1" collapsed="1">
      <c r="A50" s="1117" t="s">
        <v>404</v>
      </c>
      <c r="B50" s="1118"/>
      <c r="C50" s="1119"/>
      <c r="D50" s="152">
        <f>COUNTA(☆入力!AG16:AG45)</f>
        <v>1</v>
      </c>
      <c r="E50" s="152">
        <v>3000</v>
      </c>
      <c r="F50" s="1148">
        <f t="shared" si="2"/>
        <v>3000</v>
      </c>
      <c r="G50" s="1148"/>
    </row>
    <row r="51" spans="1:8" ht="10.5" customHeight="1">
      <c r="A51" s="1117" t="s">
        <v>405</v>
      </c>
      <c r="B51" s="1118"/>
      <c r="C51" s="1119"/>
      <c r="D51" s="152">
        <f>☆入力!L14</f>
        <v>0</v>
      </c>
      <c r="E51" s="152">
        <v>1000</v>
      </c>
      <c r="F51" s="1148">
        <f t="shared" si="2"/>
        <v>0</v>
      </c>
      <c r="G51" s="1148"/>
    </row>
    <row r="52" spans="1:8" ht="10.5" customHeight="1">
      <c r="A52" s="1117" t="s">
        <v>406</v>
      </c>
      <c r="B52" s="1118"/>
      <c r="C52" s="1119"/>
      <c r="D52" s="152">
        <f>COUNTA(☆入力!AG16:AG45)</f>
        <v>1</v>
      </c>
      <c r="E52" s="152">
        <v>5000</v>
      </c>
      <c r="F52" s="1148">
        <f t="shared" si="2"/>
        <v>5000</v>
      </c>
      <c r="G52" s="1148"/>
    </row>
    <row r="53" spans="1:8" ht="10.5" customHeight="1">
      <c r="A53" s="1121">
        <f>☆入力!AH12</f>
        <v>0</v>
      </c>
      <c r="B53" s="1122"/>
      <c r="C53" s="1123"/>
      <c r="D53" s="160" t="str">
        <f>IF(☆入力!AH12&lt;&gt;"","1","")</f>
        <v/>
      </c>
      <c r="E53" s="161">
        <f>☆入力!AJ12</f>
        <v>0</v>
      </c>
      <c r="F53" s="1183" t="str">
        <f t="shared" si="2"/>
        <v/>
      </c>
      <c r="G53" s="1183"/>
    </row>
    <row r="54" spans="1:8" ht="10.5" customHeight="1" thickBot="1">
      <c r="A54" s="105"/>
      <c r="B54" s="105"/>
      <c r="C54" s="105"/>
      <c r="D54" s="105"/>
      <c r="E54" s="122" t="s">
        <v>407</v>
      </c>
      <c r="F54" s="1126">
        <f>SUM(F45:G53)</f>
        <v>28000</v>
      </c>
      <c r="G54" s="1126"/>
    </row>
    <row r="55" spans="1:8" ht="10.5" customHeight="1" thickTop="1">
      <c r="A55" s="1120" t="s">
        <v>384</v>
      </c>
      <c r="B55" s="1120"/>
      <c r="C55" s="1120"/>
      <c r="D55" s="105"/>
      <c r="E55" s="105"/>
      <c r="F55" s="105"/>
      <c r="G55" s="105"/>
    </row>
    <row r="56" spans="1:8" ht="10.5" customHeight="1" thickBot="1">
      <c r="A56" s="1184" t="str">
        <f>☆入力!AH4</f>
        <v>生産終了品などがあった場合、同メーカーもしくは他メーカーの同等品に変更される場合がございます。</v>
      </c>
      <c r="B56" s="1185"/>
      <c r="C56" s="1186"/>
      <c r="D56" s="105"/>
      <c r="E56" s="119" t="s">
        <v>408</v>
      </c>
      <c r="F56" s="1127">
        <f ca="1">ROUNDDOWN(F42+F54,0)</f>
        <v>0</v>
      </c>
      <c r="G56" s="1127"/>
    </row>
    <row r="57" spans="1:8" ht="10.15" customHeight="1" thickTop="1" thickBot="1">
      <c r="A57" s="1177"/>
      <c r="B57" s="1178"/>
      <c r="C57" s="1179"/>
      <c r="D57" s="105"/>
    </row>
    <row r="58" spans="1:8" ht="10.15" customHeight="1">
      <c r="A58" s="1177">
        <f>☆入力!AH5</f>
        <v>0</v>
      </c>
      <c r="B58" s="1178"/>
      <c r="C58" s="1179"/>
      <c r="E58" s="1136" t="s">
        <v>409</v>
      </c>
      <c r="F58" s="1128">
        <f ca="1">VLOOKUP(E58,I11:J12,2,FALSE)</f>
        <v>0</v>
      </c>
      <c r="G58" s="1129"/>
    </row>
    <row r="59" spans="1:8" ht="10.15" customHeight="1" thickBot="1">
      <c r="A59" s="1177"/>
      <c r="B59" s="1178"/>
      <c r="C59" s="1179"/>
      <c r="E59" s="1137"/>
      <c r="F59" s="1130"/>
      <c r="G59" s="1131"/>
    </row>
    <row r="60" spans="1:8" ht="10.15" customHeight="1">
      <c r="A60" s="1177">
        <f>☆入力!AH6</f>
        <v>0</v>
      </c>
      <c r="B60" s="1178"/>
      <c r="C60" s="1179"/>
      <c r="E60" s="1132" t="s">
        <v>369</v>
      </c>
      <c r="F60" s="1134">
        <f ca="1">VLOOKUP(E60,I9:J10,2,FALSE)</f>
        <v>0</v>
      </c>
      <c r="G60" s="1124" t="s">
        <v>410</v>
      </c>
    </row>
    <row r="61" spans="1:8" ht="10.15" customHeight="1" thickBot="1">
      <c r="A61" s="1180"/>
      <c r="B61" s="1181"/>
      <c r="C61" s="1182"/>
      <c r="E61" s="1133"/>
      <c r="F61" s="1135"/>
      <c r="G61" s="1125"/>
    </row>
    <row r="62" spans="1:8">
      <c r="E62" s="231" t="s">
        <v>411</v>
      </c>
      <c r="H62" s="383" t="s">
        <v>377</v>
      </c>
    </row>
  </sheetData>
  <mergeCells count="72">
    <mergeCell ref="A58:C59"/>
    <mergeCell ref="A60:C61"/>
    <mergeCell ref="F53:G53"/>
    <mergeCell ref="F54:G54"/>
    <mergeCell ref="F56:G56"/>
    <mergeCell ref="A56:C57"/>
    <mergeCell ref="F58:G59"/>
    <mergeCell ref="E60:E61"/>
    <mergeCell ref="F60:F61"/>
    <mergeCell ref="G60:G61"/>
    <mergeCell ref="A55:C55"/>
    <mergeCell ref="A53:C53"/>
    <mergeCell ref="F52:G52"/>
    <mergeCell ref="A50:C50"/>
    <mergeCell ref="A51:C51"/>
    <mergeCell ref="A52:C52"/>
    <mergeCell ref="A47:C47"/>
    <mergeCell ref="A48:C48"/>
    <mergeCell ref="A49:C49"/>
    <mergeCell ref="A44:C44"/>
    <mergeCell ref="A45:C45"/>
    <mergeCell ref="A46:C46"/>
    <mergeCell ref="F50:G50"/>
    <mergeCell ref="F51:G51"/>
    <mergeCell ref="A40:C40"/>
    <mergeCell ref="F40:G40"/>
    <mergeCell ref="A41:C41"/>
    <mergeCell ref="F41:G41"/>
    <mergeCell ref="F42:G42"/>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F12:G12"/>
    <mergeCell ref="F13:G13"/>
    <mergeCell ref="F14:G14"/>
    <mergeCell ref="F15:G15"/>
    <mergeCell ref="F16:G16"/>
    <mergeCell ref="A1:C2"/>
    <mergeCell ref="A3:C4"/>
    <mergeCell ref="F9:G9"/>
    <mergeCell ref="F10:G10"/>
    <mergeCell ref="F11:G11"/>
    <mergeCell ref="E4:G4"/>
    <mergeCell ref="E5:G5"/>
    <mergeCell ref="E6:G6"/>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25" style="75" customWidth="1"/>
    <col min="10" max="10" width="9" style="75"/>
    <col min="11" max="11" width="20.625" style="75" bestFit="1" customWidth="1"/>
    <col min="12" max="12" width="10.625" style="75" bestFit="1" customWidth="1"/>
    <col min="13" max="16384" width="9" style="75"/>
  </cols>
  <sheetData>
    <row r="1" spans="1:12" ht="15" customHeight="1">
      <c r="A1" s="1077" t="s">
        <v>364</v>
      </c>
      <c r="B1" s="1077"/>
      <c r="C1" s="1077"/>
      <c r="D1" s="1077"/>
      <c r="E1" s="658"/>
      <c r="H1" s="76" t="s">
        <v>365</v>
      </c>
      <c r="I1" s="186">
        <f ca="1">TODAY()</f>
        <v>46119</v>
      </c>
    </row>
    <row r="2" spans="1:12" ht="15" customHeight="1">
      <c r="A2" s="1077"/>
      <c r="B2" s="1077"/>
      <c r="C2" s="1077"/>
      <c r="D2" s="1077"/>
      <c r="E2" s="658"/>
      <c r="H2" s="76"/>
      <c r="I2" s="78"/>
    </row>
    <row r="3" spans="1:12" ht="15" customHeight="1">
      <c r="A3" s="1100">
        <f>☆入力!C5</f>
        <v>0</v>
      </c>
      <c r="B3" s="1100"/>
      <c r="C3" s="1100"/>
      <c r="D3" s="1100"/>
      <c r="E3" s="659"/>
    </row>
    <row r="4" spans="1:12" ht="15" customHeight="1">
      <c r="A4" s="1101"/>
      <c r="B4" s="1101"/>
      <c r="C4" s="1101"/>
      <c r="D4" s="1101"/>
      <c r="E4" s="659"/>
      <c r="G4" s="1095" t="str">
        <f>IF(代理店入力用!N3="",①表紙!I25,代理店入力用!N3)</f>
        <v>株式会社スマイルサポート</v>
      </c>
      <c r="H4" s="1095"/>
      <c r="I4" s="1095"/>
    </row>
    <row r="5" spans="1:12" ht="15" customHeight="1">
      <c r="G5" s="1097" t="str">
        <f>IF(代理店入力用!N5="",①表紙!I26,①表紙!A26)</f>
        <v>〒305-0046茨城県つくば市東2-10-14</v>
      </c>
      <c r="H5" s="1097"/>
      <c r="I5" s="1097"/>
    </row>
    <row r="6" spans="1:12" ht="15" customHeight="1">
      <c r="A6" s="294" t="s">
        <v>366</v>
      </c>
      <c r="B6" s="105"/>
      <c r="G6" s="1097" t="str">
        <f>IF(代理店入力用!N6="",①表紙!I27,①表紙!A27)</f>
        <v>TEL：　029-860-5211</v>
      </c>
      <c r="H6" s="1097"/>
      <c r="I6" s="1097"/>
    </row>
    <row r="7" spans="1:12" ht="15" customHeight="1">
      <c r="A7" s="294" t="s">
        <v>394</v>
      </c>
      <c r="B7" s="105"/>
    </row>
    <row r="8" spans="1:12" ht="6" customHeight="1"/>
    <row r="9" spans="1:12" ht="10.5" customHeight="1">
      <c r="A9" s="473" t="s">
        <v>87</v>
      </c>
      <c r="B9" s="473" t="s">
        <v>226</v>
      </c>
      <c r="C9" s="473" t="s">
        <v>105</v>
      </c>
      <c r="D9" s="1154" t="s">
        <v>315</v>
      </c>
      <c r="E9" s="1156"/>
      <c r="F9" s="473" t="s">
        <v>38</v>
      </c>
      <c r="G9" s="473" t="s">
        <v>395</v>
      </c>
      <c r="H9" s="1147" t="s">
        <v>381</v>
      </c>
      <c r="I9" s="1147"/>
      <c r="K9" s="379" t="s">
        <v>369</v>
      </c>
      <c r="L9" s="380">
        <f ca="1">ROUNDDOWN(H57/54,0)</f>
        <v>0</v>
      </c>
    </row>
    <row r="10" spans="1:12" ht="10.5" customHeight="1">
      <c r="A10" s="148">
        <f>☆入力!B16</f>
        <v>0</v>
      </c>
      <c r="B10" s="148" t="str">
        <f>☆入力!C16</f>
        <v>あいえうお</v>
      </c>
      <c r="C10" s="149" t="str">
        <f>IFERROR(VLOOKUP(☆入力!G16,選定!$C$3:$AG$100,11,FALSE),"")</f>
        <v/>
      </c>
      <c r="D10" s="665" t="str">
        <f>IFERROR(VLOOKUP(☆入力!G16,選定!$C$3:$AG$100,1,FALSE),"")</f>
        <v/>
      </c>
      <c r="E10" s="666"/>
      <c r="F10" s="150">
        <f>☆入力!L16</f>
        <v>0</v>
      </c>
      <c r="G10" s="150" t="str">
        <f>IFERROR(VLOOKUP(☆入力!G16,選定!$C$3:$AG$100,7,FALSE),"")</f>
        <v/>
      </c>
      <c r="H10" s="1148" t="str">
        <f>IFERROR(G10*F10,"")</f>
        <v/>
      </c>
      <c r="I10" s="1148"/>
      <c r="K10" s="379" t="s">
        <v>372</v>
      </c>
      <c r="L10" s="380">
        <f ca="1">L9*1.1</f>
        <v>0</v>
      </c>
    </row>
    <row r="11" spans="1:12" ht="10.5" customHeight="1">
      <c r="A11" s="151">
        <f>☆入力!B17</f>
        <v>0</v>
      </c>
      <c r="B11" s="151" t="str">
        <f>☆入力!C17</f>
        <v>あいえうお</v>
      </c>
      <c r="C11" s="151" t="str">
        <f>IFERROR(VLOOKUP(☆入力!G17,選定!$C$3:$AG$100,11,FALSE),"")</f>
        <v/>
      </c>
      <c r="D11" s="660" t="str">
        <f>IFERROR(VLOOKUP(☆入力!G17,選定!$C$3:$AG$100,1,FALSE),"")</f>
        <v/>
      </c>
      <c r="E11" s="661"/>
      <c r="F11" s="152">
        <f>☆入力!L17</f>
        <v>0</v>
      </c>
      <c r="G11" s="150" t="str">
        <f>IFERROR(VLOOKUP(☆入力!G17,選定!$C$3:$AG$100,7,FALSE),"")</f>
        <v/>
      </c>
      <c r="H11" s="1148" t="str">
        <f t="shared" ref="H11:H39" si="0">IFERROR(G11*F11,"")</f>
        <v/>
      </c>
      <c r="I11" s="1148"/>
      <c r="K11" s="27" t="s">
        <v>375</v>
      </c>
      <c r="L11" s="381">
        <f ca="1">H57</f>
        <v>0</v>
      </c>
    </row>
    <row r="12" spans="1:12" ht="10.5" customHeight="1">
      <c r="A12" s="151">
        <f>☆入力!B18</f>
        <v>0</v>
      </c>
      <c r="B12" s="151" t="str">
        <f>☆入力!C18</f>
        <v>あいえうお</v>
      </c>
      <c r="C12" s="151" t="str">
        <f>IFERROR(VLOOKUP(☆入力!G18,選定!$C$3:$AG$100,11,FALSE),"")</f>
        <v/>
      </c>
      <c r="D12" s="660" t="str">
        <f>IFERROR(VLOOKUP(☆入力!G18,選定!$C$3:$AG$100,1,FALSE),"")</f>
        <v/>
      </c>
      <c r="E12" s="661"/>
      <c r="F12" s="152">
        <f>☆入力!L18</f>
        <v>0</v>
      </c>
      <c r="G12" s="150" t="str">
        <f>IFERROR(VLOOKUP(☆入力!G18,選定!$C$3:$AG$100,7,FALSE),"")</f>
        <v/>
      </c>
      <c r="H12" s="1148" t="str">
        <f t="shared" si="0"/>
        <v/>
      </c>
      <c r="I12" s="1148"/>
      <c r="K12" s="27" t="s">
        <v>376</v>
      </c>
      <c r="L12" s="381">
        <f ca="1">L11*1.1</f>
        <v>0</v>
      </c>
    </row>
    <row r="13" spans="1:12" ht="10.5" customHeight="1">
      <c r="A13" s="151">
        <f>☆入力!B19</f>
        <v>0</v>
      </c>
      <c r="B13" s="151" t="str">
        <f>☆入力!C19</f>
        <v>あいえうお</v>
      </c>
      <c r="C13" s="151" t="str">
        <f>IFERROR(VLOOKUP(☆入力!G19,選定!$C$3:$AG$100,11,FALSE),"")</f>
        <v/>
      </c>
      <c r="D13" s="660" t="str">
        <f>IFERROR(VLOOKUP(☆入力!G19,選定!$C$3:$AG$100,1,FALSE),"")</f>
        <v/>
      </c>
      <c r="E13" s="661"/>
      <c r="F13" s="152">
        <f>☆入力!L19</f>
        <v>0</v>
      </c>
      <c r="G13" s="150" t="str">
        <f>IFERROR(VLOOKUP(☆入力!G19,選定!$C$3:$AG$100,7,FALSE),"")</f>
        <v/>
      </c>
      <c r="H13" s="1148" t="str">
        <f t="shared" si="0"/>
        <v/>
      </c>
      <c r="I13" s="1148"/>
    </row>
    <row r="14" spans="1:12" ht="10.5" customHeight="1">
      <c r="A14" s="151">
        <f>☆入力!B20</f>
        <v>0</v>
      </c>
      <c r="B14" s="151" t="str">
        <f>☆入力!C20</f>
        <v>あいえうお</v>
      </c>
      <c r="C14" s="151" t="str">
        <f>IFERROR(VLOOKUP(☆入力!G20,選定!$C$3:$AG$100,11,FALSE),"")</f>
        <v/>
      </c>
      <c r="D14" s="660" t="str">
        <f>IFERROR(VLOOKUP(☆入力!G20,選定!$C$3:$AG$100,1,FALSE),"")</f>
        <v/>
      </c>
      <c r="E14" s="661"/>
      <c r="F14" s="152">
        <f>☆入力!L20</f>
        <v>0</v>
      </c>
      <c r="G14" s="150" t="str">
        <f>IFERROR(VLOOKUP(☆入力!G20,選定!$C$3:$AG$100,7,FALSE),"")</f>
        <v/>
      </c>
      <c r="H14" s="1148" t="str">
        <f t="shared" si="0"/>
        <v/>
      </c>
      <c r="I14" s="1148"/>
    </row>
    <row r="15" spans="1:12" ht="10.5" customHeight="1">
      <c r="A15" s="151">
        <f>☆入力!B21</f>
        <v>0</v>
      </c>
      <c r="B15" s="151" t="str">
        <f>☆入力!C21</f>
        <v>あいえうお</v>
      </c>
      <c r="C15" s="151" t="str">
        <f>IFERROR(VLOOKUP(☆入力!G21,選定!$C$3:$AG$100,11,FALSE),"")</f>
        <v/>
      </c>
      <c r="D15" s="660" t="str">
        <f>IFERROR(VLOOKUP(☆入力!G21,選定!$C$3:$AG$100,1,FALSE),"")</f>
        <v/>
      </c>
      <c r="E15" s="661"/>
      <c r="F15" s="152">
        <f>☆入力!L21</f>
        <v>0</v>
      </c>
      <c r="G15" s="150" t="str">
        <f>IFERROR(VLOOKUP(☆入力!G21,選定!$C$3:$AG$100,7,FALSE),"")</f>
        <v/>
      </c>
      <c r="H15" s="1148" t="str">
        <f t="shared" si="0"/>
        <v/>
      </c>
      <c r="I15" s="1148"/>
    </row>
    <row r="16" spans="1:12" ht="10.5" customHeight="1">
      <c r="A16" s="151" t="str">
        <f>☆入力!B22</f>
        <v/>
      </c>
      <c r="B16" s="151">
        <f>☆入力!C22</f>
        <v>0</v>
      </c>
      <c r="C16" s="151" t="str">
        <f>IFERROR(VLOOKUP(☆入力!G22,選定!$C$3:$AG$100,11,FALSE),"")</f>
        <v/>
      </c>
      <c r="D16" s="660" t="str">
        <f>IFERROR(VLOOKUP(☆入力!G22,選定!$C$3:$AG$100,1,FALSE),"")</f>
        <v/>
      </c>
      <c r="E16" s="661"/>
      <c r="F16" s="152">
        <f>☆入力!L22</f>
        <v>0</v>
      </c>
      <c r="G16" s="150" t="str">
        <f>IFERROR(VLOOKUP(☆入力!G22,選定!$C$3:$AG$100,7,FALSE),"")</f>
        <v/>
      </c>
      <c r="H16" s="1148" t="str">
        <f t="shared" si="0"/>
        <v/>
      </c>
      <c r="I16" s="1148"/>
    </row>
    <row r="17" spans="1:9" ht="10.5" customHeight="1">
      <c r="A17" s="151" t="str">
        <f>☆入力!B23</f>
        <v/>
      </c>
      <c r="B17" s="151">
        <f>☆入力!C23</f>
        <v>0</v>
      </c>
      <c r="C17" s="151" t="str">
        <f>IFERROR(VLOOKUP(☆入力!G23,選定!$C$3:$AG$100,11,FALSE),"")</f>
        <v/>
      </c>
      <c r="D17" s="660" t="str">
        <f>IFERROR(VLOOKUP(☆入力!G23,選定!$C$3:$AG$100,1,FALSE),"")</f>
        <v/>
      </c>
      <c r="E17" s="661"/>
      <c r="F17" s="152">
        <f>☆入力!L23</f>
        <v>0</v>
      </c>
      <c r="G17" s="150" t="str">
        <f>IFERROR(VLOOKUP(☆入力!G23,選定!$C$3:$AG$100,7,FALSE),"")</f>
        <v/>
      </c>
      <c r="H17" s="1148" t="str">
        <f t="shared" si="0"/>
        <v/>
      </c>
      <c r="I17" s="1148"/>
    </row>
    <row r="18" spans="1:9" ht="10.5" customHeight="1">
      <c r="A18" s="151" t="str">
        <f>☆入力!B24</f>
        <v/>
      </c>
      <c r="B18" s="151">
        <f>☆入力!C24</f>
        <v>0</v>
      </c>
      <c r="C18" s="151" t="str">
        <f>IFERROR(VLOOKUP(☆入力!G24,選定!$C$3:$AG$100,11,FALSE),"")</f>
        <v/>
      </c>
      <c r="D18" s="660" t="str">
        <f>IFERROR(VLOOKUP(☆入力!G24,選定!$C$3:$AG$100,1,FALSE),"")</f>
        <v/>
      </c>
      <c r="E18" s="661"/>
      <c r="F18" s="152">
        <f>☆入力!L24</f>
        <v>0</v>
      </c>
      <c r="G18" s="150" t="str">
        <f>IFERROR(VLOOKUP(☆入力!G24,選定!$C$3:$AG$100,7,FALSE),"")</f>
        <v/>
      </c>
      <c r="H18" s="1148" t="str">
        <f t="shared" si="0"/>
        <v/>
      </c>
      <c r="I18" s="1148"/>
    </row>
    <row r="19" spans="1:9" ht="10.5" customHeight="1">
      <c r="A19" s="151" t="str">
        <f>☆入力!B25</f>
        <v/>
      </c>
      <c r="B19" s="151">
        <f>☆入力!C25</f>
        <v>0</v>
      </c>
      <c r="C19" s="151" t="str">
        <f>IFERROR(VLOOKUP(☆入力!G25,選定!$C$3:$AG$100,11,FALSE),"")</f>
        <v/>
      </c>
      <c r="D19" s="660" t="str">
        <f>IFERROR(VLOOKUP(☆入力!G25,選定!$C$3:$AG$100,1,FALSE),"")</f>
        <v/>
      </c>
      <c r="E19" s="661"/>
      <c r="F19" s="152">
        <f>☆入力!L25</f>
        <v>0</v>
      </c>
      <c r="G19" s="150" t="str">
        <f>IFERROR(VLOOKUP(☆入力!G25,選定!$C$3:$AG$100,7,FALSE),"")</f>
        <v/>
      </c>
      <c r="H19" s="1148" t="str">
        <f t="shared" si="0"/>
        <v/>
      </c>
      <c r="I19" s="1148"/>
    </row>
    <row r="20" spans="1:9" ht="10.5" customHeight="1">
      <c r="A20" s="151" t="str">
        <f>☆入力!B26</f>
        <v/>
      </c>
      <c r="B20" s="151">
        <f>☆入力!C26</f>
        <v>0</v>
      </c>
      <c r="C20" s="151" t="str">
        <f>IFERROR(VLOOKUP(☆入力!G26,選定!$C$3:$AG$100,11,FALSE),"")</f>
        <v/>
      </c>
      <c r="D20" s="660" t="str">
        <f>IFERROR(VLOOKUP(☆入力!G26,選定!$C$3:$AG$100,1,FALSE),"")</f>
        <v/>
      </c>
      <c r="E20" s="661"/>
      <c r="F20" s="152">
        <f>☆入力!L26</f>
        <v>0</v>
      </c>
      <c r="G20" s="150" t="str">
        <f>IFERROR(VLOOKUP(☆入力!G26,選定!$C$3:$AG$100,7,FALSE),"")</f>
        <v/>
      </c>
      <c r="H20" s="1148" t="str">
        <f t="shared" si="0"/>
        <v/>
      </c>
      <c r="I20" s="1148"/>
    </row>
    <row r="21" spans="1:9" ht="10.5" customHeight="1">
      <c r="A21" s="151" t="str">
        <f>☆入力!B27</f>
        <v/>
      </c>
      <c r="B21" s="151">
        <f>☆入力!C27</f>
        <v>0</v>
      </c>
      <c r="C21" s="151" t="str">
        <f>IFERROR(VLOOKUP(☆入力!G27,選定!$C$3:$AG$100,11,FALSE),"")</f>
        <v/>
      </c>
      <c r="D21" s="660" t="str">
        <f>IFERROR(VLOOKUP(☆入力!G27,選定!$C$3:$AG$100,1,FALSE),"")</f>
        <v/>
      </c>
      <c r="E21" s="661"/>
      <c r="F21" s="152">
        <f>☆入力!L27</f>
        <v>0</v>
      </c>
      <c r="G21" s="150" t="str">
        <f>IFERROR(VLOOKUP(☆入力!G27,選定!$C$3:$AG$100,7,FALSE),"")</f>
        <v/>
      </c>
      <c r="H21" s="1148" t="str">
        <f t="shared" si="0"/>
        <v/>
      </c>
      <c r="I21" s="1148"/>
    </row>
    <row r="22" spans="1:9" ht="10.5" customHeight="1">
      <c r="A22" s="151" t="str">
        <f>☆入力!B28</f>
        <v/>
      </c>
      <c r="B22" s="151">
        <f>☆入力!C28</f>
        <v>0</v>
      </c>
      <c r="C22" s="151" t="str">
        <f>IFERROR(VLOOKUP(☆入力!G28,選定!$C$3:$AG$100,11,FALSE),"")</f>
        <v/>
      </c>
      <c r="D22" s="660" t="str">
        <f>IFERROR(VLOOKUP(☆入力!G28,選定!$C$3:$AG$100,1,FALSE),"")</f>
        <v/>
      </c>
      <c r="E22" s="661"/>
      <c r="F22" s="152">
        <f>☆入力!L28</f>
        <v>0</v>
      </c>
      <c r="G22" s="150" t="str">
        <f>IFERROR(VLOOKUP(☆入力!G28,選定!$C$3:$AG$100,7,FALSE),"")</f>
        <v/>
      </c>
      <c r="H22" s="1148" t="str">
        <f t="shared" si="0"/>
        <v/>
      </c>
      <c r="I22" s="1148"/>
    </row>
    <row r="23" spans="1:9" ht="10.5" customHeight="1">
      <c r="A23" s="151" t="str">
        <f>☆入力!B29</f>
        <v/>
      </c>
      <c r="B23" s="151">
        <f>☆入力!C29</f>
        <v>0</v>
      </c>
      <c r="C23" s="151" t="str">
        <f>IFERROR(VLOOKUP(☆入力!G29,選定!$C$3:$AG$100,11,FALSE),"")</f>
        <v/>
      </c>
      <c r="D23" s="660" t="str">
        <f>IFERROR(VLOOKUP(☆入力!G29,選定!$C$3:$AG$100,1,FALSE),"")</f>
        <v/>
      </c>
      <c r="E23" s="661"/>
      <c r="F23" s="152">
        <f>☆入力!L29</f>
        <v>0</v>
      </c>
      <c r="G23" s="150" t="str">
        <f>IFERROR(VLOOKUP(☆入力!G29,選定!$C$3:$AG$100,7,FALSE),"")</f>
        <v/>
      </c>
      <c r="H23" s="1148" t="str">
        <f t="shared" si="0"/>
        <v/>
      </c>
      <c r="I23" s="1148"/>
    </row>
    <row r="24" spans="1:9" ht="10.5" customHeight="1">
      <c r="A24" s="151" t="str">
        <f>☆入力!B30</f>
        <v/>
      </c>
      <c r="B24" s="151">
        <f>☆入力!C30</f>
        <v>0</v>
      </c>
      <c r="C24" s="151" t="str">
        <f>IFERROR(VLOOKUP(☆入力!G30,選定!$C$3:$AG$100,11,FALSE),"")</f>
        <v/>
      </c>
      <c r="D24" s="660" t="str">
        <f>IFERROR(VLOOKUP(☆入力!G30,選定!$C$3:$AG$100,1,FALSE),"")</f>
        <v/>
      </c>
      <c r="E24" s="661"/>
      <c r="F24" s="152">
        <f>☆入力!L30</f>
        <v>0</v>
      </c>
      <c r="G24" s="150" t="str">
        <f>IFERROR(VLOOKUP(☆入力!G30,選定!$C$3:$AG$100,7,FALSE),"")</f>
        <v/>
      </c>
      <c r="H24" s="1148" t="str">
        <f t="shared" si="0"/>
        <v/>
      </c>
      <c r="I24" s="1148"/>
    </row>
    <row r="25" spans="1:9" ht="10.5" hidden="1" customHeight="1" outlineLevel="1">
      <c r="A25" s="151" t="str">
        <f>☆入力!B31</f>
        <v/>
      </c>
      <c r="B25" s="151">
        <f>☆入力!C31</f>
        <v>0</v>
      </c>
      <c r="C25" s="151" t="str">
        <f>IFERROR(VLOOKUP(☆入力!G31,選定!$C$3:$AG$100,11,FALSE),"")</f>
        <v/>
      </c>
      <c r="D25" s="660" t="str">
        <f>IFERROR(VLOOKUP(☆入力!G31,選定!$C$3:$AG$100,1,FALSE),"")</f>
        <v/>
      </c>
      <c r="E25" s="661"/>
      <c r="F25" s="152">
        <f>☆入力!L31</f>
        <v>0</v>
      </c>
      <c r="G25" s="150" t="str">
        <f>IFERROR(VLOOKUP(☆入力!G31,選定!$C$3:$AG$100,7,FALSE),"")</f>
        <v/>
      </c>
      <c r="H25" s="1148" t="str">
        <f t="shared" si="0"/>
        <v/>
      </c>
      <c r="I25" s="1148"/>
    </row>
    <row r="26" spans="1:9" ht="10.5" hidden="1" customHeight="1" outlineLevel="1">
      <c r="A26" s="151" t="str">
        <f>☆入力!B32</f>
        <v/>
      </c>
      <c r="B26" s="151">
        <f>☆入力!C32</f>
        <v>0</v>
      </c>
      <c r="C26" s="151" t="str">
        <f>IFERROR(VLOOKUP(☆入力!G32,選定!$C$3:$AG$100,11,FALSE),"")</f>
        <v/>
      </c>
      <c r="D26" s="660" t="str">
        <f>IFERROR(VLOOKUP(☆入力!G32,選定!$C$3:$AG$100,1,FALSE),"")</f>
        <v/>
      </c>
      <c r="E26" s="661"/>
      <c r="F26" s="152">
        <f>☆入力!L32</f>
        <v>0</v>
      </c>
      <c r="G26" s="150" t="str">
        <f>IFERROR(VLOOKUP(☆入力!G32,選定!$C$3:$AG$100,7,FALSE),"")</f>
        <v/>
      </c>
      <c r="H26" s="1148" t="str">
        <f t="shared" si="0"/>
        <v/>
      </c>
      <c r="I26" s="1148"/>
    </row>
    <row r="27" spans="1:9" ht="10.5" hidden="1" customHeight="1" outlineLevel="1">
      <c r="A27" s="151" t="str">
        <f>☆入力!B33</f>
        <v/>
      </c>
      <c r="B27" s="151">
        <f>☆入力!C33</f>
        <v>0</v>
      </c>
      <c r="C27" s="151" t="str">
        <f>IFERROR(VLOOKUP(☆入力!G33,選定!$C$3:$AG$100,11,FALSE),"")</f>
        <v/>
      </c>
      <c r="D27" s="660" t="str">
        <f>IFERROR(VLOOKUP(☆入力!G33,選定!$C$3:$AG$100,1,FALSE),"")</f>
        <v/>
      </c>
      <c r="E27" s="661"/>
      <c r="F27" s="152">
        <f>☆入力!L33</f>
        <v>0</v>
      </c>
      <c r="G27" s="150" t="str">
        <f>IFERROR(VLOOKUP(☆入力!G33,選定!$C$3:$AG$100,7,FALSE),"")</f>
        <v/>
      </c>
      <c r="H27" s="1148" t="str">
        <f t="shared" si="0"/>
        <v/>
      </c>
      <c r="I27" s="1148"/>
    </row>
    <row r="28" spans="1:9" ht="10.35" hidden="1" customHeight="1" outlineLevel="1">
      <c r="A28" s="151" t="str">
        <f>☆入力!B34</f>
        <v/>
      </c>
      <c r="B28" s="151">
        <f>☆入力!C34</f>
        <v>0</v>
      </c>
      <c r="C28" s="151" t="str">
        <f>IFERROR(VLOOKUP(☆入力!G34,選定!$C$3:$AG$100,11,FALSE),"")</f>
        <v/>
      </c>
      <c r="D28" s="660" t="str">
        <f>IFERROR(VLOOKUP(☆入力!G34,選定!$C$3:$AG$100,1,FALSE),"")</f>
        <v/>
      </c>
      <c r="E28" s="661"/>
      <c r="F28" s="152">
        <f>☆入力!L34</f>
        <v>0</v>
      </c>
      <c r="G28" s="150" t="str">
        <f>IFERROR(VLOOKUP(☆入力!G34,選定!$C$3:$AG$100,7,FALSE),"")</f>
        <v/>
      </c>
      <c r="H28" s="1148" t="str">
        <f t="shared" si="0"/>
        <v/>
      </c>
      <c r="I28" s="1148"/>
    </row>
    <row r="29" spans="1:9" ht="10.5" hidden="1" customHeight="1" outlineLevel="1">
      <c r="A29" s="151" t="str">
        <f>☆入力!B35</f>
        <v/>
      </c>
      <c r="B29" s="151">
        <f>☆入力!C35</f>
        <v>0</v>
      </c>
      <c r="C29" s="151" t="str">
        <f>IFERROR(VLOOKUP(☆入力!G35,選定!$C$3:$AG$100,11,FALSE),"")</f>
        <v/>
      </c>
      <c r="D29" s="660" t="str">
        <f>IFERROR(VLOOKUP(☆入力!G35,選定!$C$3:$AG$100,1,FALSE),"")</f>
        <v/>
      </c>
      <c r="E29" s="661"/>
      <c r="F29" s="152">
        <f>☆入力!L35</f>
        <v>0</v>
      </c>
      <c r="G29" s="150" t="str">
        <f>IFERROR(VLOOKUP(☆入力!G35,選定!$C$3:$AG$100,7,FALSE),"")</f>
        <v/>
      </c>
      <c r="H29" s="1148" t="str">
        <f t="shared" si="0"/>
        <v/>
      </c>
      <c r="I29" s="1148"/>
    </row>
    <row r="30" spans="1:9" ht="10.5" hidden="1" customHeight="1" outlineLevel="1">
      <c r="A30" s="151" t="str">
        <f>☆入力!B36</f>
        <v/>
      </c>
      <c r="B30" s="151">
        <f>☆入力!C36</f>
        <v>0</v>
      </c>
      <c r="C30" s="151" t="str">
        <f>IFERROR(VLOOKUP(☆入力!G36,選定!$C$3:$AG$100,11,FALSE),"")</f>
        <v/>
      </c>
      <c r="D30" s="660" t="str">
        <f>IFERROR(VLOOKUP(☆入力!G36,選定!$C$3:$AG$100,1,FALSE),"")</f>
        <v/>
      </c>
      <c r="E30" s="661"/>
      <c r="F30" s="152">
        <f>☆入力!L36</f>
        <v>0</v>
      </c>
      <c r="G30" s="150" t="str">
        <f>IFERROR(VLOOKUP(☆入力!G36,選定!$C$3:$AG$100,7,FALSE),"")</f>
        <v/>
      </c>
      <c r="H30" s="1148" t="str">
        <f t="shared" si="0"/>
        <v/>
      </c>
      <c r="I30" s="1148"/>
    </row>
    <row r="31" spans="1:9" ht="10.5" hidden="1" customHeight="1" outlineLevel="1">
      <c r="A31" s="151" t="str">
        <f>☆入力!B37</f>
        <v/>
      </c>
      <c r="B31" s="151">
        <f>☆入力!C37</f>
        <v>0</v>
      </c>
      <c r="C31" s="151" t="str">
        <f>IFERROR(VLOOKUP(☆入力!G37,選定!$C$3:$AG$100,11,FALSE),"")</f>
        <v/>
      </c>
      <c r="D31" s="660" t="str">
        <f>IFERROR(VLOOKUP(☆入力!G37,選定!$C$3:$AG$100,1,FALSE),"")</f>
        <v/>
      </c>
      <c r="E31" s="661"/>
      <c r="F31" s="152">
        <f>☆入力!L37</f>
        <v>0</v>
      </c>
      <c r="G31" s="150" t="str">
        <f>IFERROR(VLOOKUP(☆入力!G37,選定!$C$3:$AG$100,7,FALSE),"")</f>
        <v/>
      </c>
      <c r="H31" s="1148" t="str">
        <f t="shared" si="0"/>
        <v/>
      </c>
      <c r="I31" s="1148"/>
    </row>
    <row r="32" spans="1:9" ht="10.5" hidden="1" customHeight="1" outlineLevel="1">
      <c r="A32" s="151" t="str">
        <f>☆入力!B38</f>
        <v/>
      </c>
      <c r="B32" s="151">
        <f>☆入力!C38</f>
        <v>0</v>
      </c>
      <c r="C32" s="151" t="str">
        <f>IFERROR(VLOOKUP(☆入力!G38,選定!$C$3:$AG$100,11,FALSE),"")</f>
        <v/>
      </c>
      <c r="D32" s="660" t="str">
        <f>IFERROR(VLOOKUP(☆入力!G38,選定!$C$3:$AG$100,1,FALSE),"")</f>
        <v/>
      </c>
      <c r="E32" s="661"/>
      <c r="F32" s="152">
        <f>☆入力!L38</f>
        <v>0</v>
      </c>
      <c r="G32" s="150" t="str">
        <f>IFERROR(VLOOKUP(☆入力!G38,選定!$C$3:$AG$100,7,FALSE),"")</f>
        <v/>
      </c>
      <c r="H32" s="1148" t="str">
        <f t="shared" si="0"/>
        <v/>
      </c>
      <c r="I32" s="1148"/>
    </row>
    <row r="33" spans="1:9" ht="10.5" hidden="1" customHeight="1" outlineLevel="1">
      <c r="A33" s="151" t="str">
        <f>☆入力!B39</f>
        <v/>
      </c>
      <c r="B33" s="151">
        <f>☆入力!C39</f>
        <v>0</v>
      </c>
      <c r="C33" s="151" t="str">
        <f>IFERROR(VLOOKUP(☆入力!G39,選定!$C$3:$AG$100,11,FALSE),"")</f>
        <v/>
      </c>
      <c r="D33" s="660" t="str">
        <f>IFERROR(VLOOKUP(☆入力!G39,選定!$C$3:$AG$100,1,FALSE),"")</f>
        <v/>
      </c>
      <c r="E33" s="661"/>
      <c r="F33" s="152">
        <f>☆入力!L39</f>
        <v>0</v>
      </c>
      <c r="G33" s="150" t="str">
        <f>IFERROR(VLOOKUP(☆入力!G39,選定!$C$3:$AG$100,7,FALSE),"")</f>
        <v/>
      </c>
      <c r="H33" s="1148" t="str">
        <f t="shared" si="0"/>
        <v/>
      </c>
      <c r="I33" s="1148"/>
    </row>
    <row r="34" spans="1:9" ht="10.5" hidden="1" customHeight="1" outlineLevel="1">
      <c r="A34" s="153" t="str">
        <f>☆入力!B40</f>
        <v/>
      </c>
      <c r="B34" s="153">
        <f>☆入力!C40</f>
        <v>0</v>
      </c>
      <c r="C34" s="151" t="str">
        <f>IFERROR(VLOOKUP(☆入力!G40,選定!$C$3:$AG$100,11,FALSE),"")</f>
        <v/>
      </c>
      <c r="D34" s="660" t="str">
        <f>IFERROR(VLOOKUP(☆入力!G40,選定!$C$3:$AG$100,1,FALSE),"")</f>
        <v/>
      </c>
      <c r="E34" s="661"/>
      <c r="F34" s="154">
        <f>☆入力!L40</f>
        <v>0</v>
      </c>
      <c r="G34" s="150" t="str">
        <f>IFERROR(VLOOKUP(☆入力!G40,選定!$C$3:$AG$100,7,FALSE),"")</f>
        <v/>
      </c>
      <c r="H34" s="1148" t="str">
        <f t="shared" si="0"/>
        <v/>
      </c>
      <c r="I34" s="1148"/>
    </row>
    <row r="35" spans="1:9" ht="10.5" hidden="1" customHeight="1" outlineLevel="1">
      <c r="A35" s="153" t="str">
        <f>☆入力!B41</f>
        <v/>
      </c>
      <c r="B35" s="153">
        <f>☆入力!C41</f>
        <v>0</v>
      </c>
      <c r="C35" s="151" t="str">
        <f>IFERROR(VLOOKUP(☆入力!G41,選定!$C$3:$AG$100,11,FALSE),"")</f>
        <v/>
      </c>
      <c r="D35" s="660" t="str">
        <f>IFERROR(VLOOKUP(☆入力!G41,選定!$C$3:$AG$100,1,FALSE),"")</f>
        <v/>
      </c>
      <c r="E35" s="661"/>
      <c r="F35" s="154">
        <f>☆入力!L41</f>
        <v>0</v>
      </c>
      <c r="G35" s="150" t="str">
        <f>IFERROR(VLOOKUP(☆入力!G41,選定!$C$3:$AG$100,7,FALSE),"")</f>
        <v/>
      </c>
      <c r="H35" s="1148" t="str">
        <f t="shared" si="0"/>
        <v/>
      </c>
      <c r="I35" s="1148"/>
    </row>
    <row r="36" spans="1:9" ht="10.5" hidden="1" customHeight="1" outlineLevel="1">
      <c r="A36" s="153" t="str">
        <f>☆入力!B42</f>
        <v/>
      </c>
      <c r="B36" s="153">
        <f>☆入力!C42</f>
        <v>0</v>
      </c>
      <c r="C36" s="151" t="str">
        <f>IFERROR(VLOOKUP(☆入力!G42,選定!$C$3:$AG$100,11,FALSE),"")</f>
        <v/>
      </c>
      <c r="D36" s="660" t="str">
        <f>IFERROR(VLOOKUP(☆入力!G42,選定!$C$3:$AG$100,1,FALSE),"")</f>
        <v/>
      </c>
      <c r="E36" s="661"/>
      <c r="F36" s="154">
        <f>☆入力!L42</f>
        <v>0</v>
      </c>
      <c r="G36" s="150" t="str">
        <f>IFERROR(VLOOKUP(☆入力!G42,選定!$C$3:$AG$100,7,FALSE),"")</f>
        <v/>
      </c>
      <c r="H36" s="1148" t="str">
        <f t="shared" si="0"/>
        <v/>
      </c>
      <c r="I36" s="1148"/>
    </row>
    <row r="37" spans="1:9" ht="10.5" hidden="1" customHeight="1" outlineLevel="1">
      <c r="A37" s="153" t="str">
        <f>☆入力!B43</f>
        <v/>
      </c>
      <c r="B37" s="153">
        <f>☆入力!C43</f>
        <v>0</v>
      </c>
      <c r="C37" s="151" t="str">
        <f>IFERROR(VLOOKUP(☆入力!G43,選定!$C$3:$AG$100,11,FALSE),"")</f>
        <v/>
      </c>
      <c r="D37" s="660" t="str">
        <f>IFERROR(VLOOKUP(☆入力!G43,選定!$C$3:$AG$100,1,FALSE),"")</f>
        <v/>
      </c>
      <c r="E37" s="661"/>
      <c r="F37" s="154">
        <f>☆入力!L43</f>
        <v>0</v>
      </c>
      <c r="G37" s="150" t="str">
        <f>IFERROR(VLOOKUP(☆入力!G43,選定!$C$3:$AG$100,7,FALSE),"")</f>
        <v/>
      </c>
      <c r="H37" s="1148" t="str">
        <f t="shared" si="0"/>
        <v/>
      </c>
      <c r="I37" s="1148"/>
    </row>
    <row r="38" spans="1:9" ht="10.5" hidden="1" customHeight="1" outlineLevel="1">
      <c r="A38" s="153" t="str">
        <f>☆入力!B44</f>
        <v/>
      </c>
      <c r="B38" s="153">
        <f>☆入力!C44</f>
        <v>0</v>
      </c>
      <c r="C38" s="151" t="str">
        <f>IFERROR(VLOOKUP(☆入力!G44,選定!$C$3:$AG$100,11,FALSE),"")</f>
        <v/>
      </c>
      <c r="D38" s="660" t="str">
        <f>IFERROR(VLOOKUP(☆入力!G44,選定!$C$3:$AG$100,1,FALSE),"")</f>
        <v/>
      </c>
      <c r="E38" s="661"/>
      <c r="F38" s="154">
        <f>☆入力!L44</f>
        <v>0</v>
      </c>
      <c r="G38" s="150" t="str">
        <f>IFERROR(VLOOKUP(☆入力!G44,選定!$C$3:$AG$100,7,FALSE),"")</f>
        <v/>
      </c>
      <c r="H38" s="1148" t="str">
        <f t="shared" si="0"/>
        <v/>
      </c>
      <c r="I38" s="1148"/>
    </row>
    <row r="39" spans="1:9" ht="10.5" hidden="1" customHeight="1" outlineLevel="1">
      <c r="A39" s="153" t="str">
        <f>☆入力!B45</f>
        <v/>
      </c>
      <c r="B39" s="153">
        <f>☆入力!C45</f>
        <v>0</v>
      </c>
      <c r="C39" s="159" t="str">
        <f>IFERROR(VLOOKUP(☆入力!G45,選定!$C$3:$AG$100,11,FALSE),"")</f>
        <v/>
      </c>
      <c r="D39" s="662" t="str">
        <f>IFERROR(VLOOKUP(☆入力!G45,選定!$C$3:$AG$100,1,FALSE),"")</f>
        <v/>
      </c>
      <c r="E39" s="663"/>
      <c r="F39" s="154">
        <f>☆入力!L45</f>
        <v>0</v>
      </c>
      <c r="G39" s="150" t="str">
        <f>IFERROR(VLOOKUP(☆入力!G45,選定!$C$3:$AG$100,7,FALSE),"")</f>
        <v/>
      </c>
      <c r="H39" s="1148" t="str">
        <f t="shared" si="0"/>
        <v/>
      </c>
      <c r="I39" s="1148"/>
    </row>
    <row r="40" spans="1:9" ht="10.9" customHeight="1" collapsed="1">
      <c r="A40" s="1215"/>
      <c r="B40" s="1215"/>
      <c r="C40" s="1215"/>
      <c r="D40" s="1215"/>
      <c r="E40" s="668"/>
      <c r="F40" s="1217" t="s">
        <v>397</v>
      </c>
      <c r="G40" s="1217"/>
      <c r="H40" s="1216">
        <f>SUM(H10:I39)</f>
        <v>0</v>
      </c>
      <c r="I40" s="1216"/>
    </row>
    <row r="41" spans="1:9" ht="10.5" customHeight="1">
      <c r="A41" s="112"/>
      <c r="B41" s="112"/>
      <c r="C41" s="112"/>
      <c r="D41" s="113"/>
      <c r="E41" s="113"/>
      <c r="F41" s="114"/>
      <c r="G41" s="114"/>
      <c r="H41" s="115"/>
      <c r="I41" s="115"/>
    </row>
    <row r="42" spans="1:9" ht="10.5" customHeight="1">
      <c r="A42" s="1154" t="s">
        <v>398</v>
      </c>
      <c r="B42" s="1155"/>
      <c r="C42" s="1155"/>
      <c r="D42" s="1155"/>
      <c r="E42" s="664"/>
      <c r="F42" s="473" t="s">
        <v>211</v>
      </c>
      <c r="G42" s="473" t="s">
        <v>380</v>
      </c>
      <c r="H42" s="1147" t="s">
        <v>381</v>
      </c>
      <c r="I42" s="1147"/>
    </row>
    <row r="43" spans="1:9" ht="10.5" customHeight="1">
      <c r="A43" s="1157" t="s">
        <v>399</v>
      </c>
      <c r="B43" s="1158"/>
      <c r="C43" s="1158"/>
      <c r="D43" s="1158"/>
      <c r="E43" s="666"/>
      <c r="F43" s="667">
        <f>VLOOKUP(☆入力!L14,LED計算式!M21:N26,2,TRUE)</f>
        <v>1</v>
      </c>
      <c r="G43" s="667">
        <v>20000</v>
      </c>
      <c r="H43" s="1169">
        <f t="shared" ref="H43:H51" si="1">IFERROR(G43*F43,"")</f>
        <v>20000</v>
      </c>
      <c r="I43" s="1169"/>
    </row>
    <row r="44" spans="1:9" ht="10.35" customHeight="1">
      <c r="A44" s="1117" t="s">
        <v>400</v>
      </c>
      <c r="B44" s="1118"/>
      <c r="C44" s="1118"/>
      <c r="D44" s="1118"/>
      <c r="E44" s="661"/>
      <c r="F44" s="152">
        <f>LED計算式!O36</f>
        <v>0</v>
      </c>
      <c r="G44" s="152">
        <v>3000</v>
      </c>
      <c r="H44" s="1116">
        <f t="shared" si="1"/>
        <v>0</v>
      </c>
      <c r="I44" s="1116"/>
    </row>
    <row r="45" spans="1:9" ht="10.35" hidden="1" customHeight="1" outlineLevel="1">
      <c r="A45" s="1117" t="s">
        <v>401</v>
      </c>
      <c r="B45" s="1118"/>
      <c r="C45" s="1118"/>
      <c r="D45" s="1118"/>
      <c r="E45" s="661"/>
      <c r="F45" s="152">
        <f>LED計算式!O37</f>
        <v>0</v>
      </c>
      <c r="G45" s="152">
        <v>5000</v>
      </c>
      <c r="H45" s="1116">
        <f t="shared" si="1"/>
        <v>0</v>
      </c>
      <c r="I45" s="1116"/>
    </row>
    <row r="46" spans="1:9" ht="10.35" hidden="1" customHeight="1" outlineLevel="1">
      <c r="A46" s="1117" t="s">
        <v>402</v>
      </c>
      <c r="B46" s="1118"/>
      <c r="C46" s="1118"/>
      <c r="D46" s="1118"/>
      <c r="E46" s="661"/>
      <c r="F46" s="152">
        <f>LED計算式!O38</f>
        <v>0</v>
      </c>
      <c r="G46" s="152">
        <v>2000</v>
      </c>
      <c r="H46" s="1116">
        <f t="shared" si="1"/>
        <v>0</v>
      </c>
      <c r="I46" s="1116"/>
    </row>
    <row r="47" spans="1:9" ht="10.35" hidden="1" customHeight="1" outlineLevel="1">
      <c r="A47" s="1117" t="s">
        <v>403</v>
      </c>
      <c r="B47" s="1118"/>
      <c r="C47" s="1118"/>
      <c r="D47" s="1118"/>
      <c r="E47" s="661"/>
      <c r="F47" s="152">
        <f>LED計算式!O39</f>
        <v>0</v>
      </c>
      <c r="G47" s="152">
        <v>600</v>
      </c>
      <c r="H47" s="1116">
        <f t="shared" si="1"/>
        <v>0</v>
      </c>
      <c r="I47" s="1116"/>
    </row>
    <row r="48" spans="1:9" ht="10.5" customHeight="1" collapsed="1">
      <c r="A48" s="1117" t="s">
        <v>404</v>
      </c>
      <c r="B48" s="1118"/>
      <c r="C48" s="1118"/>
      <c r="D48" s="1118"/>
      <c r="E48" s="661"/>
      <c r="F48" s="152">
        <f>COUNTA(☆入力!AG16:AG45)</f>
        <v>1</v>
      </c>
      <c r="G48" s="152">
        <v>3000</v>
      </c>
      <c r="H48" s="1116">
        <f t="shared" si="1"/>
        <v>3000</v>
      </c>
      <c r="I48" s="1116"/>
    </row>
    <row r="49" spans="1:10" ht="10.5" customHeight="1">
      <c r="A49" s="1117" t="s">
        <v>405</v>
      </c>
      <c r="B49" s="1118"/>
      <c r="C49" s="1118"/>
      <c r="D49" s="1118"/>
      <c r="E49" s="661"/>
      <c r="F49" s="152">
        <f>SUM(F44:F46)</f>
        <v>0</v>
      </c>
      <c r="G49" s="152">
        <v>1000</v>
      </c>
      <c r="H49" s="1116">
        <f t="shared" si="1"/>
        <v>0</v>
      </c>
      <c r="I49" s="1116"/>
    </row>
    <row r="50" spans="1:10" ht="10.5" customHeight="1">
      <c r="A50" s="1117" t="s">
        <v>406</v>
      </c>
      <c r="B50" s="1118"/>
      <c r="C50" s="1118"/>
      <c r="D50" s="1118"/>
      <c r="E50" s="661"/>
      <c r="F50" s="152">
        <f>COUNTA(☆入力!AG16:AG45)</f>
        <v>1</v>
      </c>
      <c r="G50" s="152">
        <v>5000</v>
      </c>
      <c r="H50" s="1116">
        <f t="shared" si="1"/>
        <v>5000</v>
      </c>
      <c r="I50" s="1116"/>
    </row>
    <row r="51" spans="1:10" ht="10.5" customHeight="1">
      <c r="A51" s="1121">
        <f>☆入力!AH12</f>
        <v>0</v>
      </c>
      <c r="B51" s="1122"/>
      <c r="C51" s="1122"/>
      <c r="D51" s="1122"/>
      <c r="E51" s="663"/>
      <c r="F51" s="160" t="str">
        <f>IF(☆入力!AH12&lt;&gt;"","1","")</f>
        <v/>
      </c>
      <c r="G51" s="161">
        <f>☆入力!AJ12</f>
        <v>0</v>
      </c>
      <c r="H51" s="1187" t="str">
        <f t="shared" si="1"/>
        <v/>
      </c>
      <c r="I51" s="1187"/>
    </row>
    <row r="52" spans="1:10" ht="12" customHeight="1">
      <c r="A52" s="1548"/>
      <c r="B52" s="1548"/>
      <c r="C52" s="1548"/>
      <c r="D52" s="1548"/>
      <c r="E52" s="105"/>
      <c r="F52" s="1191" t="s">
        <v>407</v>
      </c>
      <c r="G52" s="1191"/>
      <c r="H52" s="1188">
        <f>SUM(H43:I51)</f>
        <v>28000</v>
      </c>
      <c r="I52" s="1188"/>
    </row>
    <row r="53" spans="1:10">
      <c r="F53" s="105"/>
      <c r="G53" s="105"/>
      <c r="H53" s="105"/>
      <c r="I53" s="105"/>
    </row>
    <row r="54" spans="1:10" s="105" customFormat="1" ht="12" customHeight="1">
      <c r="F54" s="1190" t="s">
        <v>408</v>
      </c>
      <c r="G54" s="1190"/>
      <c r="H54" s="1189">
        <f>ROUNDDOWN(H40+H52,0)</f>
        <v>28000</v>
      </c>
      <c r="I54" s="1189"/>
    </row>
    <row r="55" spans="1:10" s="105" customFormat="1" ht="12" customHeight="1">
      <c r="F55" s="1204" t="s">
        <v>415</v>
      </c>
      <c r="G55" s="1204"/>
      <c r="H55" s="1192">
        <f ca="1">(☆入力!AL14+代理店入力用!D5)-SUM(H40,H43:I51)</f>
        <v>-28000</v>
      </c>
      <c r="I55" s="1192"/>
    </row>
    <row r="56" spans="1:10" s="105" customFormat="1" ht="12" customHeight="1">
      <c r="A56" s="105" t="s">
        <v>384</v>
      </c>
      <c r="F56" s="1204" t="str">
        <f>"複数棟割引（ "&amp;TEXT(☆入力!AR11,"0%")&amp;" OFF ）"</f>
        <v>複数棟割引（ 0% OFF ）</v>
      </c>
      <c r="G56" s="1204"/>
      <c r="H56" s="1192">
        <f ca="1">-(☆入力!AL14*☆入力!AR11)</f>
        <v>0</v>
      </c>
      <c r="I56" s="1192"/>
    </row>
    <row r="57" spans="1:10" s="105" customFormat="1" ht="12" customHeight="1" thickBot="1">
      <c r="A57" s="1201" t="str">
        <f>☆入力!AH4</f>
        <v>生産終了品などがあった場合、同メーカーもしくは他メーカーの同等品に変更される場合がございます。</v>
      </c>
      <c r="B57" s="1202"/>
      <c r="C57" s="1202"/>
      <c r="D57" s="1203"/>
      <c r="F57" s="1205" t="s">
        <v>43</v>
      </c>
      <c r="G57" s="1205"/>
      <c r="H57" s="1193">
        <f ca="1">SUM(H54:I56)</f>
        <v>0</v>
      </c>
      <c r="I57" s="1193"/>
    </row>
    <row r="58" spans="1:10" ht="10.35" customHeight="1" thickTop="1" thickBot="1">
      <c r="A58" s="1194"/>
      <c r="B58" s="1195"/>
      <c r="C58" s="1195"/>
      <c r="D58" s="1196"/>
      <c r="E58" s="105"/>
      <c r="F58" s="105"/>
    </row>
    <row r="59" spans="1:10" ht="9" customHeight="1" thickBot="1">
      <c r="A59" s="1194">
        <f>☆入力!AH5</f>
        <v>0</v>
      </c>
      <c r="B59" s="1195"/>
      <c r="C59" s="1195"/>
      <c r="D59" s="1196"/>
      <c r="E59" s="105"/>
      <c r="F59" s="1213" t="s">
        <v>376</v>
      </c>
      <c r="G59" s="1214"/>
      <c r="H59" s="1197">
        <f ca="1">VLOOKUP(F59,K11:L12,2,FALSE)</f>
        <v>0</v>
      </c>
      <c r="I59" s="1198"/>
    </row>
    <row r="60" spans="1:10" ht="9" customHeight="1" thickBot="1">
      <c r="A60" s="1194"/>
      <c r="B60" s="1195"/>
      <c r="C60" s="1195"/>
      <c r="D60" s="1196"/>
      <c r="E60" s="105"/>
      <c r="F60" s="1213"/>
      <c r="G60" s="1214"/>
      <c r="H60" s="1199"/>
      <c r="I60" s="1200"/>
    </row>
    <row r="61" spans="1:10" ht="9" customHeight="1" thickBot="1">
      <c r="A61" s="1194">
        <f>☆入力!AH6</f>
        <v>0</v>
      </c>
      <c r="B61" s="1195"/>
      <c r="C61" s="1195"/>
      <c r="D61" s="1196"/>
      <c r="E61" s="105"/>
      <c r="F61" s="1213" t="s">
        <v>372</v>
      </c>
      <c r="G61" s="1214"/>
      <c r="H61" s="1209">
        <f ca="1">VLOOKUP(F61,K9:L10,2,FALSE)</f>
        <v>0</v>
      </c>
      <c r="I61" s="1211" t="s">
        <v>410</v>
      </c>
    </row>
    <row r="62" spans="1:10" ht="9" customHeight="1" thickBot="1">
      <c r="A62" s="1206"/>
      <c r="B62" s="1207"/>
      <c r="C62" s="1207"/>
      <c r="D62" s="1208"/>
      <c r="E62" s="105"/>
      <c r="F62" s="1213"/>
      <c r="G62" s="1214"/>
      <c r="H62" s="1210"/>
      <c r="I62" s="1212"/>
    </row>
    <row r="63" spans="1:10">
      <c r="A63" s="105"/>
      <c r="B63" s="105"/>
      <c r="C63" s="105"/>
      <c r="D63" s="105"/>
      <c r="E63" s="105"/>
      <c r="F63" s="231"/>
      <c r="J63" s="383" t="s">
        <v>377</v>
      </c>
    </row>
    <row r="64" spans="1:10" ht="10.15" customHeight="1">
      <c r="A64" s="105"/>
      <c r="B64" s="105"/>
      <c r="C64" s="105"/>
      <c r="D64" s="105"/>
      <c r="E64" s="105"/>
      <c r="F64" s="105"/>
    </row>
    <row r="65" ht="10.15" customHeight="1"/>
    <row r="66" ht="10.15" customHeight="1"/>
    <row r="67" ht="10.15" customHeight="1"/>
  </sheetData>
  <mergeCells count="79">
    <mergeCell ref="H9:I9"/>
    <mergeCell ref="D9:E9"/>
    <mergeCell ref="A1:D2"/>
    <mergeCell ref="A3:D4"/>
    <mergeCell ref="G4:I4"/>
    <mergeCell ref="G5:I5"/>
    <mergeCell ref="G6:I6"/>
    <mergeCell ref="H21:I21"/>
    <mergeCell ref="H10:I10"/>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 ref="A40:D40"/>
    <mergeCell ref="H40:I40"/>
    <mergeCell ref="H34:I34"/>
    <mergeCell ref="H35:I35"/>
    <mergeCell ref="H36:I36"/>
    <mergeCell ref="H37:I37"/>
    <mergeCell ref="H38:I38"/>
    <mergeCell ref="H39:I39"/>
    <mergeCell ref="F40:G40"/>
    <mergeCell ref="A42:D42"/>
    <mergeCell ref="H42:I42"/>
    <mergeCell ref="A43:D43"/>
    <mergeCell ref="H43:I43"/>
    <mergeCell ref="A44:D44"/>
    <mergeCell ref="H44:I44"/>
    <mergeCell ref="A50:D50"/>
    <mergeCell ref="H50:I50"/>
    <mergeCell ref="A45:D45"/>
    <mergeCell ref="H45:I45"/>
    <mergeCell ref="A46:D46"/>
    <mergeCell ref="H46:I46"/>
    <mergeCell ref="A47:D47"/>
    <mergeCell ref="H47:I47"/>
    <mergeCell ref="A48:D48"/>
    <mergeCell ref="H48:I48"/>
    <mergeCell ref="A49:D49"/>
    <mergeCell ref="H49:I49"/>
    <mergeCell ref="A61:D62"/>
    <mergeCell ref="H61:H62"/>
    <mergeCell ref="I61:I62"/>
    <mergeCell ref="F59:G60"/>
    <mergeCell ref="F61:G62"/>
    <mergeCell ref="H55:I55"/>
    <mergeCell ref="H56:I56"/>
    <mergeCell ref="H57:I57"/>
    <mergeCell ref="A59:D60"/>
    <mergeCell ref="H59:I60"/>
    <mergeCell ref="A57:D58"/>
    <mergeCell ref="F55:G55"/>
    <mergeCell ref="F56:G56"/>
    <mergeCell ref="F57:G57"/>
    <mergeCell ref="A51:D51"/>
    <mergeCell ref="H51:I51"/>
    <mergeCell ref="A52:D52"/>
    <mergeCell ref="H52:I52"/>
    <mergeCell ref="H54:I54"/>
    <mergeCell ref="F54:G54"/>
    <mergeCell ref="F52:G52"/>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1"/>
  <sheetViews>
    <sheetView view="pageBreakPreview" topLeftCell="A4" zoomScale="80" zoomScaleNormal="85" zoomScaleSheetLayoutView="80" workbookViewId="0">
      <selection activeCell="C52" sqref="C52"/>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77" t="s">
        <v>364</v>
      </c>
      <c r="B1" s="1077"/>
      <c r="C1" s="1077"/>
      <c r="F1" s="76" t="s">
        <v>365</v>
      </c>
      <c r="G1" s="77">
        <f ca="1">TODAY()</f>
        <v>46119</v>
      </c>
    </row>
    <row r="2" spans="1:10" ht="15" customHeight="1">
      <c r="A2" s="1077"/>
      <c r="B2" s="1077"/>
      <c r="C2" s="1077"/>
      <c r="F2" s="76"/>
      <c r="G2" s="78"/>
    </row>
    <row r="3" spans="1:10" ht="15" customHeight="1">
      <c r="A3" s="1100">
        <f>☆入力!C5</f>
        <v>0</v>
      </c>
      <c r="B3" s="1100"/>
      <c r="C3" s="1100"/>
    </row>
    <row r="4" spans="1:10" ht="15" customHeight="1">
      <c r="A4" s="1218"/>
      <c r="B4" s="1218"/>
      <c r="C4" s="1218"/>
      <c r="E4" s="1219" t="str">
        <f>IF(代理店入力用!N3="",①表紙!I25,代理店入力用!N3)</f>
        <v>株式会社スマイルサポート</v>
      </c>
      <c r="F4" s="1219"/>
      <c r="G4" s="1219"/>
    </row>
    <row r="5" spans="1:10" ht="15" customHeight="1">
      <c r="E5" s="1220" t="str">
        <f>IF(代理店入力用!N5="",①表紙!I26,①表紙!A26)</f>
        <v>〒305-0046茨城県つくば市東2-10-14</v>
      </c>
      <c r="F5" s="1220"/>
      <c r="G5" s="1220"/>
    </row>
    <row r="6" spans="1:10" ht="15" customHeight="1">
      <c r="A6" s="105" t="s">
        <v>366</v>
      </c>
      <c r="E6" s="1220" t="str">
        <f>IF(代理店入力用!N6="",①表紙!I27,①表紙!A27)</f>
        <v>TEL：　029-860-5211</v>
      </c>
      <c r="F6" s="1220"/>
      <c r="G6" s="1220"/>
    </row>
    <row r="7" spans="1:10" ht="15" customHeight="1">
      <c r="A7" s="105" t="s">
        <v>394</v>
      </c>
    </row>
    <row r="8" spans="1:10" ht="6" customHeight="1"/>
    <row r="9" spans="1:10" ht="10.5" customHeight="1">
      <c r="A9" s="473" t="s">
        <v>378</v>
      </c>
      <c r="B9" s="473" t="s">
        <v>105</v>
      </c>
      <c r="C9" s="473" t="s">
        <v>315</v>
      </c>
      <c r="D9" s="473" t="s">
        <v>38</v>
      </c>
      <c r="E9" s="473" t="s">
        <v>380</v>
      </c>
      <c r="F9" s="1147" t="s">
        <v>381</v>
      </c>
      <c r="G9" s="1147"/>
      <c r="I9" s="379" t="s">
        <v>369</v>
      </c>
      <c r="J9" s="382">
        <f ca="1">ROUNDDOWN(G54*LED計算式!AC2,0)</f>
        <v>0</v>
      </c>
    </row>
    <row r="10" spans="1:10" ht="10.5" customHeight="1">
      <c r="A10" s="148">
        <v>1</v>
      </c>
      <c r="B10" s="149" t="str">
        <f>IFERROR(VLOOKUP(☆入力!G16,選定!$C$3:$AG$100,11,FALSE),"")</f>
        <v/>
      </c>
      <c r="C10" s="316" t="str">
        <f>IFERROR(VLOOKUP(☆入力!G16,選定!$C$3:$AG$100,1,FALSE),"")</f>
        <v/>
      </c>
      <c r="D10" s="150">
        <f>☆入力!L16</f>
        <v>0</v>
      </c>
      <c r="E10" s="150" t="str">
        <f>IFERROR(VLOOKUP(☆入力!G16,選定!$C$3:$AG$100,7,FALSE),"")</f>
        <v/>
      </c>
      <c r="F10" s="1148" t="str">
        <f>IFERROR(E10*D10,"")</f>
        <v/>
      </c>
      <c r="G10" s="1148"/>
      <c r="I10" s="379" t="s">
        <v>372</v>
      </c>
      <c r="J10" s="382">
        <f ca="1">ROUNDDOWN(J9*1.1,0)</f>
        <v>0</v>
      </c>
    </row>
    <row r="11" spans="1:10" ht="10.5" customHeight="1">
      <c r="A11" s="151">
        <v>2</v>
      </c>
      <c r="B11" s="151" t="str">
        <f>IFERROR(VLOOKUP(☆入力!G17,選定!$C$3:$AG$100,11,FALSE),"")</f>
        <v/>
      </c>
      <c r="C11" s="316" t="str">
        <f>IFERROR(VLOOKUP(☆入力!G17,選定!$C$3:$AG$100,1,FALSE),"")</f>
        <v/>
      </c>
      <c r="D11" s="152">
        <f>☆入力!L17</f>
        <v>0</v>
      </c>
      <c r="E11" s="150" t="str">
        <f>IFERROR(VLOOKUP(☆入力!G17,選定!$C$3:$AG$100,7,FALSE),"")</f>
        <v/>
      </c>
      <c r="F11" s="1165" t="str">
        <f t="shared" ref="F11:F39" si="0">IFERROR(E11*D11,"")</f>
        <v/>
      </c>
      <c r="G11" s="1166"/>
      <c r="I11" s="27" t="s">
        <v>375</v>
      </c>
      <c r="J11" s="382">
        <f ca="1">G54</f>
        <v>0</v>
      </c>
    </row>
    <row r="12" spans="1:10" ht="10.5" customHeight="1">
      <c r="A12" s="151">
        <v>3</v>
      </c>
      <c r="B12" s="151" t="str">
        <f>IFERROR(VLOOKUP(☆入力!G18,選定!$C$3:$AG$100,11,FALSE),"")</f>
        <v/>
      </c>
      <c r="C12" s="316" t="str">
        <f>IFERROR(VLOOKUP(☆入力!G18,選定!$C$3:$AG$100,1,FALSE),"")</f>
        <v/>
      </c>
      <c r="D12" s="152">
        <f>☆入力!L18</f>
        <v>0</v>
      </c>
      <c r="E12" s="150" t="str">
        <f>IFERROR(VLOOKUP(☆入力!G18,選定!$C$3:$AG$100,7,FALSE),"")</f>
        <v/>
      </c>
      <c r="F12" s="1165" t="str">
        <f t="shared" si="0"/>
        <v/>
      </c>
      <c r="G12" s="1166"/>
      <c r="I12" s="27" t="s">
        <v>376</v>
      </c>
      <c r="J12" s="382">
        <f ca="1">ROUNDDOWN(J11*1.1,0)</f>
        <v>0</v>
      </c>
    </row>
    <row r="13" spans="1:10" ht="10.5" customHeight="1">
      <c r="A13" s="151">
        <v>4</v>
      </c>
      <c r="B13" s="151" t="str">
        <f>IFERROR(VLOOKUP(☆入力!G19,選定!$C$3:$AG$100,11,FALSE),"")</f>
        <v/>
      </c>
      <c r="C13" s="317" t="str">
        <f>IFERROR(VLOOKUP(☆入力!G19,選定!$C$3:$AG$100,1,FALSE),"")</f>
        <v/>
      </c>
      <c r="D13" s="152">
        <f>☆入力!L19</f>
        <v>0</v>
      </c>
      <c r="E13" s="150" t="str">
        <f>IFERROR(VLOOKUP(☆入力!G19,選定!$C$3:$AG$100,7,FALSE),"")</f>
        <v/>
      </c>
      <c r="F13" s="1170" t="str">
        <f t="shared" si="0"/>
        <v/>
      </c>
      <c r="G13" s="1171"/>
    </row>
    <row r="14" spans="1:10" ht="10.5" customHeight="1">
      <c r="A14" s="151">
        <v>5</v>
      </c>
      <c r="B14" s="151" t="str">
        <f>IFERROR(VLOOKUP(☆入力!G20,選定!$C$3:$AG$100,11,FALSE),"")</f>
        <v/>
      </c>
      <c r="C14" s="317" t="str">
        <f>IFERROR(VLOOKUP(☆入力!G20,選定!$C$3:$AG$100,1,FALSE),"")</f>
        <v/>
      </c>
      <c r="D14" s="152">
        <f>☆入力!L20</f>
        <v>0</v>
      </c>
      <c r="E14" s="150" t="str">
        <f>IFERROR(VLOOKUP(☆入力!G20,選定!$C$3:$AG$100,7,FALSE),"")</f>
        <v/>
      </c>
      <c r="F14" s="1170" t="str">
        <f t="shared" si="0"/>
        <v/>
      </c>
      <c r="G14" s="1171"/>
    </row>
    <row r="15" spans="1:10" ht="10.5" customHeight="1">
      <c r="A15" s="151">
        <v>6</v>
      </c>
      <c r="B15" s="151" t="str">
        <f>IFERROR(VLOOKUP(☆入力!G21,選定!$C$3:$AG$100,11,FALSE),"")</f>
        <v/>
      </c>
      <c r="C15" s="317" t="str">
        <f>IFERROR(VLOOKUP(☆入力!G21,選定!$C$3:$AG$100,1,FALSE),"")</f>
        <v/>
      </c>
      <c r="D15" s="152">
        <f>☆入力!L21</f>
        <v>0</v>
      </c>
      <c r="E15" s="150" t="str">
        <f>IFERROR(VLOOKUP(☆入力!G21,選定!$C$3:$AG$100,7,FALSE),"")</f>
        <v/>
      </c>
      <c r="F15" s="1170" t="str">
        <f t="shared" si="0"/>
        <v/>
      </c>
      <c r="G15" s="1171"/>
    </row>
    <row r="16" spans="1:10" ht="10.5" customHeight="1">
      <c r="A16" s="151">
        <v>7</v>
      </c>
      <c r="B16" s="151" t="str">
        <f>IFERROR(VLOOKUP(☆入力!G22,選定!$C$3:$AG$100,11,FALSE),"")</f>
        <v/>
      </c>
      <c r="C16" s="317" t="str">
        <f>IFERROR(VLOOKUP(☆入力!G22,選定!$C$3:$AG$100,1,FALSE),"")</f>
        <v/>
      </c>
      <c r="D16" s="152">
        <f>☆入力!L22</f>
        <v>0</v>
      </c>
      <c r="E16" s="150" t="str">
        <f>IFERROR(VLOOKUP(☆入力!G22,選定!$C$3:$AG$100,7,FALSE),"")</f>
        <v/>
      </c>
      <c r="F16" s="1170" t="str">
        <f t="shared" si="0"/>
        <v/>
      </c>
      <c r="G16" s="1171"/>
    </row>
    <row r="17" spans="1:7" ht="10.5" customHeight="1">
      <c r="A17" s="151">
        <v>8</v>
      </c>
      <c r="B17" s="151" t="str">
        <f>IFERROR(VLOOKUP(☆入力!G23,選定!$C$3:$AG$100,11,FALSE),"")</f>
        <v/>
      </c>
      <c r="C17" s="317" t="str">
        <f>IFERROR(VLOOKUP(☆入力!G23,選定!$C$3:$AG$100,1,FALSE),"")</f>
        <v/>
      </c>
      <c r="D17" s="152">
        <f>☆入力!L23</f>
        <v>0</v>
      </c>
      <c r="E17" s="150" t="str">
        <f>IFERROR(VLOOKUP(☆入力!G23,選定!$C$3:$AG$100,7,FALSE),"")</f>
        <v/>
      </c>
      <c r="F17" s="1170" t="str">
        <f t="shared" si="0"/>
        <v/>
      </c>
      <c r="G17" s="1171"/>
    </row>
    <row r="18" spans="1:7" ht="10.5" customHeight="1">
      <c r="A18" s="151">
        <v>9</v>
      </c>
      <c r="B18" s="151" t="str">
        <f>IFERROR(VLOOKUP(☆入力!G24,選定!$C$3:$AG$100,11,FALSE),"")</f>
        <v/>
      </c>
      <c r="C18" s="317" t="str">
        <f>IFERROR(VLOOKUP(☆入力!G24,選定!$C$3:$AG$100,1,FALSE),"")</f>
        <v/>
      </c>
      <c r="D18" s="152">
        <f>☆入力!L24</f>
        <v>0</v>
      </c>
      <c r="E18" s="150" t="str">
        <f>IFERROR(VLOOKUP(☆入力!G24,選定!$C$3:$AG$100,7,FALSE),"")</f>
        <v/>
      </c>
      <c r="F18" s="1170" t="str">
        <f t="shared" si="0"/>
        <v/>
      </c>
      <c r="G18" s="1171"/>
    </row>
    <row r="19" spans="1:7" ht="10.5" customHeight="1">
      <c r="A19" s="151">
        <v>10</v>
      </c>
      <c r="B19" s="151" t="str">
        <f>IFERROR(VLOOKUP(☆入力!G25,選定!$C$3:$AG$100,11,FALSE),"")</f>
        <v/>
      </c>
      <c r="C19" s="317" t="str">
        <f>IFERROR(VLOOKUP(☆入力!G25,選定!$C$3:$AG$100,1,FALSE),"")</f>
        <v/>
      </c>
      <c r="D19" s="152">
        <f>☆入力!L25</f>
        <v>0</v>
      </c>
      <c r="E19" s="150" t="str">
        <f>IFERROR(VLOOKUP(☆入力!G25,選定!$C$3:$AG$100,7,FALSE),"")</f>
        <v/>
      </c>
      <c r="F19" s="1170" t="str">
        <f t="shared" si="0"/>
        <v/>
      </c>
      <c r="G19" s="1171"/>
    </row>
    <row r="20" spans="1:7" ht="10.5" customHeight="1">
      <c r="A20" s="151">
        <v>11</v>
      </c>
      <c r="B20" s="151" t="str">
        <f>IFERROR(VLOOKUP(☆入力!G26,選定!$C$3:$AG$100,11,FALSE),"")</f>
        <v/>
      </c>
      <c r="C20" s="317" t="str">
        <f>IFERROR(VLOOKUP(☆入力!G26,選定!$C$3:$AG$100,1,FALSE),"")</f>
        <v/>
      </c>
      <c r="D20" s="152">
        <f>☆入力!L26</f>
        <v>0</v>
      </c>
      <c r="E20" s="150" t="str">
        <f>IFERROR(VLOOKUP(☆入力!G26,選定!$C$3:$AG$100,7,FALSE),"")</f>
        <v/>
      </c>
      <c r="F20" s="1170" t="str">
        <f t="shared" si="0"/>
        <v/>
      </c>
      <c r="G20" s="1171"/>
    </row>
    <row r="21" spans="1:7" ht="10.5" customHeight="1">
      <c r="A21" s="151">
        <v>12</v>
      </c>
      <c r="B21" s="151" t="str">
        <f>IFERROR(VLOOKUP(☆入力!G27,選定!$C$3:$AG$100,11,FALSE),"")</f>
        <v/>
      </c>
      <c r="C21" s="317" t="str">
        <f>IFERROR(VLOOKUP(☆入力!G27,選定!$C$3:$AG$100,1,FALSE),"")</f>
        <v/>
      </c>
      <c r="D21" s="152">
        <f>☆入力!L27</f>
        <v>0</v>
      </c>
      <c r="E21" s="150" t="str">
        <f>IFERROR(VLOOKUP(☆入力!G27,選定!$C$3:$AG$100,7,FALSE),"")</f>
        <v/>
      </c>
      <c r="F21" s="1170" t="str">
        <f t="shared" si="0"/>
        <v/>
      </c>
      <c r="G21" s="1171"/>
    </row>
    <row r="22" spans="1:7" ht="10.5" customHeight="1">
      <c r="A22" s="151">
        <v>13</v>
      </c>
      <c r="B22" s="151" t="str">
        <f>IFERROR(VLOOKUP(☆入力!G28,選定!$C$3:$AG$100,11,FALSE),"")</f>
        <v/>
      </c>
      <c r="C22" s="317" t="str">
        <f>IFERROR(VLOOKUP(☆入力!G28,選定!$C$3:$AG$100,1,FALSE),"")</f>
        <v/>
      </c>
      <c r="D22" s="152">
        <f>☆入力!L28</f>
        <v>0</v>
      </c>
      <c r="E22" s="150" t="str">
        <f>IFERROR(VLOOKUP(☆入力!G28,選定!$C$3:$AG$100,7,FALSE),"")</f>
        <v/>
      </c>
      <c r="F22" s="1170" t="str">
        <f t="shared" si="0"/>
        <v/>
      </c>
      <c r="G22" s="1171"/>
    </row>
    <row r="23" spans="1:7" ht="10.5" customHeight="1">
      <c r="A23" s="151">
        <v>14</v>
      </c>
      <c r="B23" s="151" t="str">
        <f>IFERROR(VLOOKUP(☆入力!G29,選定!$C$3:$AG$100,11,FALSE),"")</f>
        <v/>
      </c>
      <c r="C23" s="317" t="str">
        <f>IFERROR(VLOOKUP(☆入力!G29,選定!$C$3:$AG$100,1,FALSE),"")</f>
        <v/>
      </c>
      <c r="D23" s="152">
        <f>☆入力!L29</f>
        <v>0</v>
      </c>
      <c r="E23" s="150" t="str">
        <f>IFERROR(VLOOKUP(☆入力!G29,選定!$C$3:$AG$100,7,FALSE),"")</f>
        <v/>
      </c>
      <c r="F23" s="1170" t="str">
        <f t="shared" si="0"/>
        <v/>
      </c>
      <c r="G23" s="1171"/>
    </row>
    <row r="24" spans="1:7" ht="10.5" customHeight="1">
      <c r="A24" s="151">
        <v>15</v>
      </c>
      <c r="B24" s="151" t="str">
        <f>IFERROR(VLOOKUP(☆入力!G30,選定!$C$3:$AG$100,11,FALSE),"")</f>
        <v/>
      </c>
      <c r="C24" s="317" t="str">
        <f>IFERROR(VLOOKUP(☆入力!G30,選定!$C$3:$AG$100,1,FALSE),"")</f>
        <v/>
      </c>
      <c r="D24" s="152">
        <f>☆入力!L30</f>
        <v>0</v>
      </c>
      <c r="E24" s="150" t="str">
        <f>IFERROR(VLOOKUP(☆入力!G30,選定!$C$3:$AG$100,7,FALSE),"")</f>
        <v/>
      </c>
      <c r="F24" s="1170" t="str">
        <f t="shared" si="0"/>
        <v/>
      </c>
      <c r="G24" s="1171"/>
    </row>
    <row r="25" spans="1:7" ht="10.5" hidden="1" customHeight="1" outlineLevel="1">
      <c r="A25" s="151">
        <v>16</v>
      </c>
      <c r="B25" s="151" t="str">
        <f>IFERROR(VLOOKUP(☆入力!G31,選定!$C$3:$AG$100,11,FALSE),"")</f>
        <v/>
      </c>
      <c r="C25" s="317" t="str">
        <f>IFERROR(VLOOKUP(☆入力!G31,選定!$C$3:$AG$100,1,FALSE),"")</f>
        <v/>
      </c>
      <c r="D25" s="152">
        <f>☆入力!L31</f>
        <v>0</v>
      </c>
      <c r="E25" s="150" t="str">
        <f>IFERROR(VLOOKUP(☆入力!G31,選定!$C$3:$AG$100,7,FALSE),"")</f>
        <v/>
      </c>
      <c r="F25" s="1170" t="str">
        <f t="shared" si="0"/>
        <v/>
      </c>
      <c r="G25" s="1171"/>
    </row>
    <row r="26" spans="1:7" ht="10.5" hidden="1" customHeight="1" outlineLevel="1">
      <c r="A26" s="151">
        <v>17</v>
      </c>
      <c r="B26" s="151" t="str">
        <f>IFERROR(VLOOKUP(☆入力!G32,選定!$C$3:$AG$100,11,FALSE),"")</f>
        <v/>
      </c>
      <c r="C26" s="317" t="str">
        <f>IFERROR(VLOOKUP(☆入力!G32,選定!$C$3:$AG$100,1,FALSE),"")</f>
        <v/>
      </c>
      <c r="D26" s="152">
        <f>☆入力!L32</f>
        <v>0</v>
      </c>
      <c r="E26" s="150" t="str">
        <f>IFERROR(VLOOKUP(☆入力!G32,選定!$C$3:$AG$100,7,FALSE),"")</f>
        <v/>
      </c>
      <c r="F26" s="1170" t="str">
        <f t="shared" si="0"/>
        <v/>
      </c>
      <c r="G26" s="1171"/>
    </row>
    <row r="27" spans="1:7" ht="10.5" hidden="1" customHeight="1" outlineLevel="1">
      <c r="A27" s="151">
        <v>18</v>
      </c>
      <c r="B27" s="151" t="str">
        <f>IFERROR(VLOOKUP(☆入力!G33,選定!$C$3:$AG$100,11,FALSE),"")</f>
        <v/>
      </c>
      <c r="C27" s="317" t="str">
        <f>IFERROR(VLOOKUP(☆入力!G33,選定!$C$3:$AG$100,1,FALSE),"")</f>
        <v/>
      </c>
      <c r="D27" s="152">
        <f>☆入力!L33</f>
        <v>0</v>
      </c>
      <c r="E27" s="150" t="str">
        <f>IFERROR(VLOOKUP(☆入力!G33,選定!$C$3:$AG$100,7,FALSE),"")</f>
        <v/>
      </c>
      <c r="F27" s="1170" t="str">
        <f t="shared" si="0"/>
        <v/>
      </c>
      <c r="G27" s="1171"/>
    </row>
    <row r="28" spans="1:7" ht="10.5" hidden="1" customHeight="1" outlineLevel="1">
      <c r="A28" s="151">
        <v>19</v>
      </c>
      <c r="B28" s="151" t="str">
        <f>IFERROR(VLOOKUP(☆入力!G34,選定!$C$3:$AG$100,11,FALSE),"")</f>
        <v/>
      </c>
      <c r="C28" s="317" t="str">
        <f>IFERROR(VLOOKUP(☆入力!G34,選定!$C$3:$AG$100,1,FALSE),"")</f>
        <v/>
      </c>
      <c r="D28" s="152">
        <f>☆入力!L34</f>
        <v>0</v>
      </c>
      <c r="E28" s="150" t="str">
        <f>IFERROR(VLOOKUP(☆入力!G34,選定!$C$3:$AG$100,7,FALSE),"")</f>
        <v/>
      </c>
      <c r="F28" s="1170" t="str">
        <f t="shared" si="0"/>
        <v/>
      </c>
      <c r="G28" s="1171"/>
    </row>
    <row r="29" spans="1:7" ht="10.5" hidden="1" customHeight="1" outlineLevel="1">
      <c r="A29" s="151">
        <v>20</v>
      </c>
      <c r="B29" s="151" t="str">
        <f>IFERROR(VLOOKUP(☆入力!G35,選定!$C$3:$AG$100,11,FALSE),"")</f>
        <v/>
      </c>
      <c r="C29" s="317" t="str">
        <f>IFERROR(VLOOKUP(☆入力!G35,選定!$C$3:$AG$100,1,FALSE),"")</f>
        <v/>
      </c>
      <c r="D29" s="152">
        <f>☆入力!L35</f>
        <v>0</v>
      </c>
      <c r="E29" s="150" t="str">
        <f>IFERROR(VLOOKUP(☆入力!G35,選定!$C$3:$AG$100,7,FALSE),"")</f>
        <v/>
      </c>
      <c r="F29" s="1170" t="str">
        <f t="shared" si="0"/>
        <v/>
      </c>
      <c r="G29" s="1171"/>
    </row>
    <row r="30" spans="1:7" ht="10.5" hidden="1" customHeight="1" outlineLevel="1">
      <c r="A30" s="151">
        <v>21</v>
      </c>
      <c r="B30" s="151" t="str">
        <f>IFERROR(VLOOKUP(☆入力!G36,選定!$C$3:$AG$100,11,FALSE),"")</f>
        <v/>
      </c>
      <c r="C30" s="316" t="str">
        <f>IFERROR(VLOOKUP(☆入力!G36,選定!$C$3:$AG$100,1,FALSE),"")</f>
        <v/>
      </c>
      <c r="D30" s="152">
        <f>☆入力!L36</f>
        <v>0</v>
      </c>
      <c r="E30" s="150" t="str">
        <f>IFERROR(VLOOKUP(☆入力!G36,選定!$C$3:$AG$100,7,FALSE),"")</f>
        <v/>
      </c>
      <c r="F30" s="1165" t="str">
        <f t="shared" si="0"/>
        <v/>
      </c>
      <c r="G30" s="1166"/>
    </row>
    <row r="31" spans="1:7" ht="10.5" hidden="1" customHeight="1" outlineLevel="1">
      <c r="A31" s="151">
        <v>22</v>
      </c>
      <c r="B31" s="151" t="str">
        <f>IFERROR(VLOOKUP(☆入力!G37,選定!$C$3:$AG$100,11,FALSE),"")</f>
        <v/>
      </c>
      <c r="C31" s="316" t="str">
        <f>IFERROR(VLOOKUP(☆入力!G37,選定!$C$3:$AG$100,1,FALSE),"")</f>
        <v/>
      </c>
      <c r="D31" s="152">
        <f>☆入力!L37</f>
        <v>0</v>
      </c>
      <c r="E31" s="150" t="str">
        <f>IFERROR(VLOOKUP(☆入力!G37,選定!$C$3:$AG$100,7,FALSE),"")</f>
        <v/>
      </c>
      <c r="F31" s="1165" t="str">
        <f t="shared" si="0"/>
        <v/>
      </c>
      <c r="G31" s="1166"/>
    </row>
    <row r="32" spans="1:7" ht="10.5" hidden="1" customHeight="1" outlineLevel="1">
      <c r="A32" s="151">
        <v>23</v>
      </c>
      <c r="B32" s="151" t="str">
        <f>IFERROR(VLOOKUP(☆入力!G38,選定!$C$3:$AG$100,11,FALSE),"")</f>
        <v/>
      </c>
      <c r="C32" s="316" t="str">
        <f>IFERROR(VLOOKUP(☆入力!G38,選定!$C$3:$AG$100,1,FALSE),"")</f>
        <v/>
      </c>
      <c r="D32" s="152">
        <f>☆入力!L38</f>
        <v>0</v>
      </c>
      <c r="E32" s="150" t="str">
        <f>IFERROR(VLOOKUP(☆入力!G38,選定!$C$3:$AG$100,7,FALSE),"")</f>
        <v/>
      </c>
      <c r="F32" s="1165" t="str">
        <f t="shared" si="0"/>
        <v/>
      </c>
      <c r="G32" s="1166"/>
    </row>
    <row r="33" spans="1:7" ht="10.5" hidden="1" customHeight="1" outlineLevel="1">
      <c r="A33" s="151">
        <v>24</v>
      </c>
      <c r="B33" s="151" t="str">
        <f>IFERROR(VLOOKUP(☆入力!G39,選定!$C$3:$AG$100,11,FALSE),"")</f>
        <v/>
      </c>
      <c r="C33" s="308" t="str">
        <f>IFERROR(VLOOKUP(☆入力!G39,選定!$C$3:$AG$100,1,FALSE),"")</f>
        <v/>
      </c>
      <c r="D33" s="152">
        <f>☆入力!L39</f>
        <v>0</v>
      </c>
      <c r="E33" s="150" t="str">
        <f>IFERROR(VLOOKUP(☆入力!G39,選定!$C$3:$AG$100,7,FALSE),"")</f>
        <v/>
      </c>
      <c r="F33" s="1165" t="str">
        <f t="shared" si="0"/>
        <v/>
      </c>
      <c r="G33" s="1166"/>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65" t="str">
        <f t="shared" si="0"/>
        <v/>
      </c>
      <c r="G34" s="1166"/>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65" t="str">
        <f t="shared" si="0"/>
        <v/>
      </c>
      <c r="G35" s="1166"/>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65" t="str">
        <f t="shared" si="0"/>
        <v/>
      </c>
      <c r="G36" s="1166"/>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65" t="str">
        <f t="shared" si="0"/>
        <v/>
      </c>
      <c r="G37" s="1166"/>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65" t="str">
        <f t="shared" si="0"/>
        <v/>
      </c>
      <c r="G38" s="1166"/>
    </row>
    <row r="39" spans="1:7" ht="10.5" hidden="1" customHeight="1" outlineLevel="1">
      <c r="A39" s="159">
        <v>30</v>
      </c>
      <c r="B39" s="159" t="str">
        <f>IFERROR(VLOOKUP(☆入力!G45,選定!$C$3:$AG$100,11,FALSE),"")</f>
        <v/>
      </c>
      <c r="C39" s="647" t="str">
        <f>IFERROR(VLOOKUP(☆入力!G45,選定!$C$3:$AG$100,1,FALSE),"")</f>
        <v/>
      </c>
      <c r="D39" s="161">
        <f>☆入力!L45</f>
        <v>0</v>
      </c>
      <c r="E39" s="648" t="str">
        <f>IFERROR(VLOOKUP(☆入力!G45,選定!$C$3:$AG$100,7,FALSE),"")</f>
        <v/>
      </c>
      <c r="F39" s="1167" t="str">
        <f t="shared" si="0"/>
        <v/>
      </c>
      <c r="G39" s="1168"/>
    </row>
    <row r="40" spans="1:7" ht="10.5" customHeight="1" collapsed="1">
      <c r="A40" s="649"/>
      <c r="B40" s="649"/>
      <c r="C40" s="650"/>
      <c r="D40" s="651"/>
      <c r="E40" s="654" t="s">
        <v>397</v>
      </c>
      <c r="F40" s="1221">
        <f>SUM(F10:G39)</f>
        <v>0</v>
      </c>
      <c r="G40" s="1221"/>
    </row>
    <row r="41" spans="1:7" ht="10.5" customHeight="1">
      <c r="A41" s="112"/>
      <c r="B41" s="112"/>
      <c r="C41" s="113"/>
      <c r="D41" s="114"/>
      <c r="E41" s="114"/>
      <c r="F41" s="115"/>
      <c r="G41" s="115"/>
    </row>
    <row r="42" spans="1:7" ht="10.5" customHeight="1">
      <c r="A42" s="1154" t="s">
        <v>398</v>
      </c>
      <c r="B42" s="1155"/>
      <c r="C42" s="1156"/>
      <c r="D42" s="473" t="s">
        <v>211</v>
      </c>
      <c r="E42" s="473" t="s">
        <v>380</v>
      </c>
      <c r="F42" s="1147" t="s">
        <v>381</v>
      </c>
      <c r="G42" s="1147"/>
    </row>
    <row r="43" spans="1:7" ht="10.5" hidden="1" customHeight="1">
      <c r="A43" s="1157"/>
      <c r="B43" s="1158"/>
      <c r="C43" s="1159"/>
      <c r="D43" s="150"/>
      <c r="E43" s="150"/>
      <c r="F43" s="1169">
        <f t="shared" ref="F43:F49" si="1">IFERROR(E43*D43,"")</f>
        <v>0</v>
      </c>
      <c r="G43" s="1169"/>
    </row>
    <row r="44" spans="1:7" ht="10.5" customHeight="1">
      <c r="A44" s="1117" t="s">
        <v>400</v>
      </c>
      <c r="B44" s="1118"/>
      <c r="C44" s="1119"/>
      <c r="D44" s="152">
        <f>LED計算式!O36</f>
        <v>0</v>
      </c>
      <c r="E44" s="152">
        <v>3000</v>
      </c>
      <c r="F44" s="1148">
        <f t="shared" si="1"/>
        <v>0</v>
      </c>
      <c r="G44" s="1148"/>
    </row>
    <row r="45" spans="1:7" ht="10.5" customHeight="1" outlineLevel="1">
      <c r="A45" s="1174" t="s">
        <v>416</v>
      </c>
      <c r="B45" s="1175"/>
      <c r="C45" s="1176"/>
      <c r="D45" s="152">
        <f>LED計算式!O37</f>
        <v>0</v>
      </c>
      <c r="E45" s="152">
        <v>5000</v>
      </c>
      <c r="F45" s="1148">
        <f t="shared" si="1"/>
        <v>0</v>
      </c>
      <c r="G45" s="1148"/>
    </row>
    <row r="46" spans="1:7" ht="10.5" hidden="1" customHeight="1" outlineLevel="1">
      <c r="A46" s="1174" t="s">
        <v>414</v>
      </c>
      <c r="B46" s="1175"/>
      <c r="C46" s="1176"/>
      <c r="D46" s="152">
        <f>LED計算式!O39</f>
        <v>0</v>
      </c>
      <c r="E46" s="152">
        <v>600</v>
      </c>
      <c r="F46" s="1148">
        <f t="shared" si="1"/>
        <v>0</v>
      </c>
      <c r="G46" s="1148"/>
    </row>
    <row r="47" spans="1:7" ht="10.5" customHeight="1">
      <c r="A47" s="1117" t="s">
        <v>405</v>
      </c>
      <c r="B47" s="1118"/>
      <c r="C47" s="1119"/>
      <c r="D47" s="152">
        <f>☆入力!L14</f>
        <v>0</v>
      </c>
      <c r="E47" s="152">
        <v>1000</v>
      </c>
      <c r="F47" s="1148">
        <f t="shared" si="1"/>
        <v>0</v>
      </c>
      <c r="G47" s="1148"/>
    </row>
    <row r="48" spans="1:7" ht="10.5" customHeight="1">
      <c r="A48" s="1117" t="str">
        <f ca="1">IF((☆入力!AL14+代理店入力用!D5)-SUM(F40,F43:G47,F49:G49)&gt;-30000,"諸経費","")</f>
        <v>諸経費</v>
      </c>
      <c r="B48" s="1118"/>
      <c r="C48" s="1119"/>
      <c r="D48" s="152">
        <f ca="1">IF(A48&lt;&gt;"",1,"")</f>
        <v>1</v>
      </c>
      <c r="E48" s="152">
        <f ca="1">IF(A48&lt;&gt;"",ROUNDDOWN(ABS((☆入力!AL14+代理店入力用!D5)-SUM(F40,F43:G47,F49:G49)-(-30000)),-3),"")</f>
        <v>30000</v>
      </c>
      <c r="F48" s="1148">
        <f t="shared" ca="1" si="1"/>
        <v>30000</v>
      </c>
      <c r="G48" s="1148"/>
    </row>
    <row r="49" spans="1:8" ht="10.5" customHeight="1">
      <c r="A49" s="1121">
        <f>☆入力!AH12</f>
        <v>0</v>
      </c>
      <c r="B49" s="1122"/>
      <c r="C49" s="1123"/>
      <c r="D49" s="160" t="str">
        <f>IF(☆入力!AH12&lt;&gt;"","1","")</f>
        <v/>
      </c>
      <c r="E49" s="161">
        <f>☆入力!AJ12</f>
        <v>0</v>
      </c>
      <c r="F49" s="1183" t="str">
        <f t="shared" si="1"/>
        <v/>
      </c>
      <c r="G49" s="1183"/>
    </row>
    <row r="50" spans="1:8" ht="10.5" customHeight="1">
      <c r="A50" s="105"/>
      <c r="B50" s="105"/>
      <c r="C50" s="105"/>
      <c r="D50" s="105"/>
      <c r="E50" s="654" t="s">
        <v>407</v>
      </c>
      <c r="F50" s="1221">
        <f ca="1">SUM(F43:G49)</f>
        <v>30000</v>
      </c>
      <c r="G50" s="1221"/>
    </row>
    <row r="51" spans="1:8" ht="10.5" customHeight="1">
      <c r="D51" s="105"/>
      <c r="E51" s="105"/>
      <c r="F51" s="105"/>
      <c r="G51" s="105"/>
    </row>
    <row r="52" spans="1:8" ht="10.5" customHeight="1">
      <c r="D52" s="105"/>
      <c r="E52" s="655" t="s">
        <v>408</v>
      </c>
      <c r="F52" s="1222">
        <f ca="1">ROUNDDOWN(F40+F50,0)</f>
        <v>30000</v>
      </c>
      <c r="G52" s="1222"/>
    </row>
    <row r="53" spans="1:8" ht="10.5" customHeight="1">
      <c r="D53" s="105"/>
      <c r="E53" s="655" t="s">
        <v>396</v>
      </c>
      <c r="F53" s="1222">
        <f ca="1">(☆入力!AL14+代理店入力用!D5)-SUM(F40,F43:G49)</f>
        <v>-30000</v>
      </c>
      <c r="G53" s="1222"/>
    </row>
    <row r="54" spans="1:8" ht="10.5" customHeight="1" thickBot="1">
      <c r="A54" s="1120" t="s">
        <v>384</v>
      </c>
      <c r="B54" s="1120"/>
      <c r="C54" s="1120"/>
      <c r="D54" s="105"/>
      <c r="E54" s="652" t="s">
        <v>417</v>
      </c>
      <c r="F54" s="653"/>
      <c r="G54" s="653">
        <f ca="1">SUM(F52:G53)</f>
        <v>0</v>
      </c>
    </row>
    <row r="55" spans="1:8" ht="10.15" customHeight="1" thickTop="1">
      <c r="A55" s="1223" t="str">
        <f>☆入力!AH4</f>
        <v>生産終了品などがあった場合、同メーカーもしくは他メーカーの同等品に変更される場合がございます。</v>
      </c>
      <c r="B55" s="1224"/>
      <c r="C55" s="1225"/>
      <c r="D55" s="105"/>
      <c r="E55" s="116"/>
      <c r="F55" s="646"/>
      <c r="G55" s="646"/>
    </row>
    <row r="56" spans="1:8" ht="14.45" customHeight="1" thickBot="1">
      <c r="A56" s="1226"/>
      <c r="B56" s="1227"/>
      <c r="C56" s="1228"/>
      <c r="D56" s="105"/>
      <c r="E56" s="105"/>
      <c r="F56" s="105"/>
      <c r="G56" s="105"/>
    </row>
    <row r="57" spans="1:8" ht="10.15" customHeight="1">
      <c r="A57" s="1177">
        <f>☆入力!AH5</f>
        <v>0</v>
      </c>
      <c r="B57" s="1178"/>
      <c r="C57" s="1179"/>
      <c r="E57" s="1229" t="s">
        <v>418</v>
      </c>
      <c r="F57" s="1232">
        <f ca="1">G54*1.1</f>
        <v>0</v>
      </c>
      <c r="G57" s="1233"/>
    </row>
    <row r="58" spans="1:8" ht="10.15" customHeight="1">
      <c r="A58" s="1177"/>
      <c r="B58" s="1178"/>
      <c r="C58" s="1179"/>
      <c r="E58" s="1230"/>
      <c r="F58" s="1234"/>
      <c r="G58" s="1235"/>
    </row>
    <row r="59" spans="1:8" ht="10.15" customHeight="1">
      <c r="A59" s="1177">
        <f>☆入力!AH6</f>
        <v>0</v>
      </c>
      <c r="B59" s="1178"/>
      <c r="C59" s="1179"/>
      <c r="E59" s="1230"/>
      <c r="F59" s="1234"/>
      <c r="G59" s="1235"/>
    </row>
    <row r="60" spans="1:8" ht="10.15" customHeight="1" thickBot="1">
      <c r="A60" s="1180"/>
      <c r="B60" s="1181"/>
      <c r="C60" s="1182"/>
      <c r="E60" s="1231"/>
      <c r="F60" s="1236"/>
      <c r="G60" s="1237"/>
    </row>
    <row r="61" spans="1:8">
      <c r="E61" s="231"/>
      <c r="G61" s="75">
        <v>8</v>
      </c>
      <c r="H61" s="383"/>
    </row>
  </sheetData>
  <mergeCells count="62">
    <mergeCell ref="F53:G53"/>
    <mergeCell ref="A54:C54"/>
    <mergeCell ref="A55:C56"/>
    <mergeCell ref="A57:C58"/>
    <mergeCell ref="A59:C60"/>
    <mergeCell ref="E57:E60"/>
    <mergeCell ref="F57:G60"/>
    <mergeCell ref="F50:G50"/>
    <mergeCell ref="F52:G52"/>
    <mergeCell ref="A47:C47"/>
    <mergeCell ref="F47:G47"/>
    <mergeCell ref="A48:C48"/>
    <mergeCell ref="F48:G48"/>
    <mergeCell ref="A49:C49"/>
    <mergeCell ref="F49:G49"/>
    <mergeCell ref="A46:C46"/>
    <mergeCell ref="F46:G46"/>
    <mergeCell ref="A43:C43"/>
    <mergeCell ref="F43:G43"/>
    <mergeCell ref="A44:C44"/>
    <mergeCell ref="F44:G44"/>
    <mergeCell ref="A45:C45"/>
    <mergeCell ref="F45:G45"/>
    <mergeCell ref="F40:G40"/>
    <mergeCell ref="A42:C42"/>
    <mergeCell ref="F42:G42"/>
    <mergeCell ref="F34:G34"/>
    <mergeCell ref="F35:G35"/>
    <mergeCell ref="F36:G36"/>
    <mergeCell ref="F37:G37"/>
    <mergeCell ref="F38:G38"/>
    <mergeCell ref="F39:G39"/>
    <mergeCell ref="F33:G33"/>
    <mergeCell ref="F22:G22"/>
    <mergeCell ref="F23:G23"/>
    <mergeCell ref="F24:G24"/>
    <mergeCell ref="F25:G25"/>
    <mergeCell ref="F26:G26"/>
    <mergeCell ref="F27:G27"/>
    <mergeCell ref="F28:G28"/>
    <mergeCell ref="F29:G29"/>
    <mergeCell ref="F30:G30"/>
    <mergeCell ref="F31:G31"/>
    <mergeCell ref="F32:G32"/>
    <mergeCell ref="F21:G21"/>
    <mergeCell ref="F10:G10"/>
    <mergeCell ref="F11:G11"/>
    <mergeCell ref="F12:G12"/>
    <mergeCell ref="F13:G13"/>
    <mergeCell ref="F14:G14"/>
    <mergeCell ref="F15:G15"/>
    <mergeCell ref="F16:G16"/>
    <mergeCell ref="F17:G17"/>
    <mergeCell ref="F18:G18"/>
    <mergeCell ref="F19:G19"/>
    <mergeCell ref="F20:G20"/>
    <mergeCell ref="F9:G9"/>
    <mergeCell ref="A1:C2"/>
    <mergeCell ref="A3:C4"/>
    <mergeCell ref="E4:G4"/>
    <mergeCell ref="E5:G5"/>
    <mergeCell ref="E6:G6"/>
  </mergeCells>
  <phoneticPr fontId="2"/>
  <conditionalFormatting sqref="A55">
    <cfRule type="cellIs" dxfId="57" priority="2" operator="equal">
      <formula>0</formula>
    </cfRule>
  </conditionalFormatting>
  <conditionalFormatting sqref="A52:C53">
    <cfRule type="cellIs" dxfId="56" priority="3" operator="equal">
      <formula>0</formula>
    </cfRule>
  </conditionalFormatting>
  <conditionalFormatting sqref="A55:C60">
    <cfRule type="cellIs" dxfId="55" priority="1" operator="equal">
      <formula>0</formula>
    </cfRule>
  </conditionalFormatting>
  <conditionalFormatting sqref="B10:B41">
    <cfRule type="cellIs" dxfId="54" priority="4" operator="equal">
      <formula>0</formula>
    </cfRule>
  </conditionalFormatting>
  <dataValidations count="1">
    <dataValidation type="list" allowBlank="1" showInputMessage="1" showErrorMessage="1" sqref="E57" xr:uid="{2A50082C-26B1-477E-B7AD-4A13AF393532}">
      <formula1>$J$11:$J$12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75" style="27" customWidth="1"/>
    <col min="2" max="2" width="10.75" style="27" customWidth="1"/>
    <col min="3" max="3" width="32.625" style="27" customWidth="1"/>
    <col min="4" max="4" width="5.75" style="27" customWidth="1"/>
    <col min="5" max="5" width="19.125" style="27" customWidth="1"/>
    <col min="6" max="6" width="11.25" style="27" customWidth="1"/>
    <col min="7" max="7" width="10.625" style="27" customWidth="1"/>
    <col min="8" max="13" width="9" style="27"/>
    <col min="14" max="14" width="20.25" style="27" customWidth="1"/>
    <col min="15" max="15" width="10" style="27" bestFit="1" customWidth="1"/>
    <col min="16" max="16384" width="9" style="27"/>
  </cols>
  <sheetData>
    <row r="1" spans="1:15" ht="15" customHeight="1">
      <c r="A1" s="1077" t="s">
        <v>364</v>
      </c>
      <c r="B1" s="1077"/>
      <c r="C1" s="1077"/>
      <c r="J1" s="27" t="s">
        <v>419</v>
      </c>
      <c r="K1" s="1238">
        <f ca="1">TODAY()</f>
        <v>46119</v>
      </c>
      <c r="L1" s="1238"/>
    </row>
    <row r="2" spans="1:15" ht="15" customHeight="1" thickBot="1">
      <c r="A2" s="1077"/>
      <c r="B2" s="1077"/>
      <c r="C2" s="1077"/>
      <c r="F2" s="106"/>
      <c r="G2" s="107"/>
    </row>
    <row r="3" spans="1:15" ht="15" customHeight="1" thickTop="1" thickBot="1">
      <c r="H3" s="1249" t="s">
        <v>420</v>
      </c>
      <c r="I3" s="1250"/>
      <c r="K3" s="1247" t="s">
        <v>421</v>
      </c>
      <c r="L3" s="1248"/>
    </row>
    <row r="4" spans="1:15" ht="15" customHeight="1" thickTop="1" thickBot="1">
      <c r="A4" s="1240">
        <f>☆入力!C5</f>
        <v>0</v>
      </c>
      <c r="B4" s="1240"/>
      <c r="C4" s="1240"/>
      <c r="H4" s="1251">
        <f ca="1">F39</f>
        <v>0</v>
      </c>
      <c r="I4" s="1252"/>
      <c r="J4" s="1277" t="s">
        <v>422</v>
      </c>
      <c r="K4" s="1273">
        <f>④前後a!BA29/120</f>
        <v>0</v>
      </c>
      <c r="L4" s="1274"/>
      <c r="N4" s="379"/>
      <c r="O4" s="380"/>
    </row>
    <row r="5" spans="1:15" ht="15" customHeight="1" thickTop="1" thickBot="1">
      <c r="A5" s="1241"/>
      <c r="B5" s="1241"/>
      <c r="C5" s="1241"/>
      <c r="H5" s="1251"/>
      <c r="I5" s="1252"/>
      <c r="J5" s="1278"/>
      <c r="K5" s="1273"/>
      <c r="L5" s="1274"/>
      <c r="N5" s="379"/>
      <c r="O5" s="380"/>
    </row>
    <row r="6" spans="1:15" ht="15" customHeight="1" thickTop="1" thickBot="1">
      <c r="E6" s="1095" t="str">
        <f>IF(代理店入力用!N3="",①表紙!I25,代理店入力用!N3)</f>
        <v>株式会社スマイルサポート</v>
      </c>
      <c r="F6" s="1095"/>
      <c r="G6" s="1095"/>
      <c r="N6" s="27" t="s">
        <v>375</v>
      </c>
      <c r="O6" s="381">
        <f ca="1">F39</f>
        <v>0</v>
      </c>
    </row>
    <row r="7" spans="1:15" ht="15" customHeight="1" thickTop="1" thickBot="1">
      <c r="A7" s="108" t="s">
        <v>366</v>
      </c>
      <c r="B7" s="108"/>
      <c r="C7" s="108"/>
      <c r="E7" s="1096" t="str">
        <f>IF(代理店入力用!N5="",①表紙!I26,①表紙!A26)</f>
        <v>〒305-0046茨城県つくば市東2-10-14</v>
      </c>
      <c r="F7" s="1096"/>
      <c r="G7" s="1096"/>
      <c r="K7" s="1279" t="s">
        <v>423</v>
      </c>
      <c r="L7" s="1280"/>
      <c r="N7" s="27" t="s">
        <v>376</v>
      </c>
      <c r="O7" s="381">
        <f ca="1">O6*1.1</f>
        <v>0</v>
      </c>
    </row>
    <row r="8" spans="1:15" ht="15" customHeight="1" thickTop="1" thickBot="1">
      <c r="A8" s="108" t="s">
        <v>367</v>
      </c>
      <c r="B8" s="108"/>
      <c r="C8" s="108"/>
      <c r="E8" s="1096" t="str">
        <f>IF(代理店入力用!N6="",①表紙!I27,①表紙!A27)</f>
        <v>TEL：　029-860-5211</v>
      </c>
      <c r="F8" s="1096"/>
      <c r="G8" s="1096"/>
      <c r="J8" s="1277" t="s">
        <v>424</v>
      </c>
      <c r="K8" s="1275" t="str">
        <f ca="1">IFERROR((H4/K4)/12,"0")</f>
        <v>0</v>
      </c>
      <c r="L8" s="1276"/>
    </row>
    <row r="9" spans="1:15" ht="15" customHeight="1" thickTop="1" thickBot="1">
      <c r="J9" s="1278"/>
      <c r="K9" s="1275"/>
      <c r="L9" s="1276"/>
    </row>
    <row r="10" spans="1:15" ht="15" customHeight="1" thickTop="1">
      <c r="A10" s="1242" t="s">
        <v>370</v>
      </c>
      <c r="B10" s="1243"/>
      <c r="C10" s="109" t="s">
        <v>371</v>
      </c>
      <c r="E10" s="1089" t="s">
        <v>376</v>
      </c>
      <c r="F10" s="1091">
        <f ca="1">VLOOKUP(E10,N6:O7,2,FALSE)</f>
        <v>0</v>
      </c>
      <c r="G10" s="1092"/>
    </row>
    <row r="11" spans="1:15" ht="15" customHeight="1" thickBot="1">
      <c r="A11" s="1244" t="s">
        <v>373</v>
      </c>
      <c r="B11" s="1245"/>
      <c r="C11" s="110" t="s">
        <v>374</v>
      </c>
      <c r="E11" s="1090"/>
      <c r="F11" s="1093"/>
      <c r="G11" s="1094"/>
    </row>
    <row r="12" spans="1:15" ht="15" customHeight="1">
      <c r="E12" s="231"/>
      <c r="M12" s="383" t="s">
        <v>425</v>
      </c>
    </row>
    <row r="13" spans="1:15">
      <c r="A13" s="471" t="s">
        <v>378</v>
      </c>
      <c r="B13" s="470" t="s">
        <v>426</v>
      </c>
      <c r="C13" s="470" t="s">
        <v>427</v>
      </c>
      <c r="D13" s="471" t="s">
        <v>211</v>
      </c>
      <c r="E13" s="471" t="s">
        <v>395</v>
      </c>
      <c r="F13" s="1076" t="s">
        <v>381</v>
      </c>
      <c r="G13" s="1076"/>
    </row>
    <row r="14" spans="1:15">
      <c r="A14" s="162">
        <v>1</v>
      </c>
      <c r="B14" s="162" t="str">
        <f>☆入力!C16</f>
        <v>あいえうお</v>
      </c>
      <c r="C14" s="318" t="str">
        <f>IFERROR(VLOOKUP(☆入力!G16,選定!$C$3:$AG$100,11,FALSE)&amp;"　"&amp;VLOOKUP(☆入力!G16,選定!$C$3:$AG$100,1,FALSE),"")</f>
        <v/>
      </c>
      <c r="D14" s="163">
        <f>☆入力!L16</f>
        <v>0</v>
      </c>
      <c r="E14" s="163" t="str">
        <f>IFERROR(VLOOKUP(☆入力!G16,選定!$C$3:$AG$100,7,FALSE),"")</f>
        <v/>
      </c>
      <c r="F14" s="1246" t="str">
        <f>IFERROR(E14*D14,"")</f>
        <v/>
      </c>
      <c r="G14" s="1246"/>
    </row>
    <row r="15" spans="1:15">
      <c r="A15" s="164">
        <v>2</v>
      </c>
      <c r="B15" s="164" t="str">
        <f>☆入力!C17</f>
        <v>あいえうお</v>
      </c>
      <c r="C15" s="319" t="str">
        <f>IFERROR(VLOOKUP(☆入力!G17,選定!$C$3:$AG$100,11,FALSE)&amp;"　"&amp;VLOOKUP(☆入力!G17,選定!$C$3:$AG$100,1,FALSE),"")</f>
        <v/>
      </c>
      <c r="D15" s="165">
        <f>☆入力!L17</f>
        <v>0</v>
      </c>
      <c r="E15" s="165" t="str">
        <f>IFERROR(VLOOKUP(☆入力!G17,選定!$C$3:$AG$100,7,FALSE),"")</f>
        <v/>
      </c>
      <c r="F15" s="1253" t="str">
        <f t="shared" ref="F15:F26" si="0">IFERROR(E15*D15,"")</f>
        <v/>
      </c>
      <c r="G15" s="1253"/>
    </row>
    <row r="16" spans="1:15">
      <c r="A16" s="164">
        <v>3</v>
      </c>
      <c r="B16" s="164" t="str">
        <f>☆入力!C18</f>
        <v>あいえうお</v>
      </c>
      <c r="C16" s="319" t="str">
        <f>IFERROR(VLOOKUP(☆入力!G18,選定!$C$3:$AG$100,11,FALSE)&amp;"　"&amp;VLOOKUP(☆入力!G18,選定!$C$3:$AG$100,1,FALSE),"")</f>
        <v/>
      </c>
      <c r="D16" s="165">
        <f>☆入力!L18</f>
        <v>0</v>
      </c>
      <c r="E16" s="165" t="str">
        <f>IFERROR(VLOOKUP(☆入力!G18,選定!$C$3:$AG$100,7,FALSE),"")</f>
        <v/>
      </c>
      <c r="F16" s="1253" t="str">
        <f t="shared" si="0"/>
        <v/>
      </c>
      <c r="G16" s="1253"/>
    </row>
    <row r="17" spans="1:7">
      <c r="A17" s="164">
        <v>4</v>
      </c>
      <c r="B17" s="164" t="str">
        <f>☆入力!C19</f>
        <v>あいえうお</v>
      </c>
      <c r="C17" s="319" t="str">
        <f>IFERROR(VLOOKUP(☆入力!G19,選定!$C$3:$AG$100,11,FALSE)&amp;"　"&amp;VLOOKUP(☆入力!G19,選定!$C$3:$AG$100,1,FALSE),"")</f>
        <v/>
      </c>
      <c r="D17" s="165">
        <f>☆入力!L19</f>
        <v>0</v>
      </c>
      <c r="E17" s="165" t="str">
        <f>IFERROR(VLOOKUP(☆入力!G19,選定!$C$3:$AG$100,7,FALSE),"")</f>
        <v/>
      </c>
      <c r="F17" s="1253" t="str">
        <f t="shared" si="0"/>
        <v/>
      </c>
      <c r="G17" s="1253"/>
    </row>
    <row r="18" spans="1:7">
      <c r="A18" s="164">
        <v>5</v>
      </c>
      <c r="B18" s="164" t="str">
        <f>☆入力!C20</f>
        <v>あいえうお</v>
      </c>
      <c r="C18" s="319" t="str">
        <f>IFERROR(VLOOKUP(☆入力!G20,選定!$C$3:$AG$100,11,FALSE)&amp;"　"&amp;VLOOKUP(☆入力!G20,選定!$C$3:$AG$100,1,FALSE),"")</f>
        <v/>
      </c>
      <c r="D18" s="165">
        <f>☆入力!L20</f>
        <v>0</v>
      </c>
      <c r="E18" s="165" t="str">
        <f>IFERROR(VLOOKUP(☆入力!G20,選定!$C$3:$AG$100,7,FALSE),"")</f>
        <v/>
      </c>
      <c r="F18" s="1253" t="str">
        <f t="shared" si="0"/>
        <v/>
      </c>
      <c r="G18" s="1253"/>
    </row>
    <row r="19" spans="1:7">
      <c r="A19" s="164">
        <v>6</v>
      </c>
      <c r="B19" s="164" t="str">
        <f>☆入力!C21</f>
        <v>あいえうお</v>
      </c>
      <c r="C19" s="319" t="str">
        <f>IFERROR(VLOOKUP(☆入力!G21,選定!$C$3:$AG$100,11,FALSE)&amp;"　"&amp;VLOOKUP(☆入力!G21,選定!$C$3:$AG$100,1,FALSE),"")</f>
        <v/>
      </c>
      <c r="D19" s="165">
        <f>☆入力!L21</f>
        <v>0</v>
      </c>
      <c r="E19" s="165" t="str">
        <f>IFERROR(VLOOKUP(☆入力!G21,選定!$C$3:$AG$100,7,FALSE),"")</f>
        <v/>
      </c>
      <c r="F19" s="1253" t="str">
        <f t="shared" si="0"/>
        <v/>
      </c>
      <c r="G19" s="1253"/>
    </row>
    <row r="20" spans="1:7">
      <c r="A20" s="164">
        <v>7</v>
      </c>
      <c r="B20" s="164">
        <f>☆入力!C22</f>
        <v>0</v>
      </c>
      <c r="C20" s="319" t="str">
        <f>IFERROR(VLOOKUP(☆入力!G22,選定!$C$3:$AG$100,11,FALSE)&amp;"　"&amp;VLOOKUP(☆入力!G22,選定!$C$3:$AG$100,1,FALSE),"")</f>
        <v/>
      </c>
      <c r="D20" s="165">
        <f>☆入力!L22</f>
        <v>0</v>
      </c>
      <c r="E20" s="165" t="str">
        <f>IFERROR(VLOOKUP(☆入力!G22,選定!$C$3:$AG$100,7,FALSE),"")</f>
        <v/>
      </c>
      <c r="F20" s="1253" t="str">
        <f t="shared" si="0"/>
        <v/>
      </c>
      <c r="G20" s="1253"/>
    </row>
    <row r="21" spans="1:7">
      <c r="A21" s="164">
        <v>8</v>
      </c>
      <c r="B21" s="164">
        <f>☆入力!C23</f>
        <v>0</v>
      </c>
      <c r="C21" s="319" t="str">
        <f>IFERROR(VLOOKUP(☆入力!G23,選定!$C$3:$AG$100,11,FALSE)&amp;"　"&amp;VLOOKUP(☆入力!G23,選定!$C$3:$AG$100,1,FALSE),"")</f>
        <v/>
      </c>
      <c r="D21" s="165">
        <f>☆入力!L23</f>
        <v>0</v>
      </c>
      <c r="E21" s="165" t="str">
        <f>IFERROR(VLOOKUP(☆入力!G23,選定!$C$3:$AG$100,7,FALSE),"")</f>
        <v/>
      </c>
      <c r="F21" s="1253" t="str">
        <f>IFERROR(E21*D21,"")</f>
        <v/>
      </c>
      <c r="G21" s="1253"/>
    </row>
    <row r="22" spans="1:7">
      <c r="A22" s="164">
        <v>9</v>
      </c>
      <c r="B22" s="164">
        <f>☆入力!C24</f>
        <v>0</v>
      </c>
      <c r="C22" s="319" t="str">
        <f>IFERROR(VLOOKUP(☆入力!G24,選定!$C$3:$AG$100,11,FALSE)&amp;"　"&amp;VLOOKUP(☆入力!G24,選定!$C$3:$AG$100,1,FALSE),"")</f>
        <v/>
      </c>
      <c r="D22" s="165">
        <f>☆入力!L24</f>
        <v>0</v>
      </c>
      <c r="E22" s="165" t="str">
        <f>IFERROR(VLOOKUP(☆入力!G24,選定!$C$3:$AG$100,7,FALSE),"")</f>
        <v/>
      </c>
      <c r="F22" s="1253" t="str">
        <f>IFERROR(E22*D22,"")</f>
        <v/>
      </c>
      <c r="G22" s="1253"/>
    </row>
    <row r="23" spans="1:7">
      <c r="A23" s="166">
        <v>10</v>
      </c>
      <c r="B23" s="166">
        <f>☆入力!C25</f>
        <v>0</v>
      </c>
      <c r="C23" s="320" t="str">
        <f>IFERROR(VLOOKUP(☆入力!G25,選定!$C$3:$AG$100,11,FALSE)&amp;"　"&amp;VLOOKUP(☆入力!G25,選定!$C$3:$AG$100,1,FALSE),"")</f>
        <v/>
      </c>
      <c r="D23" s="180">
        <f>☆入力!L25</f>
        <v>0</v>
      </c>
      <c r="E23" s="180" t="str">
        <f>IFERROR(VLOOKUP(☆入力!G25,選定!$C$3:$AG$100,7,FALSE),"")</f>
        <v/>
      </c>
      <c r="F23" s="1271" t="str">
        <f>IFERROR(E23*D23,"")</f>
        <v/>
      </c>
      <c r="G23" s="1271"/>
    </row>
    <row r="24" spans="1:7">
      <c r="E24" s="212" t="s">
        <v>428</v>
      </c>
      <c r="F24" s="1272">
        <f>ROUNDDOWN(SUM(F14:G23),0)</f>
        <v>0</v>
      </c>
      <c r="G24" s="1272"/>
    </row>
    <row r="25" spans="1:7" ht="12" customHeight="1">
      <c r="A25" s="1074" t="s">
        <v>398</v>
      </c>
      <c r="B25" s="1239"/>
      <c r="C25" s="1075"/>
      <c r="D25" s="471" t="s">
        <v>211</v>
      </c>
      <c r="E25" s="476" t="s">
        <v>380</v>
      </c>
      <c r="F25" s="1254" t="s">
        <v>381</v>
      </c>
      <c r="G25" s="1254"/>
    </row>
    <row r="26" spans="1:7" ht="12" customHeight="1">
      <c r="A26" s="1265" t="s">
        <v>399</v>
      </c>
      <c r="B26" s="1266"/>
      <c r="C26" s="1267"/>
      <c r="D26" s="165">
        <f>VLOOKUP(☆入力!L14,LED計算式!M21:N26,2,TRUE)</f>
        <v>1</v>
      </c>
      <c r="E26" s="165">
        <v>20000</v>
      </c>
      <c r="F26" s="1253">
        <f t="shared" si="0"/>
        <v>20000</v>
      </c>
      <c r="G26" s="1253"/>
    </row>
    <row r="27" spans="1:7" ht="12" customHeight="1">
      <c r="A27" s="1063" t="s">
        <v>400</v>
      </c>
      <c r="B27" s="1268"/>
      <c r="C27" s="1064"/>
      <c r="D27" s="165">
        <f>LED計算式!O36</f>
        <v>0</v>
      </c>
      <c r="E27" s="336">
        <v>3000</v>
      </c>
      <c r="F27" s="1253">
        <f t="shared" ref="F27:F34" si="1">IFERROR(E27*D27,"")</f>
        <v>0</v>
      </c>
      <c r="G27" s="1253"/>
    </row>
    <row r="28" spans="1:7" ht="12" customHeight="1" outlineLevel="1">
      <c r="A28" s="1063" t="s">
        <v>429</v>
      </c>
      <c r="B28" s="1268"/>
      <c r="C28" s="1064"/>
      <c r="D28" s="165">
        <f>LED計算式!O37</f>
        <v>0</v>
      </c>
      <c r="E28" s="336">
        <v>5000</v>
      </c>
      <c r="F28" s="1253">
        <f t="shared" si="1"/>
        <v>0</v>
      </c>
      <c r="G28" s="1253"/>
    </row>
    <row r="29" spans="1:7" ht="12" customHeight="1" outlineLevel="1">
      <c r="A29" s="1063" t="s">
        <v>430</v>
      </c>
      <c r="B29" s="1268"/>
      <c r="C29" s="1064"/>
      <c r="D29" s="165">
        <f>LED計算式!O38</f>
        <v>0</v>
      </c>
      <c r="E29" s="336">
        <v>2000</v>
      </c>
      <c r="F29" s="1253">
        <f t="shared" si="1"/>
        <v>0</v>
      </c>
      <c r="G29" s="1253"/>
    </row>
    <row r="30" spans="1:7" ht="12" customHeight="1" outlineLevel="1">
      <c r="A30" s="1063" t="s">
        <v>403</v>
      </c>
      <c r="B30" s="1268"/>
      <c r="C30" s="1064"/>
      <c r="D30" s="165">
        <f>LED計算式!O39</f>
        <v>0</v>
      </c>
      <c r="E30" s="336">
        <v>600</v>
      </c>
      <c r="F30" s="1253">
        <f t="shared" si="1"/>
        <v>0</v>
      </c>
      <c r="G30" s="1253"/>
    </row>
    <row r="31" spans="1:7" ht="12" customHeight="1">
      <c r="A31" s="1063" t="s">
        <v>404</v>
      </c>
      <c r="B31" s="1268"/>
      <c r="C31" s="1064"/>
      <c r="D31" s="165">
        <f>COUNTA(☆入力!AG16:AG45)</f>
        <v>1</v>
      </c>
      <c r="E31" s="165">
        <v>3000</v>
      </c>
      <c r="F31" s="1253">
        <f t="shared" si="1"/>
        <v>3000</v>
      </c>
      <c r="G31" s="1253"/>
    </row>
    <row r="32" spans="1:7" ht="12" customHeight="1">
      <c r="A32" s="1063" t="s">
        <v>405</v>
      </c>
      <c r="B32" s="1268"/>
      <c r="C32" s="1064"/>
      <c r="D32" s="165">
        <f>☆入力!L14</f>
        <v>0</v>
      </c>
      <c r="E32" s="165">
        <v>1000</v>
      </c>
      <c r="F32" s="1253">
        <f t="shared" si="1"/>
        <v>0</v>
      </c>
      <c r="G32" s="1253"/>
    </row>
    <row r="33" spans="1:7" ht="12" customHeight="1">
      <c r="A33" s="1063" t="s">
        <v>406</v>
      </c>
      <c r="B33" s="1268"/>
      <c r="C33" s="1064"/>
      <c r="D33" s="165">
        <f>COUNTA(☆入力!AG16:AG45)</f>
        <v>1</v>
      </c>
      <c r="E33" s="165">
        <v>5000</v>
      </c>
      <c r="F33" s="1253">
        <f t="shared" si="1"/>
        <v>5000</v>
      </c>
      <c r="G33" s="1253"/>
    </row>
    <row r="34" spans="1:7" ht="12" customHeight="1">
      <c r="A34" s="1069">
        <f>☆入力!AH12</f>
        <v>0</v>
      </c>
      <c r="B34" s="1270"/>
      <c r="C34" s="1070"/>
      <c r="D34" s="217" t="str">
        <f>IF(☆入力!AH12&lt;&gt;"","1","")</f>
        <v/>
      </c>
      <c r="E34" s="180">
        <f>☆入力!AJ12</f>
        <v>0</v>
      </c>
      <c r="F34" s="1271" t="str">
        <f t="shared" si="1"/>
        <v/>
      </c>
      <c r="G34" s="1271"/>
    </row>
    <row r="35" spans="1:7">
      <c r="E35" s="212" t="s">
        <v>431</v>
      </c>
      <c r="F35" s="1272">
        <f>ROUNDDOWN(SUM(F26:G34),0)</f>
        <v>28000</v>
      </c>
      <c r="G35" s="1272"/>
    </row>
    <row r="36" spans="1:7">
      <c r="E36" s="211"/>
      <c r="F36" s="213"/>
      <c r="G36" s="213"/>
    </row>
    <row r="37" spans="1:7">
      <c r="E37" s="212" t="s">
        <v>432</v>
      </c>
      <c r="F37" s="1269">
        <f>F24+F35</f>
        <v>28000</v>
      </c>
      <c r="G37" s="1269"/>
    </row>
    <row r="38" spans="1:7">
      <c r="E38" s="214" t="s">
        <v>415</v>
      </c>
      <c r="F38" s="1269">
        <f ca="1">(☆入力!AL14+代理店入力用!D5)-SUM(F24,F35)</f>
        <v>-28000</v>
      </c>
      <c r="G38" s="1269"/>
    </row>
    <row r="39" spans="1:7" ht="12.75" thickBot="1">
      <c r="E39" s="215" t="s">
        <v>43</v>
      </c>
      <c r="F39" s="1255">
        <f ca="1">F37+F38</f>
        <v>0</v>
      </c>
      <c r="G39" s="1255"/>
    </row>
    <row r="40" spans="1:7" ht="12.75" thickTop="1"/>
    <row r="41" spans="1:7">
      <c r="B41" s="1549" t="s">
        <v>384</v>
      </c>
      <c r="C41" s="1549"/>
      <c r="D41" s="1549"/>
      <c r="E41" s="1549"/>
      <c r="F41" s="1549"/>
    </row>
    <row r="42" spans="1:7">
      <c r="B42" s="1256" t="str">
        <f>☆入力!AH4</f>
        <v>生産終了品などがあった場合、同メーカーもしくは他メーカーの同等品に変更される場合がございます。</v>
      </c>
      <c r="C42" s="1257"/>
      <c r="D42" s="1257"/>
      <c r="E42" s="1258"/>
      <c r="F42" s="356"/>
    </row>
    <row r="43" spans="1:7">
      <c r="B43" s="1259">
        <f>☆入力!AH5</f>
        <v>0</v>
      </c>
      <c r="C43" s="1260"/>
      <c r="D43" s="1260"/>
      <c r="E43" s="1261"/>
      <c r="F43" s="356"/>
    </row>
    <row r="44" spans="1:7">
      <c r="B44" s="1262">
        <f>☆入力!AH6</f>
        <v>0</v>
      </c>
      <c r="C44" s="1263"/>
      <c r="D44" s="1263"/>
      <c r="E44" s="1264"/>
      <c r="F44" s="356"/>
    </row>
  </sheetData>
  <mergeCells count="58">
    <mergeCell ref="K4:L5"/>
    <mergeCell ref="K8:L9"/>
    <mergeCell ref="J4:J5"/>
    <mergeCell ref="J8:J9"/>
    <mergeCell ref="K7:L7"/>
    <mergeCell ref="F38:G38"/>
    <mergeCell ref="F34:G34"/>
    <mergeCell ref="F35:G35"/>
    <mergeCell ref="F23:G23"/>
    <mergeCell ref="F28:G28"/>
    <mergeCell ref="F29:G29"/>
    <mergeCell ref="F30:G30"/>
    <mergeCell ref="F24:G24"/>
    <mergeCell ref="F31:G31"/>
    <mergeCell ref="F32:G32"/>
    <mergeCell ref="F33:G33"/>
    <mergeCell ref="A26:C26"/>
    <mergeCell ref="A27:C27"/>
    <mergeCell ref="A28:C28"/>
    <mergeCell ref="F27:G27"/>
    <mergeCell ref="F37:G37"/>
    <mergeCell ref="A34:C34"/>
    <mergeCell ref="A29:C29"/>
    <mergeCell ref="A30:C30"/>
    <mergeCell ref="A31:C31"/>
    <mergeCell ref="A32:C32"/>
    <mergeCell ref="A33:C33"/>
    <mergeCell ref="B41:F41"/>
    <mergeCell ref="F39:G39"/>
    <mergeCell ref="B42:E42"/>
    <mergeCell ref="B43:E43"/>
    <mergeCell ref="B44:E44"/>
    <mergeCell ref="F15:G15"/>
    <mergeCell ref="F19:G19"/>
    <mergeCell ref="F20:G20"/>
    <mergeCell ref="F25:G25"/>
    <mergeCell ref="F26:G26"/>
    <mergeCell ref="F18:G18"/>
    <mergeCell ref="F16:G16"/>
    <mergeCell ref="F17:G17"/>
    <mergeCell ref="F21:G21"/>
    <mergeCell ref="F22:G22"/>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zoomScale="50" zoomScaleNormal="85" zoomScaleSheetLayoutView="50" workbookViewId="0">
      <selection activeCell="A32" sqref="A32"/>
    </sheetView>
  </sheetViews>
  <sheetFormatPr defaultColWidth="3.625" defaultRowHeight="18.75" customHeight="1"/>
  <cols>
    <col min="1" max="1" width="3.625" style="3"/>
    <col min="2" max="2" width="3.625" style="3" customWidth="1"/>
    <col min="3" max="4" width="3.625" style="3"/>
    <col min="5" max="7" width="3.625" style="3" customWidth="1"/>
    <col min="8" max="16384" width="3.625" style="3"/>
  </cols>
  <sheetData>
    <row r="1" spans="1:51" ht="38.25">
      <c r="A1" s="1318" t="s">
        <v>433</v>
      </c>
      <c r="B1" s="1318"/>
      <c r="C1" s="1318"/>
      <c r="D1" s="1318"/>
      <c r="E1" s="1318"/>
      <c r="F1" s="1318"/>
      <c r="G1" s="1318"/>
      <c r="H1" s="1318"/>
      <c r="I1" s="1318"/>
      <c r="J1" s="1318"/>
      <c r="K1" s="1318"/>
      <c r="L1" s="1318"/>
      <c r="M1" s="1318"/>
      <c r="N1" s="1318"/>
      <c r="O1" s="1318"/>
      <c r="P1" s="1318"/>
      <c r="Q1" s="1318"/>
      <c r="R1" s="1318"/>
      <c r="S1" s="1318"/>
      <c r="T1" s="1318"/>
      <c r="U1" s="1318"/>
      <c r="V1" s="1318"/>
      <c r="W1" s="1318"/>
      <c r="X1" s="1318"/>
      <c r="Y1" s="1318"/>
      <c r="Z1" s="1318"/>
      <c r="AA1" s="1318"/>
      <c r="AB1" s="1318"/>
      <c r="AC1" s="1318"/>
      <c r="AD1" s="1318"/>
      <c r="AE1" s="1318"/>
      <c r="AF1" s="1318"/>
      <c r="AG1" s="1318"/>
      <c r="AH1" s="1318"/>
      <c r="AI1" s="1318"/>
      <c r="AJ1" s="1318"/>
      <c r="AK1" s="1318"/>
      <c r="AL1" s="1318"/>
      <c r="AM1" s="1318"/>
      <c r="AN1" s="1318"/>
      <c r="AO1" s="1318"/>
      <c r="AP1" s="1318"/>
      <c r="AQ1" s="1318"/>
      <c r="AR1" s="1318"/>
      <c r="AS1" s="1318"/>
      <c r="AT1" s="1318"/>
      <c r="AU1" s="1318"/>
      <c r="AV1" s="1318"/>
      <c r="AW1" s="1318"/>
      <c r="AX1" s="1318"/>
      <c r="AY1" s="1318"/>
    </row>
    <row r="2" spans="1:51" ht="22.15" customHeight="1">
      <c r="A2" s="1319" t="s">
        <v>434</v>
      </c>
      <c r="B2" s="1319"/>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c r="AD2" s="477"/>
      <c r="AF2" s="1319" t="s">
        <v>435</v>
      </c>
      <c r="AG2" s="1319"/>
      <c r="AH2" s="1319"/>
      <c r="AI2" s="1319"/>
      <c r="AJ2" s="1319"/>
      <c r="AK2" s="1319"/>
      <c r="AL2" s="1319"/>
      <c r="AM2" s="1319"/>
      <c r="AN2" s="1319"/>
      <c r="AO2" s="1319"/>
      <c r="AP2" s="1319"/>
      <c r="AQ2" s="1319"/>
      <c r="AR2" s="1319"/>
      <c r="AS2" s="1319"/>
      <c r="AT2" s="1319"/>
      <c r="AU2" s="1319"/>
      <c r="AV2" s="1319"/>
      <c r="AW2" s="1319"/>
      <c r="AX2" s="1319"/>
      <c r="AY2" s="85"/>
    </row>
    <row r="3" spans="1:51" ht="22.15" customHeight="1" thickBot="1">
      <c r="A3" s="1320"/>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c r="AD3" s="477"/>
      <c r="AF3" s="1321"/>
      <c r="AG3" s="1321"/>
      <c r="AH3" s="1321"/>
      <c r="AI3" s="1321"/>
      <c r="AJ3" s="1321"/>
      <c r="AK3" s="1321"/>
      <c r="AL3" s="1321"/>
      <c r="AM3" s="1321"/>
      <c r="AN3" s="1321"/>
      <c r="AO3" s="1321"/>
      <c r="AP3" s="1321"/>
      <c r="AQ3" s="1321"/>
      <c r="AR3" s="1321"/>
      <c r="AS3" s="1321"/>
      <c r="AT3" s="1321"/>
      <c r="AU3" s="1321"/>
      <c r="AV3" s="1321"/>
      <c r="AW3" s="1321"/>
      <c r="AX3" s="1321"/>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322" t="s">
        <v>436</v>
      </c>
      <c r="B5" s="1322"/>
      <c r="C5" s="1322"/>
      <c r="D5" s="1322"/>
      <c r="E5" s="1322"/>
      <c r="F5" s="1322"/>
      <c r="G5" s="1322"/>
      <c r="H5" s="1322"/>
      <c r="I5" s="1322"/>
      <c r="J5" s="1322"/>
      <c r="K5" s="1322"/>
      <c r="L5" s="1322"/>
      <c r="M5" s="1322"/>
      <c r="N5" s="1323">
        <f ca="1">⑧見積書!J10</f>
        <v>0</v>
      </c>
      <c r="O5" s="1324"/>
      <c r="P5" s="1324"/>
      <c r="Q5" s="1324"/>
      <c r="R5" s="1325"/>
      <c r="S5" s="1329" t="s">
        <v>437</v>
      </c>
      <c r="T5" s="1329"/>
      <c r="U5" s="1330">
        <f>LED計算式!AD2</f>
        <v>120</v>
      </c>
      <c r="V5" s="1330"/>
      <c r="W5" s="1330"/>
      <c r="X5" s="1330"/>
      <c r="Y5" s="1329" t="s">
        <v>424</v>
      </c>
      <c r="Z5" s="1331">
        <f ca="1">N5*U5</f>
        <v>0</v>
      </c>
      <c r="AA5" s="1331"/>
      <c r="AB5" s="1331"/>
      <c r="AC5" s="1331"/>
      <c r="AD5" s="97"/>
      <c r="AE5" s="62"/>
      <c r="AF5" s="1332" t="s">
        <v>438</v>
      </c>
      <c r="AG5" s="1332"/>
      <c r="AH5" s="1332"/>
      <c r="AI5" s="1332"/>
      <c r="AJ5" s="1332"/>
      <c r="AK5" s="1332"/>
      <c r="AL5" s="1332"/>
      <c r="AM5" s="1332"/>
      <c r="AN5" s="1332"/>
      <c r="AO5" s="1332"/>
      <c r="AP5" s="1332"/>
      <c r="AQ5" s="1332"/>
      <c r="AR5" s="1298">
        <f ca="1">⑧見積書!J12</f>
        <v>0</v>
      </c>
      <c r="AS5" s="1299"/>
      <c r="AT5" s="1299"/>
      <c r="AU5" s="1299"/>
      <c r="AV5" s="1299"/>
      <c r="AW5" s="1299"/>
      <c r="AX5" s="1300"/>
      <c r="AY5" s="84"/>
    </row>
    <row r="6" spans="1:51" ht="22.15" customHeight="1" thickBot="1">
      <c r="A6" s="1322"/>
      <c r="B6" s="1322"/>
      <c r="C6" s="1322"/>
      <c r="D6" s="1322"/>
      <c r="E6" s="1322"/>
      <c r="F6" s="1322"/>
      <c r="G6" s="1322"/>
      <c r="H6" s="1322"/>
      <c r="I6" s="1322"/>
      <c r="J6" s="1322"/>
      <c r="K6" s="1322"/>
      <c r="L6" s="1322"/>
      <c r="M6" s="1322"/>
      <c r="N6" s="1326"/>
      <c r="O6" s="1327"/>
      <c r="P6" s="1327"/>
      <c r="Q6" s="1327"/>
      <c r="R6" s="1328"/>
      <c r="S6" s="1329"/>
      <c r="T6" s="1329"/>
      <c r="U6" s="1330"/>
      <c r="V6" s="1330"/>
      <c r="W6" s="1330"/>
      <c r="X6" s="1330"/>
      <c r="Y6" s="1329"/>
      <c r="Z6" s="1331"/>
      <c r="AA6" s="1331"/>
      <c r="AB6" s="1331"/>
      <c r="AC6" s="1331"/>
      <c r="AD6" s="97"/>
      <c r="AE6" s="62"/>
      <c r="AF6" s="1332"/>
      <c r="AG6" s="1332"/>
      <c r="AH6" s="1332"/>
      <c r="AI6" s="1332"/>
      <c r="AJ6" s="1332"/>
      <c r="AK6" s="1332"/>
      <c r="AL6" s="1332"/>
      <c r="AM6" s="1332"/>
      <c r="AN6" s="1332"/>
      <c r="AO6" s="1332"/>
      <c r="AP6" s="1332"/>
      <c r="AQ6" s="1332"/>
      <c r="AR6" s="1301"/>
      <c r="AS6" s="1302"/>
      <c r="AT6" s="1302"/>
      <c r="AU6" s="1302"/>
      <c r="AV6" s="1302"/>
      <c r="AW6" s="1302"/>
      <c r="AX6" s="1303"/>
      <c r="AY6" s="84"/>
    </row>
    <row r="7" spans="1:51" ht="22.15" customHeight="1" thickTop="1">
      <c r="B7" s="87" t="s">
        <v>439</v>
      </c>
      <c r="F7" s="14"/>
      <c r="G7" s="14"/>
      <c r="H7" s="14"/>
      <c r="I7" s="14"/>
      <c r="J7" s="14"/>
      <c r="K7" s="14"/>
      <c r="L7" s="14"/>
      <c r="M7" s="14"/>
      <c r="N7" s="1315" t="s">
        <v>440</v>
      </c>
      <c r="O7" s="1315"/>
      <c r="P7" s="1315"/>
      <c r="Q7" s="1315"/>
      <c r="R7" s="1315"/>
      <c r="S7" s="73"/>
      <c r="T7" s="82"/>
      <c r="U7" s="82"/>
      <c r="V7" s="82"/>
      <c r="W7" s="478"/>
      <c r="Z7" s="1316" t="s">
        <v>441</v>
      </c>
      <c r="AA7" s="1316"/>
      <c r="AB7" s="1316"/>
      <c r="AC7" s="1316"/>
      <c r="AD7" s="98"/>
      <c r="AE7" s="62"/>
      <c r="AF7" s="104"/>
      <c r="AG7" s="87" t="s">
        <v>439</v>
      </c>
      <c r="AI7" s="104"/>
      <c r="AJ7" s="104"/>
      <c r="AK7" s="104"/>
      <c r="AL7" s="104"/>
      <c r="AM7" s="104"/>
      <c r="AN7" s="104"/>
      <c r="AO7" s="104"/>
      <c r="AP7" s="104"/>
      <c r="AQ7" s="104"/>
      <c r="AR7" s="1317" t="s">
        <v>440</v>
      </c>
      <c r="AS7" s="1317"/>
      <c r="AT7" s="1317"/>
      <c r="AU7" s="1317"/>
      <c r="AV7" s="1317"/>
      <c r="AW7" s="1317"/>
      <c r="AX7" s="1317"/>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442</v>
      </c>
      <c r="B9" s="9"/>
      <c r="C9" s="9"/>
      <c r="AE9" s="62"/>
      <c r="AF9" s="52" t="s">
        <v>443</v>
      </c>
      <c r="AG9" s="10"/>
      <c r="AH9" s="10"/>
      <c r="AI9" s="8"/>
      <c r="AJ9" s="8"/>
      <c r="AK9" s="8"/>
      <c r="AL9" s="8"/>
      <c r="AM9" s="8"/>
      <c r="AN9" s="8"/>
      <c r="AO9" s="8"/>
      <c r="AP9" s="8"/>
      <c r="AQ9" s="8"/>
      <c r="AR9" s="8"/>
      <c r="AS9" s="8"/>
      <c r="AT9" s="8"/>
      <c r="AU9" s="9"/>
      <c r="AV9" s="9"/>
      <c r="AW9" s="9"/>
      <c r="AX9" s="9"/>
      <c r="AY9" s="9"/>
    </row>
    <row r="10" spans="1:51"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282" t="s">
        <v>444</v>
      </c>
      <c r="B26" s="1282"/>
      <c r="C26" s="1282"/>
      <c r="D26" s="1282"/>
      <c r="E26" s="1282"/>
      <c r="F26" s="1282"/>
      <c r="G26" s="1282"/>
      <c r="H26" s="1282"/>
      <c r="I26" s="1282"/>
      <c r="J26" s="1282"/>
      <c r="K26" s="1282"/>
      <c r="L26" s="1282"/>
      <c r="M26" s="1282"/>
      <c r="N26" s="1282"/>
      <c r="O26" s="1282"/>
      <c r="P26" s="1282"/>
      <c r="Q26" s="1282"/>
      <c r="R26" s="1282"/>
      <c r="S26" s="1282"/>
      <c r="T26" s="1282"/>
      <c r="U26" s="1282"/>
      <c r="V26" s="1282"/>
      <c r="W26" s="1282"/>
      <c r="X26" s="1282"/>
      <c r="Y26" s="1282"/>
      <c r="Z26" s="1282"/>
      <c r="AA26" s="1282"/>
      <c r="AB26" s="1282"/>
      <c r="AC26" s="1282"/>
      <c r="AD26" s="1283"/>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09" t="s">
        <v>420</v>
      </c>
      <c r="AH27" s="1310"/>
      <c r="AI27" s="1310"/>
      <c r="AJ27" s="1310"/>
      <c r="AK27" s="1310"/>
      <c r="AL27" s="1310"/>
      <c r="AM27" s="1310"/>
      <c r="AN27" s="1311"/>
      <c r="AO27" s="6"/>
      <c r="AP27" s="6"/>
      <c r="AQ27" s="1312" t="s">
        <v>445</v>
      </c>
      <c r="AR27" s="1313"/>
      <c r="AS27" s="1313"/>
      <c r="AT27" s="1313"/>
      <c r="AU27" s="1313"/>
      <c r="AV27" s="1313"/>
      <c r="AW27" s="1314"/>
      <c r="AX27" s="13"/>
      <c r="AY27" s="13"/>
    </row>
    <row r="28" spans="1:51" ht="22.15" customHeight="1" thickTop="1" thickBot="1">
      <c r="A28" s="13" t="str">
        <f>"◆設置から"&amp;LED計算式!AD1&amp;"年間での交換費用を含めたCF改善金額・・・・・・・"</f>
        <v>◆設置から10年間での交換費用を含めたCF改善金額・・・・・・・</v>
      </c>
      <c r="V28" s="1295">
        <f ca="1">LED計算式!J23*LED計算式!AD2</f>
        <v>0</v>
      </c>
      <c r="W28" s="1296"/>
      <c r="X28" s="1296"/>
      <c r="Y28" s="1296"/>
      <c r="Z28" s="1296"/>
      <c r="AA28" s="1296"/>
      <c r="AB28" s="1296"/>
      <c r="AC28" s="1297"/>
      <c r="AD28" s="99"/>
      <c r="AE28" s="62"/>
      <c r="AG28" s="1298">
        <f ca="1">AR5</f>
        <v>0</v>
      </c>
      <c r="AH28" s="1299"/>
      <c r="AI28" s="1299"/>
      <c r="AJ28" s="1299"/>
      <c r="AK28" s="1299"/>
      <c r="AL28" s="1299"/>
      <c r="AM28" s="1299"/>
      <c r="AN28" s="1300"/>
      <c r="AO28" s="1304" t="s">
        <v>422</v>
      </c>
      <c r="AP28" s="1305"/>
      <c r="AQ28" s="1023">
        <f>④前後a!BA29/120</f>
        <v>0</v>
      </c>
      <c r="AR28" s="1024"/>
      <c r="AS28" s="1024"/>
      <c r="AT28" s="1024"/>
      <c r="AU28" s="1024"/>
      <c r="AV28" s="1024"/>
      <c r="AW28" s="1025"/>
      <c r="AX28" s="13"/>
      <c r="AY28" s="13"/>
    </row>
    <row r="29" spans="1:51" ht="22.15" customHeight="1" thickTop="1" thickBot="1">
      <c r="AE29" s="62"/>
      <c r="AG29" s="1301"/>
      <c r="AH29" s="1302"/>
      <c r="AI29" s="1302"/>
      <c r="AJ29" s="1302"/>
      <c r="AK29" s="1302"/>
      <c r="AL29" s="1302"/>
      <c r="AM29" s="1302"/>
      <c r="AN29" s="1303"/>
      <c r="AO29" s="1304"/>
      <c r="AP29" s="1305"/>
      <c r="AQ29" s="1026"/>
      <c r="AR29" s="1027"/>
      <c r="AS29" s="1027"/>
      <c r="AT29" s="1027"/>
      <c r="AU29" s="1027"/>
      <c r="AV29" s="1027"/>
      <c r="AW29" s="1028"/>
      <c r="AX29" s="9"/>
      <c r="AY29" s="9"/>
    </row>
    <row r="30" spans="1:51" ht="22.15" customHeight="1" thickTop="1" thickBot="1">
      <c r="A30" s="13" t="str">
        <f>"◆"&amp;LED計算式!AD1+1&amp;"年目以降の交換費用を含めたCF改善金額・・・・・・・・・・"</f>
        <v>◆11年目以降の交換費用を含めたCF改善金額・・・・・・・・・・</v>
      </c>
      <c r="V30" s="1295">
        <f>LED計算式!K23*LED計算式!AE2</f>
        <v>0</v>
      </c>
      <c r="W30" s="1296"/>
      <c r="X30" s="1296"/>
      <c r="Y30" s="1296"/>
      <c r="Z30" s="1296"/>
      <c r="AA30" s="1296"/>
      <c r="AB30" s="1296"/>
      <c r="AC30" s="1297"/>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06" t="s">
        <v>423</v>
      </c>
      <c r="AR31" s="1307"/>
      <c r="AS31" s="1307"/>
      <c r="AT31" s="1307"/>
      <c r="AU31" s="1307"/>
      <c r="AV31" s="1307"/>
      <c r="AW31" s="1308"/>
    </row>
    <row r="32" spans="1:51" ht="22.15" customHeight="1" thickTop="1" thickBot="1">
      <c r="A32" s="13" t="s">
        <v>446</v>
      </c>
      <c r="B32" s="16"/>
      <c r="C32" s="16"/>
      <c r="D32" s="13"/>
      <c r="E32" s="89"/>
      <c r="F32" s="89"/>
      <c r="G32" s="89"/>
      <c r="H32" s="89"/>
      <c r="I32" s="89"/>
      <c r="J32" s="89"/>
      <c r="K32" s="89"/>
      <c r="L32" s="89"/>
      <c r="M32" s="89"/>
      <c r="N32" s="89"/>
      <c r="O32" s="89"/>
      <c r="P32" s="89"/>
      <c r="Q32" s="89"/>
      <c r="R32" s="89"/>
      <c r="S32" s="89"/>
      <c r="T32" s="89"/>
      <c r="U32" s="89"/>
      <c r="V32" s="1284">
        <f ca="1">V28+V30</f>
        <v>0</v>
      </c>
      <c r="W32" s="1285"/>
      <c r="X32" s="1285"/>
      <c r="Y32" s="1285"/>
      <c r="Z32" s="1285"/>
      <c r="AA32" s="1285"/>
      <c r="AB32" s="1285"/>
      <c r="AC32" s="1286"/>
      <c r="AD32" s="100"/>
      <c r="AE32" s="62"/>
      <c r="AO32" s="1287" t="s">
        <v>354</v>
      </c>
      <c r="AP32" s="1287"/>
      <c r="AQ32" s="1288" t="str">
        <f ca="1">IFERROR((AG28/AQ28)/12,"0")</f>
        <v>0</v>
      </c>
      <c r="AR32" s="1289"/>
      <c r="AS32" s="1289"/>
      <c r="AT32" s="1289"/>
      <c r="AU32" s="1289"/>
      <c r="AV32" s="1289"/>
      <c r="AW32" s="1290"/>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87"/>
      <c r="AP33" s="1287"/>
      <c r="AQ33" s="1291"/>
      <c r="AR33" s="1292"/>
      <c r="AS33" s="1292"/>
      <c r="AT33" s="1292"/>
      <c r="AU33" s="1292"/>
      <c r="AV33" s="1292"/>
      <c r="AW33" s="1293"/>
    </row>
    <row r="34" spans="2:51" ht="22.15" customHeight="1" thickTop="1">
      <c r="AJ34" s="59"/>
      <c r="AK34" s="59"/>
      <c r="AL34" s="59"/>
      <c r="AM34" s="59"/>
      <c r="AN34" s="59"/>
      <c r="AO34" s="59"/>
      <c r="AP34" s="59"/>
      <c r="AQ34" s="1294" t="str">
        <f ca="1">IFERROR(AG28/AQ28,"0")</f>
        <v>0</v>
      </c>
      <c r="AR34" s="1294"/>
      <c r="AS34" s="1294"/>
      <c r="AT34" s="1294"/>
      <c r="AU34" s="1294"/>
      <c r="AV34" s="1294"/>
      <c r="AW34" s="1294"/>
      <c r="AX34" s="1281">
        <v>9</v>
      </c>
      <c r="AY34" s="1281"/>
    </row>
    <row r="35" spans="2:51" ht="22.15" customHeight="1">
      <c r="AI35" s="59"/>
      <c r="AJ35" s="59"/>
      <c r="AK35" s="59"/>
      <c r="AL35" s="59"/>
      <c r="AM35" s="59"/>
      <c r="AN35" s="59"/>
      <c r="AO35" s="59"/>
      <c r="AP35" s="59"/>
      <c r="AQ35" s="59"/>
      <c r="AR35" s="59"/>
      <c r="AS35" s="59"/>
      <c r="AT35" s="59"/>
    </row>
  </sheetData>
  <mergeCells count="28">
    <mergeCell ref="N7:R7"/>
    <mergeCell ref="Z7:AC7"/>
    <mergeCell ref="AR7:AX7"/>
    <mergeCell ref="A1:AY1"/>
    <mergeCell ref="A2:AC3"/>
    <mergeCell ref="AF2:AX3"/>
    <mergeCell ref="A5:M6"/>
    <mergeCell ref="N5:R6"/>
    <mergeCell ref="S5:T6"/>
    <mergeCell ref="U5:X6"/>
    <mergeCell ref="Y5:Y6"/>
    <mergeCell ref="Z5:AC6"/>
    <mergeCell ref="AF5:AQ6"/>
    <mergeCell ref="AR5:AX6"/>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333" t="s">
        <v>447</v>
      </c>
      <c r="B1" s="1333"/>
      <c r="C1" s="1333"/>
      <c r="D1" s="1333"/>
      <c r="E1" s="1333"/>
      <c r="F1" s="1333"/>
      <c r="G1" s="1333"/>
      <c r="H1" s="1333"/>
      <c r="I1" s="1333"/>
      <c r="J1" s="1333"/>
      <c r="K1" s="1333"/>
      <c r="L1" s="1333"/>
      <c r="M1" s="1333"/>
      <c r="N1" s="1333"/>
      <c r="O1" s="1333"/>
      <c r="P1" s="1333"/>
      <c r="Q1" s="1333"/>
      <c r="R1" s="1333"/>
      <c r="S1" s="1333"/>
      <c r="T1" s="1333"/>
      <c r="U1" s="1333"/>
      <c r="V1" s="1333"/>
      <c r="W1" s="1333"/>
      <c r="X1" s="1333"/>
      <c r="Y1" s="1333"/>
      <c r="Z1" s="1333"/>
      <c r="AA1" s="1333"/>
      <c r="AB1" s="1333"/>
      <c r="AC1" s="1333"/>
      <c r="AD1" s="1333"/>
      <c r="AE1" s="1333"/>
      <c r="AF1" s="1333"/>
      <c r="AG1" s="1333"/>
      <c r="AH1" s="1333"/>
      <c r="AI1" s="1333"/>
      <c r="AJ1" s="1333"/>
      <c r="AK1" s="1333"/>
      <c r="AL1" s="1333"/>
      <c r="AM1" s="1333"/>
      <c r="AN1" s="1333"/>
      <c r="AO1" s="1333"/>
      <c r="AP1" s="1333"/>
      <c r="AQ1" s="1333"/>
      <c r="AR1" s="1333"/>
      <c r="AS1" s="1333"/>
      <c r="AT1" s="1333"/>
      <c r="AU1" s="1333"/>
      <c r="AV1" s="1333"/>
      <c r="AW1" s="1333"/>
      <c r="AX1" s="1333"/>
      <c r="AY1" s="1333"/>
    </row>
    <row r="2" spans="1:51" ht="22.5">
      <c r="A2" s="1342" t="s">
        <v>448</v>
      </c>
      <c r="B2" s="1342"/>
      <c r="C2" s="1342"/>
      <c r="D2" s="1342"/>
      <c r="E2" s="1342"/>
      <c r="F2" s="1342"/>
      <c r="G2" s="1342"/>
      <c r="H2" s="1342"/>
      <c r="I2" s="1342"/>
      <c r="J2" s="1342"/>
      <c r="K2" s="1342"/>
      <c r="L2" s="1342"/>
      <c r="M2" s="1342"/>
      <c r="N2" s="1342"/>
      <c r="O2" s="1342"/>
      <c r="P2" s="1342"/>
      <c r="Q2" s="1342"/>
      <c r="R2" s="1342"/>
      <c r="S2" s="1342"/>
      <c r="T2" s="1342"/>
      <c r="U2" s="1342"/>
      <c r="V2" s="1342"/>
      <c r="W2" s="1342"/>
      <c r="X2" s="1342"/>
      <c r="Y2" s="1342"/>
      <c r="Z2" s="1342"/>
      <c r="AA2" s="1342"/>
      <c r="AB2" s="1342"/>
      <c r="AC2" s="1342"/>
      <c r="AD2" s="1342"/>
      <c r="AE2" s="1342"/>
      <c r="AF2" s="1342"/>
      <c r="AG2" s="1342"/>
      <c r="AH2" s="1342"/>
      <c r="AI2" s="1342"/>
      <c r="AJ2" s="1342"/>
      <c r="AK2" s="1342"/>
      <c r="AL2" s="1342"/>
      <c r="AM2" s="1342"/>
      <c r="AN2" s="1342"/>
      <c r="AO2" s="1342"/>
      <c r="AP2" s="1342"/>
      <c r="AQ2" s="1342"/>
      <c r="AR2" s="1342"/>
      <c r="AS2" s="1342"/>
      <c r="AT2" s="1342"/>
      <c r="AU2" s="1342"/>
      <c r="AV2" s="1342"/>
      <c r="AW2" s="1342"/>
      <c r="AX2" s="1342"/>
      <c r="AY2" s="1342"/>
    </row>
    <row r="3" spans="1:51" ht="22.15" customHeight="1">
      <c r="A3" s="1319" t="s">
        <v>434</v>
      </c>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c r="AD3" s="477"/>
      <c r="AF3" s="1319" t="s">
        <v>435</v>
      </c>
      <c r="AG3" s="1319"/>
      <c r="AH3" s="1319"/>
      <c r="AI3" s="1319"/>
      <c r="AJ3" s="1319"/>
      <c r="AK3" s="1319"/>
      <c r="AL3" s="1319"/>
      <c r="AM3" s="1319"/>
      <c r="AN3" s="1319"/>
      <c r="AO3" s="1319"/>
      <c r="AP3" s="1319"/>
      <c r="AQ3" s="1319"/>
      <c r="AR3" s="1319"/>
      <c r="AS3" s="1319"/>
      <c r="AT3" s="1319"/>
      <c r="AU3" s="1319"/>
      <c r="AV3" s="1319"/>
      <c r="AW3" s="1319"/>
      <c r="AX3" s="1319"/>
      <c r="AY3" s="85"/>
    </row>
    <row r="4" spans="1:51" ht="22.15" customHeight="1" thickBot="1">
      <c r="A4" s="1319"/>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c r="AD4" s="477"/>
      <c r="AF4" s="1319"/>
      <c r="AG4" s="1319"/>
      <c r="AH4" s="1319"/>
      <c r="AI4" s="1319"/>
      <c r="AJ4" s="1319"/>
      <c r="AK4" s="1319"/>
      <c r="AL4" s="1319"/>
      <c r="AM4" s="1319"/>
      <c r="AN4" s="1319"/>
      <c r="AO4" s="1319"/>
      <c r="AP4" s="1319"/>
      <c r="AQ4" s="1319"/>
      <c r="AR4" s="1319"/>
      <c r="AS4" s="1319"/>
      <c r="AT4" s="1319"/>
      <c r="AU4" s="1319"/>
      <c r="AV4" s="1319"/>
      <c r="AW4" s="1319"/>
      <c r="AX4" s="1319"/>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281" t="s">
        <v>449</v>
      </c>
      <c r="J6" s="1281"/>
      <c r="K6" s="1281"/>
      <c r="L6" s="1281"/>
      <c r="M6" s="1281"/>
      <c r="Q6" s="1281" t="s">
        <v>450</v>
      </c>
      <c r="R6" s="1281"/>
      <c r="S6" s="1281"/>
      <c r="T6" s="1281"/>
      <c r="U6" s="1281"/>
      <c r="V6" s="1281"/>
      <c r="W6" s="1281"/>
      <c r="AC6" s="190"/>
      <c r="AE6" s="62"/>
      <c r="AF6" s="191"/>
      <c r="AG6" s="67"/>
      <c r="AH6" s="1281" t="s">
        <v>449</v>
      </c>
      <c r="AI6" s="1281"/>
      <c r="AJ6" s="1281"/>
      <c r="AK6" s="1281"/>
      <c r="AL6" s="1281"/>
      <c r="AM6" s="67"/>
      <c r="AN6" s="67"/>
      <c r="AO6" s="67"/>
      <c r="AP6" s="67"/>
      <c r="AQ6" s="67"/>
      <c r="AR6" s="1281" t="s">
        <v>450</v>
      </c>
      <c r="AS6" s="1281"/>
      <c r="AT6" s="1281"/>
      <c r="AU6" s="1281"/>
      <c r="AV6" s="1281"/>
      <c r="AW6" s="1281"/>
      <c r="AX6" s="1281"/>
      <c r="AY6" s="195"/>
    </row>
    <row r="7" spans="1:51" ht="22.15" customHeight="1" thickTop="1">
      <c r="A7" s="189"/>
      <c r="B7" s="67"/>
      <c r="C7" s="68"/>
      <c r="I7" s="1340">
        <f ca="1">⑨シミュレーション!N5</f>
        <v>0</v>
      </c>
      <c r="J7" s="1340"/>
      <c r="K7" s="1340"/>
      <c r="L7" s="1340"/>
      <c r="M7" s="1340"/>
      <c r="R7" s="1334">
        <f ca="1">ROUNDDOWN(AR7*LED計算式!AC2,0)</f>
        <v>0</v>
      </c>
      <c r="S7" s="1335"/>
      <c r="T7" s="1335"/>
      <c r="U7" s="1335"/>
      <c r="V7" s="1336"/>
      <c r="AC7" s="190"/>
      <c r="AE7" s="62"/>
      <c r="AF7" s="191"/>
      <c r="AG7" s="1341">
        <f ca="1">⑨シミュレーション!AR5</f>
        <v>0</v>
      </c>
      <c r="AH7" s="1341"/>
      <c r="AI7" s="1341"/>
      <c r="AJ7" s="1341"/>
      <c r="AK7" s="1341"/>
      <c r="AL7" s="1341"/>
      <c r="AM7" s="1341"/>
      <c r="AN7" s="67"/>
      <c r="AO7" s="67"/>
      <c r="AP7" s="67"/>
      <c r="AQ7" s="67"/>
      <c r="AR7" s="1343">
        <f ca="1">AG7*(100%-☆入力!AR12)</f>
        <v>0</v>
      </c>
      <c r="AS7" s="1344"/>
      <c r="AT7" s="1344"/>
      <c r="AU7" s="1344"/>
      <c r="AV7" s="1344"/>
      <c r="AW7" s="1344"/>
      <c r="AX7" s="1345"/>
      <c r="AY7" s="195"/>
    </row>
    <row r="8" spans="1:51" ht="22.15" customHeight="1" thickBot="1">
      <c r="A8" s="189"/>
      <c r="B8" s="67"/>
      <c r="C8" s="68"/>
      <c r="I8" s="1340"/>
      <c r="J8" s="1340"/>
      <c r="K8" s="1340"/>
      <c r="L8" s="1340"/>
      <c r="M8" s="1340"/>
      <c r="R8" s="1337"/>
      <c r="S8" s="1338"/>
      <c r="T8" s="1338"/>
      <c r="U8" s="1338"/>
      <c r="V8" s="1339"/>
      <c r="W8" s="3" t="s">
        <v>451</v>
      </c>
      <c r="AC8" s="190"/>
      <c r="AE8" s="62"/>
      <c r="AF8" s="191"/>
      <c r="AG8" s="1341"/>
      <c r="AH8" s="1341"/>
      <c r="AI8" s="1341"/>
      <c r="AJ8" s="1341"/>
      <c r="AK8" s="1341"/>
      <c r="AL8" s="1341"/>
      <c r="AM8" s="1341"/>
      <c r="AN8" s="67"/>
      <c r="AO8" s="67"/>
      <c r="AP8" s="67"/>
      <c r="AQ8" s="67"/>
      <c r="AR8" s="1346"/>
      <c r="AS8" s="1347"/>
      <c r="AT8" s="1347"/>
      <c r="AU8" s="1347"/>
      <c r="AV8" s="1347"/>
      <c r="AW8" s="1347"/>
      <c r="AX8" s="1348"/>
      <c r="AY8" s="195"/>
    </row>
    <row r="9" spans="1:51" ht="22.15" customHeight="1" thickTop="1">
      <c r="A9" s="1354" t="s">
        <v>452</v>
      </c>
      <c r="B9" s="1355"/>
      <c r="C9" s="1355"/>
      <c r="D9" s="1355"/>
      <c r="E9" s="1355"/>
      <c r="F9" s="1355"/>
      <c r="G9" s="1355"/>
      <c r="H9" s="1355"/>
      <c r="I9" s="1355"/>
      <c r="J9" s="1355"/>
      <c r="K9" s="1355"/>
      <c r="L9" s="1355"/>
      <c r="M9" s="1349">
        <f ca="1">I7-R7</f>
        <v>0</v>
      </c>
      <c r="N9" s="1350"/>
      <c r="O9" s="1350"/>
      <c r="P9" s="1350"/>
      <c r="Q9" s="1350"/>
      <c r="R9" s="1350"/>
      <c r="S9" s="875" t="s">
        <v>453</v>
      </c>
      <c r="T9" s="875"/>
      <c r="U9" s="875"/>
      <c r="V9" s="875"/>
      <c r="W9" s="875"/>
      <c r="X9" s="875"/>
      <c r="Y9" s="875"/>
      <c r="Z9" s="875"/>
      <c r="AA9" s="875"/>
      <c r="AB9" s="875"/>
      <c r="AC9" s="1353"/>
      <c r="AD9" s="97"/>
      <c r="AE9" s="62"/>
      <c r="AF9" s="1354" t="s">
        <v>454</v>
      </c>
      <c r="AG9" s="1355"/>
      <c r="AH9" s="1355"/>
      <c r="AI9" s="1355"/>
      <c r="AJ9" s="1355"/>
      <c r="AK9" s="1355"/>
      <c r="AL9" s="1355"/>
      <c r="AM9" s="1357">
        <f ca="1">AG7-AR7</f>
        <v>0</v>
      </c>
      <c r="AN9" s="1358"/>
      <c r="AO9" s="1358"/>
      <c r="AP9" s="1358"/>
      <c r="AQ9" s="1358"/>
      <c r="AR9" s="1358"/>
      <c r="AS9" s="875" t="s">
        <v>453</v>
      </c>
      <c r="AT9" s="875"/>
      <c r="AU9" s="875"/>
      <c r="AV9" s="875"/>
      <c r="AW9" s="875"/>
      <c r="AX9" s="875"/>
      <c r="AY9" s="1353"/>
    </row>
    <row r="10" spans="1:51" ht="22.15" customHeight="1">
      <c r="A10" s="1354"/>
      <c r="B10" s="1355"/>
      <c r="C10" s="1355"/>
      <c r="D10" s="1355"/>
      <c r="E10" s="1355"/>
      <c r="F10" s="1355"/>
      <c r="G10" s="1355"/>
      <c r="H10" s="1355"/>
      <c r="I10" s="1355"/>
      <c r="J10" s="1355"/>
      <c r="K10" s="1355"/>
      <c r="L10" s="1355"/>
      <c r="M10" s="1350"/>
      <c r="N10" s="1350"/>
      <c r="O10" s="1350"/>
      <c r="P10" s="1350"/>
      <c r="Q10" s="1350"/>
      <c r="R10" s="1350"/>
      <c r="S10" s="875"/>
      <c r="T10" s="875"/>
      <c r="U10" s="875"/>
      <c r="V10" s="875"/>
      <c r="W10" s="875"/>
      <c r="X10" s="875"/>
      <c r="Y10" s="875"/>
      <c r="Z10" s="875"/>
      <c r="AA10" s="875"/>
      <c r="AB10" s="875"/>
      <c r="AC10" s="1353"/>
      <c r="AD10" s="97"/>
      <c r="AE10" s="62"/>
      <c r="AF10" s="1354"/>
      <c r="AG10" s="1355"/>
      <c r="AH10" s="1355"/>
      <c r="AI10" s="1355"/>
      <c r="AJ10" s="1355"/>
      <c r="AK10" s="1355"/>
      <c r="AL10" s="1355"/>
      <c r="AM10" s="1358"/>
      <c r="AN10" s="1358"/>
      <c r="AO10" s="1358"/>
      <c r="AP10" s="1358"/>
      <c r="AQ10" s="1358"/>
      <c r="AR10" s="1358"/>
      <c r="AS10" s="875"/>
      <c r="AT10" s="875"/>
      <c r="AU10" s="875"/>
      <c r="AV10" s="875"/>
      <c r="AW10" s="875"/>
      <c r="AX10" s="875"/>
      <c r="AY10" s="1353"/>
    </row>
    <row r="11" spans="1:51" ht="22.15" customHeight="1" thickBot="1">
      <c r="A11" s="201"/>
      <c r="B11" s="202"/>
      <c r="C11" s="203"/>
      <c r="D11" s="1356">
        <f ca="1">M9</f>
        <v>0</v>
      </c>
      <c r="E11" s="1356"/>
      <c r="F11" s="1356"/>
      <c r="G11" s="1356"/>
      <c r="H11" s="1356"/>
      <c r="I11" s="1352" t="str">
        <f>"×"&amp;LED計算式!AD2&amp;"ヵ月="</f>
        <v>×120ヵ月=</v>
      </c>
      <c r="J11" s="1352"/>
      <c r="K11" s="1352"/>
      <c r="L11" s="1352"/>
      <c r="M11" s="1351">
        <f ca="1">D11*LED計算式!AD2</f>
        <v>0</v>
      </c>
      <c r="N11" s="1351"/>
      <c r="O11" s="1351"/>
      <c r="P11" s="1351"/>
      <c r="Q11" s="1351"/>
      <c r="R11" s="1351"/>
      <c r="S11" s="204" t="s">
        <v>455</v>
      </c>
      <c r="T11" s="205"/>
      <c r="U11" s="205"/>
      <c r="V11" s="205"/>
      <c r="W11" s="480"/>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442</v>
      </c>
      <c r="B13" s="9"/>
      <c r="C13" s="9"/>
      <c r="AE13" s="62"/>
      <c r="AF13" s="52" t="s">
        <v>443</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282" t="s">
        <v>444</v>
      </c>
      <c r="B30" s="1282"/>
      <c r="C30" s="1282"/>
      <c r="D30" s="1282"/>
      <c r="E30" s="1282"/>
      <c r="F30" s="1282"/>
      <c r="G30" s="1282"/>
      <c r="H30" s="1282"/>
      <c r="I30" s="1282"/>
      <c r="J30" s="1282"/>
      <c r="K30" s="1282"/>
      <c r="L30" s="1282"/>
      <c r="M30" s="1282"/>
      <c r="N30" s="1282"/>
      <c r="O30" s="1282"/>
      <c r="P30" s="1282"/>
      <c r="Q30" s="1282"/>
      <c r="R30" s="1282"/>
      <c r="S30" s="1282"/>
      <c r="T30" s="1282"/>
      <c r="U30" s="1282"/>
      <c r="V30" s="1282"/>
      <c r="W30" s="1282"/>
      <c r="X30" s="1282"/>
      <c r="Y30" s="1282"/>
      <c r="Z30" s="1282"/>
      <c r="AA30" s="1282"/>
      <c r="AB30" s="1282"/>
      <c r="AC30" s="1282"/>
      <c r="AD30" s="1283"/>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09" t="s">
        <v>420</v>
      </c>
      <c r="AH31" s="1310"/>
      <c r="AI31" s="1310"/>
      <c r="AJ31" s="1310"/>
      <c r="AK31" s="1310"/>
      <c r="AL31" s="1310"/>
      <c r="AM31" s="1310"/>
      <c r="AN31" s="1311"/>
      <c r="AO31" s="6"/>
      <c r="AP31" s="6"/>
      <c r="AQ31" s="1312" t="s">
        <v>445</v>
      </c>
      <c r="AR31" s="1313"/>
      <c r="AS31" s="1313"/>
      <c r="AT31" s="1313"/>
      <c r="AU31" s="1313"/>
      <c r="AV31" s="1313"/>
      <c r="AW31" s="1314"/>
      <c r="AX31" s="13"/>
      <c r="AY31" s="13"/>
    </row>
    <row r="32" spans="1:51" ht="22.15" hidden="1" customHeight="1" thickTop="1" thickBot="1">
      <c r="A32" s="13" t="str">
        <f>"◆設置から"&amp;LED計算式!AD1&amp;"年間での交換費用を含めたCF改善金額・・・・・・・"</f>
        <v>◆設置から10年間での交換費用を含めたCF改善金額・・・・・・・</v>
      </c>
      <c r="V32" s="1295">
        <f ca="1">LED計算式!J23*LED計算式!AD2</f>
        <v>0</v>
      </c>
      <c r="W32" s="1296"/>
      <c r="X32" s="1296"/>
      <c r="Y32" s="1296"/>
      <c r="Z32" s="1296"/>
      <c r="AA32" s="1296"/>
      <c r="AB32" s="1296"/>
      <c r="AC32" s="1297"/>
      <c r="AD32" s="99"/>
      <c r="AE32" s="62"/>
      <c r="AG32" s="1298">
        <f ca="1">AR7</f>
        <v>0</v>
      </c>
      <c r="AH32" s="1299"/>
      <c r="AI32" s="1299"/>
      <c r="AJ32" s="1299"/>
      <c r="AK32" s="1299"/>
      <c r="AL32" s="1299"/>
      <c r="AM32" s="1299"/>
      <c r="AN32" s="1300"/>
      <c r="AO32" s="1304" t="s">
        <v>422</v>
      </c>
      <c r="AP32" s="1305"/>
      <c r="AQ32" s="1023">
        <f>④前後a!BA29/120</f>
        <v>0</v>
      </c>
      <c r="AR32" s="1024"/>
      <c r="AS32" s="1024"/>
      <c r="AT32" s="1024"/>
      <c r="AU32" s="1024"/>
      <c r="AV32" s="1024"/>
      <c r="AW32" s="1025"/>
      <c r="AX32" s="13"/>
      <c r="AY32" s="13"/>
    </row>
    <row r="33" spans="1:51" ht="22.15" hidden="1" customHeight="1" thickTop="1" thickBot="1">
      <c r="AE33" s="62"/>
      <c r="AG33" s="1301"/>
      <c r="AH33" s="1302"/>
      <c r="AI33" s="1302"/>
      <c r="AJ33" s="1302"/>
      <c r="AK33" s="1302"/>
      <c r="AL33" s="1302"/>
      <c r="AM33" s="1302"/>
      <c r="AN33" s="1303"/>
      <c r="AO33" s="1304"/>
      <c r="AP33" s="1305"/>
      <c r="AQ33" s="1026"/>
      <c r="AR33" s="1027"/>
      <c r="AS33" s="1027"/>
      <c r="AT33" s="1027"/>
      <c r="AU33" s="1027"/>
      <c r="AV33" s="1027"/>
      <c r="AW33" s="1028"/>
      <c r="AX33" s="9"/>
      <c r="AY33" s="9"/>
    </row>
    <row r="34" spans="1:51" ht="22.15" hidden="1" customHeight="1" thickTop="1" thickBot="1">
      <c r="A34" s="13" t="str">
        <f>"◆"&amp;LED計算式!AD1+1&amp;"年目以降の交換費用を含めたCF改善金額・・・・・・・・・・"</f>
        <v>◆11年目以降の交換費用を含めたCF改善金額・・・・・・・・・・</v>
      </c>
      <c r="V34" s="1295">
        <f>LED計算式!K23*LED計算式!AE2</f>
        <v>0</v>
      </c>
      <c r="W34" s="1296"/>
      <c r="X34" s="1296"/>
      <c r="Y34" s="1296"/>
      <c r="Z34" s="1296"/>
      <c r="AA34" s="1296"/>
      <c r="AB34" s="1296"/>
      <c r="AC34" s="1297"/>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06" t="s">
        <v>423</v>
      </c>
      <c r="AR35" s="1307"/>
      <c r="AS35" s="1307"/>
      <c r="AT35" s="1307"/>
      <c r="AU35" s="1307"/>
      <c r="AV35" s="1307"/>
      <c r="AW35" s="1308"/>
    </row>
    <row r="36" spans="1:51" ht="22.15" customHeight="1" thickTop="1" thickBot="1">
      <c r="A36" s="13" t="s">
        <v>456</v>
      </c>
      <c r="B36" s="16"/>
      <c r="C36" s="16"/>
      <c r="D36" s="13"/>
      <c r="E36" s="89"/>
      <c r="F36" s="89"/>
      <c r="G36" s="89"/>
      <c r="H36" s="89"/>
      <c r="I36" s="89"/>
      <c r="J36" s="89"/>
      <c r="K36" s="89"/>
      <c r="L36" s="89"/>
      <c r="M36" s="89"/>
      <c r="N36" s="89"/>
      <c r="O36" s="89"/>
      <c r="P36" s="89"/>
      <c r="Q36" s="89"/>
      <c r="R36" s="89"/>
      <c r="S36" s="89"/>
      <c r="T36" s="89"/>
      <c r="U36" s="89"/>
      <c r="V36" s="1284">
        <f ca="1">V32+V34</f>
        <v>0</v>
      </c>
      <c r="W36" s="1285"/>
      <c r="X36" s="1285"/>
      <c r="Y36" s="1285"/>
      <c r="Z36" s="1285"/>
      <c r="AA36" s="1285"/>
      <c r="AB36" s="1285"/>
      <c r="AC36" s="1286"/>
      <c r="AD36" s="100"/>
      <c r="AE36" s="62"/>
      <c r="AO36" s="1287"/>
      <c r="AP36" s="1287"/>
      <c r="AQ36" s="1288" t="str">
        <f ca="1">IFERROR((AG32/AQ32)/12,"0")</f>
        <v>0</v>
      </c>
      <c r="AR36" s="1289"/>
      <c r="AS36" s="1289"/>
      <c r="AT36" s="1289"/>
      <c r="AU36" s="1289"/>
      <c r="AV36" s="1289"/>
      <c r="AW36" s="1290"/>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87"/>
      <c r="AP37" s="1287"/>
      <c r="AQ37" s="1291"/>
      <c r="AR37" s="1292"/>
      <c r="AS37" s="1292"/>
      <c r="AT37" s="1292"/>
      <c r="AU37" s="1292"/>
      <c r="AV37" s="1292"/>
      <c r="AW37" s="1293"/>
    </row>
    <row r="38" spans="1:51" ht="22.15" customHeight="1" thickTop="1">
      <c r="AE38" s="62"/>
      <c r="AJ38" s="59"/>
      <c r="AK38" s="59"/>
      <c r="AL38" s="59"/>
      <c r="AM38" s="59"/>
      <c r="AN38" s="59"/>
      <c r="AO38" s="59"/>
      <c r="AP38" s="59"/>
      <c r="AQ38" s="1294" t="str">
        <f ca="1">IFERROR(AG32/AQ32,"0")</f>
        <v>0</v>
      </c>
      <c r="AR38" s="1294"/>
      <c r="AS38" s="1294"/>
      <c r="AT38" s="1294"/>
      <c r="AU38" s="1294"/>
      <c r="AV38" s="1294"/>
      <c r="AW38" s="1294"/>
    </row>
    <row r="39" spans="1:51" ht="22.15" customHeight="1">
      <c r="AI39" s="59"/>
      <c r="AJ39" s="59"/>
      <c r="AK39" s="59"/>
      <c r="AL39" s="59"/>
      <c r="AM39" s="59"/>
      <c r="AN39" s="59"/>
      <c r="AO39" s="59"/>
      <c r="AP39" s="59"/>
      <c r="AQ39" s="59"/>
      <c r="AR39" s="59"/>
      <c r="AS39" s="59"/>
      <c r="AT39" s="59"/>
      <c r="AX39" s="1281" t="s">
        <v>457</v>
      </c>
      <c r="AY39" s="1281"/>
    </row>
  </sheetData>
  <mergeCells count="35">
    <mergeCell ref="V36:AC36"/>
    <mergeCell ref="AO36:AP37"/>
    <mergeCell ref="AM9:AR10"/>
    <mergeCell ref="AF9:AL10"/>
    <mergeCell ref="AQ36:AW37"/>
    <mergeCell ref="AQ32:AW33"/>
    <mergeCell ref="V34:AC34"/>
    <mergeCell ref="AQ35:AW35"/>
    <mergeCell ref="AR7:AX8"/>
    <mergeCell ref="A30:AD30"/>
    <mergeCell ref="AG31:AN31"/>
    <mergeCell ref="AQ31:AW31"/>
    <mergeCell ref="M9:R10"/>
    <mergeCell ref="M11:R11"/>
    <mergeCell ref="I11:L11"/>
    <mergeCell ref="AS9:AY10"/>
    <mergeCell ref="A9:L10"/>
    <mergeCell ref="S9:AC10"/>
    <mergeCell ref="D11:H11"/>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50" width="3.625" style="3"/>
    <col min="51" max="51" width="3.625" style="3" customWidth="1"/>
    <col min="52" max="16384" width="3.625" style="3"/>
  </cols>
  <sheetData>
    <row r="1" spans="1:51" ht="38.25">
      <c r="A1" s="1318" t="s">
        <v>433</v>
      </c>
      <c r="B1" s="1318"/>
      <c r="C1" s="1318"/>
      <c r="D1" s="1318"/>
      <c r="E1" s="1318"/>
      <c r="F1" s="1318"/>
      <c r="G1" s="1318"/>
      <c r="H1" s="1318"/>
      <c r="I1" s="1318"/>
      <c r="J1" s="1318"/>
      <c r="K1" s="1318"/>
      <c r="L1" s="1318"/>
      <c r="M1" s="1318"/>
      <c r="N1" s="1318"/>
      <c r="O1" s="1318"/>
      <c r="P1" s="1318"/>
      <c r="Q1" s="1318"/>
      <c r="R1" s="1318"/>
      <c r="S1" s="1318"/>
      <c r="T1" s="1318"/>
      <c r="U1" s="1318"/>
      <c r="V1" s="1318"/>
      <c r="W1" s="1318"/>
      <c r="X1" s="1318"/>
      <c r="Y1" s="1318"/>
      <c r="Z1" s="1318"/>
      <c r="AA1" s="1318"/>
      <c r="AB1" s="1318"/>
      <c r="AC1" s="1318"/>
      <c r="AD1" s="1318"/>
      <c r="AE1" s="1318"/>
      <c r="AF1" s="1318"/>
      <c r="AG1" s="1318"/>
      <c r="AH1" s="1318"/>
      <c r="AI1" s="1318"/>
      <c r="AJ1" s="1318"/>
      <c r="AK1" s="1318"/>
      <c r="AL1" s="1318"/>
      <c r="AM1" s="1318"/>
      <c r="AN1" s="1318"/>
      <c r="AO1" s="1318"/>
      <c r="AP1" s="1318"/>
      <c r="AQ1" s="1318"/>
      <c r="AR1" s="1318"/>
      <c r="AS1" s="1318"/>
      <c r="AT1" s="1318"/>
      <c r="AU1" s="1318"/>
      <c r="AV1" s="1318"/>
      <c r="AW1" s="1318"/>
      <c r="AX1" s="1318"/>
      <c r="AY1" s="1318"/>
    </row>
    <row r="2" spans="1:51" ht="22.15" customHeight="1">
      <c r="A2" s="1319" t="s">
        <v>434</v>
      </c>
      <c r="B2" s="1319"/>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c r="AD2" s="477"/>
      <c r="AF2" s="1319" t="s">
        <v>435</v>
      </c>
      <c r="AG2" s="1319"/>
      <c r="AH2" s="1319"/>
      <c r="AI2" s="1319"/>
      <c r="AJ2" s="1319"/>
      <c r="AK2" s="1319"/>
      <c r="AL2" s="1319"/>
      <c r="AM2" s="1319"/>
      <c r="AN2" s="1319"/>
      <c r="AO2" s="1319"/>
      <c r="AP2" s="1319"/>
      <c r="AQ2" s="1319"/>
      <c r="AR2" s="1319"/>
      <c r="AS2" s="1319"/>
      <c r="AT2" s="1319"/>
      <c r="AU2" s="1319"/>
      <c r="AV2" s="1319"/>
      <c r="AW2" s="1319"/>
      <c r="AX2" s="1319"/>
      <c r="AY2" s="85"/>
    </row>
    <row r="3" spans="1:51" ht="22.15" customHeight="1" thickBot="1">
      <c r="A3" s="1320"/>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c r="AD3" s="477"/>
      <c r="AF3" s="1321"/>
      <c r="AG3" s="1321"/>
      <c r="AH3" s="1321"/>
      <c r="AI3" s="1321"/>
      <c r="AJ3" s="1321"/>
      <c r="AK3" s="1321"/>
      <c r="AL3" s="1321"/>
      <c r="AM3" s="1321"/>
      <c r="AN3" s="1321"/>
      <c r="AO3" s="1321"/>
      <c r="AP3" s="1321"/>
      <c r="AQ3" s="1321"/>
      <c r="AR3" s="1321"/>
      <c r="AS3" s="1321"/>
      <c r="AT3" s="1321"/>
      <c r="AU3" s="1321"/>
      <c r="AV3" s="1321"/>
      <c r="AW3" s="1321"/>
      <c r="AX3" s="1321"/>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322" t="s">
        <v>436</v>
      </c>
      <c r="B5" s="1322"/>
      <c r="C5" s="1322"/>
      <c r="D5" s="1322"/>
      <c r="E5" s="1322"/>
      <c r="F5" s="1322"/>
      <c r="G5" s="1322"/>
      <c r="H5" s="1322"/>
      <c r="I5" s="1322"/>
      <c r="J5" s="1322"/>
      <c r="K5" s="1322"/>
      <c r="L5" s="1322"/>
      <c r="M5" s="1322"/>
      <c r="N5" s="1323">
        <f ca="1">ROUNDDOWN((☆入力!AK14)*(100%-☆入力!AR11)+(代理店入力用!D5/54),0)</f>
        <v>0</v>
      </c>
      <c r="O5" s="1324"/>
      <c r="P5" s="1324"/>
      <c r="Q5" s="1324"/>
      <c r="R5" s="1325"/>
      <c r="S5" s="1329" t="s">
        <v>437</v>
      </c>
      <c r="T5" s="1329"/>
      <c r="U5" s="1330">
        <v>60</v>
      </c>
      <c r="V5" s="1330"/>
      <c r="W5" s="1330"/>
      <c r="X5" s="1330"/>
      <c r="Y5" s="1329" t="s">
        <v>424</v>
      </c>
      <c r="Z5" s="1331">
        <f ca="1">N5*U5</f>
        <v>0</v>
      </c>
      <c r="AA5" s="1331"/>
      <c r="AB5" s="1331"/>
      <c r="AC5" s="1331"/>
      <c r="AD5" s="97"/>
      <c r="AE5" s="62"/>
      <c r="AF5" s="1332" t="s">
        <v>438</v>
      </c>
      <c r="AG5" s="1332"/>
      <c r="AH5" s="1332"/>
      <c r="AI5" s="1332"/>
      <c r="AJ5" s="1332"/>
      <c r="AK5" s="1332"/>
      <c r="AL5" s="1332"/>
      <c r="AM5" s="1332"/>
      <c r="AN5" s="1332"/>
      <c r="AO5" s="1332"/>
      <c r="AP5" s="1332"/>
      <c r="AQ5" s="1332"/>
      <c r="AR5" s="1298">
        <f ca="1">ROUNDDOWN((☆入力!AL14)*(100%-☆入力!AR11)+代理店入力用!D5,0)</f>
        <v>0</v>
      </c>
      <c r="AS5" s="1299"/>
      <c r="AT5" s="1299"/>
      <c r="AU5" s="1299"/>
      <c r="AV5" s="1299"/>
      <c r="AW5" s="1299"/>
      <c r="AX5" s="1300"/>
      <c r="AY5" s="84"/>
    </row>
    <row r="6" spans="1:51" ht="22.15" customHeight="1" thickBot="1">
      <c r="A6" s="1322"/>
      <c r="B6" s="1322"/>
      <c r="C6" s="1322"/>
      <c r="D6" s="1322"/>
      <c r="E6" s="1322"/>
      <c r="F6" s="1322"/>
      <c r="G6" s="1322"/>
      <c r="H6" s="1322"/>
      <c r="I6" s="1322"/>
      <c r="J6" s="1322"/>
      <c r="K6" s="1322"/>
      <c r="L6" s="1322"/>
      <c r="M6" s="1322"/>
      <c r="N6" s="1326"/>
      <c r="O6" s="1327"/>
      <c r="P6" s="1327"/>
      <c r="Q6" s="1327"/>
      <c r="R6" s="1328"/>
      <c r="S6" s="1329"/>
      <c r="T6" s="1329"/>
      <c r="U6" s="1330"/>
      <c r="V6" s="1330"/>
      <c r="W6" s="1330"/>
      <c r="X6" s="1330"/>
      <c r="Y6" s="1329"/>
      <c r="Z6" s="1331"/>
      <c r="AA6" s="1331"/>
      <c r="AB6" s="1331"/>
      <c r="AC6" s="1331"/>
      <c r="AD6" s="97"/>
      <c r="AE6" s="62"/>
      <c r="AF6" s="1332"/>
      <c r="AG6" s="1332"/>
      <c r="AH6" s="1332"/>
      <c r="AI6" s="1332"/>
      <c r="AJ6" s="1332"/>
      <c r="AK6" s="1332"/>
      <c r="AL6" s="1332"/>
      <c r="AM6" s="1332"/>
      <c r="AN6" s="1332"/>
      <c r="AO6" s="1332"/>
      <c r="AP6" s="1332"/>
      <c r="AQ6" s="1332"/>
      <c r="AR6" s="1301"/>
      <c r="AS6" s="1302"/>
      <c r="AT6" s="1302"/>
      <c r="AU6" s="1302"/>
      <c r="AV6" s="1302"/>
      <c r="AW6" s="1302"/>
      <c r="AX6" s="1303"/>
      <c r="AY6" s="84"/>
    </row>
    <row r="7" spans="1:51" ht="22.15" customHeight="1" thickTop="1">
      <c r="B7" s="87" t="s">
        <v>439</v>
      </c>
      <c r="F7" s="14"/>
      <c r="G7" s="14"/>
      <c r="H7" s="14"/>
      <c r="I7" s="14"/>
      <c r="J7" s="14"/>
      <c r="K7" s="14"/>
      <c r="L7" s="14"/>
      <c r="M7" s="14"/>
      <c r="N7" s="1315" t="s">
        <v>458</v>
      </c>
      <c r="O7" s="1315"/>
      <c r="P7" s="1315"/>
      <c r="Q7" s="1315"/>
      <c r="R7" s="1315"/>
      <c r="S7" s="73"/>
      <c r="T7" s="82"/>
      <c r="U7" s="82"/>
      <c r="V7" s="82"/>
      <c r="W7" s="478"/>
      <c r="Z7" s="1316" t="s">
        <v>441</v>
      </c>
      <c r="AA7" s="1316"/>
      <c r="AB7" s="1316"/>
      <c r="AC7" s="1316"/>
      <c r="AD7" s="98"/>
      <c r="AE7" s="62"/>
      <c r="AF7" s="104"/>
      <c r="AG7" s="87" t="s">
        <v>439</v>
      </c>
      <c r="AI7" s="104"/>
      <c r="AJ7" s="104"/>
      <c r="AK7" s="104"/>
      <c r="AL7" s="104"/>
      <c r="AM7" s="104"/>
      <c r="AN7" s="104"/>
      <c r="AO7" s="104"/>
      <c r="AP7" s="104"/>
      <c r="AQ7" s="104"/>
      <c r="AR7" s="1317" t="s">
        <v>458</v>
      </c>
      <c r="AS7" s="1317"/>
      <c r="AT7" s="1317"/>
      <c r="AU7" s="1317"/>
      <c r="AV7" s="1317"/>
      <c r="AW7" s="1317"/>
      <c r="AX7" s="1317"/>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442</v>
      </c>
      <c r="B9" s="9"/>
      <c r="C9" s="9"/>
      <c r="AE9" s="62"/>
      <c r="AF9" s="52" t="s">
        <v>443</v>
      </c>
      <c r="AG9" s="10"/>
      <c r="AH9" s="10"/>
      <c r="AI9" s="8"/>
      <c r="AJ9" s="8"/>
      <c r="AK9" s="8"/>
      <c r="AL9" s="8"/>
      <c r="AM9" s="8"/>
      <c r="AN9" s="8"/>
      <c r="AO9" s="8"/>
      <c r="AP9" s="8"/>
      <c r="AQ9" s="8"/>
      <c r="AR9" s="8"/>
      <c r="AS9" s="8"/>
      <c r="AT9" s="8"/>
      <c r="AU9" s="9"/>
      <c r="AV9" s="9"/>
      <c r="AW9" s="9"/>
      <c r="AX9" s="9"/>
      <c r="AY9" s="9"/>
    </row>
    <row r="10" spans="1:51" ht="22.1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282" t="s">
        <v>444</v>
      </c>
      <c r="B26" s="1282"/>
      <c r="C26" s="1282"/>
      <c r="D26" s="1282"/>
      <c r="E26" s="1282"/>
      <c r="F26" s="1282"/>
      <c r="G26" s="1282"/>
      <c r="H26" s="1282"/>
      <c r="I26" s="1282"/>
      <c r="J26" s="1282"/>
      <c r="K26" s="1282"/>
      <c r="L26" s="1282"/>
      <c r="M26" s="1282"/>
      <c r="N26" s="1282"/>
      <c r="O26" s="1282"/>
      <c r="P26" s="1282"/>
      <c r="Q26" s="1282"/>
      <c r="R26" s="1282"/>
      <c r="S26" s="1282"/>
      <c r="T26" s="1282"/>
      <c r="U26" s="1282"/>
      <c r="V26" s="1282"/>
      <c r="W26" s="1282"/>
      <c r="X26" s="1282"/>
      <c r="Y26" s="1282"/>
      <c r="Z26" s="1282"/>
      <c r="AA26" s="1282"/>
      <c r="AB26" s="1282"/>
      <c r="AC26" s="1282"/>
      <c r="AD26" s="1283"/>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09" t="s">
        <v>420</v>
      </c>
      <c r="AH27" s="1310"/>
      <c r="AI27" s="1310"/>
      <c r="AJ27" s="1310"/>
      <c r="AK27" s="1310"/>
      <c r="AL27" s="1310"/>
      <c r="AM27" s="1310"/>
      <c r="AN27" s="1311"/>
      <c r="AO27" s="6"/>
      <c r="AP27" s="6"/>
      <c r="AQ27" s="1312" t="s">
        <v>445</v>
      </c>
      <c r="AR27" s="1313"/>
      <c r="AS27" s="1313"/>
      <c r="AT27" s="1313"/>
      <c r="AU27" s="1313"/>
      <c r="AV27" s="1313"/>
      <c r="AW27" s="1314"/>
      <c r="AX27" s="13"/>
      <c r="AY27" s="13"/>
    </row>
    <row r="28" spans="1:51" ht="22.15" customHeight="1" thickTop="1" thickBot="1">
      <c r="A28" s="13" t="s">
        <v>459</v>
      </c>
      <c r="V28" s="1295">
        <f ca="1">LED計算式!J23*60</f>
        <v>0</v>
      </c>
      <c r="W28" s="1296"/>
      <c r="X28" s="1296"/>
      <c r="Y28" s="1296"/>
      <c r="Z28" s="1296"/>
      <c r="AA28" s="1296"/>
      <c r="AB28" s="1296"/>
      <c r="AC28" s="1297"/>
      <c r="AD28" s="99"/>
      <c r="AE28" s="62"/>
      <c r="AG28" s="1298">
        <f ca="1">AR5</f>
        <v>0</v>
      </c>
      <c r="AH28" s="1299"/>
      <c r="AI28" s="1299"/>
      <c r="AJ28" s="1299"/>
      <c r="AK28" s="1299"/>
      <c r="AL28" s="1299"/>
      <c r="AM28" s="1299"/>
      <c r="AN28" s="1300"/>
      <c r="AO28" s="1304" t="s">
        <v>422</v>
      </c>
      <c r="AP28" s="1305"/>
      <c r="AQ28" s="1023">
        <f>④前後a!BA29/120</f>
        <v>0</v>
      </c>
      <c r="AR28" s="1024"/>
      <c r="AS28" s="1024"/>
      <c r="AT28" s="1024"/>
      <c r="AU28" s="1024"/>
      <c r="AV28" s="1024"/>
      <c r="AW28" s="1025"/>
      <c r="AX28" s="13"/>
      <c r="AY28" s="13"/>
    </row>
    <row r="29" spans="1:51" ht="22.15" customHeight="1" thickTop="1" thickBot="1">
      <c r="AE29" s="62"/>
      <c r="AG29" s="1301"/>
      <c r="AH29" s="1302"/>
      <c r="AI29" s="1302"/>
      <c r="AJ29" s="1302"/>
      <c r="AK29" s="1302"/>
      <c r="AL29" s="1302"/>
      <c r="AM29" s="1302"/>
      <c r="AN29" s="1303"/>
      <c r="AO29" s="1304"/>
      <c r="AP29" s="1305"/>
      <c r="AQ29" s="1026"/>
      <c r="AR29" s="1027"/>
      <c r="AS29" s="1027"/>
      <c r="AT29" s="1027"/>
      <c r="AU29" s="1027"/>
      <c r="AV29" s="1027"/>
      <c r="AW29" s="1028"/>
      <c r="AX29" s="9"/>
      <c r="AY29" s="9"/>
    </row>
    <row r="30" spans="1:51" ht="22.15" customHeight="1" thickTop="1" thickBot="1">
      <c r="A30" s="13" t="s">
        <v>460</v>
      </c>
      <c r="V30" s="1295">
        <f>LED計算式!K23*60</f>
        <v>0</v>
      </c>
      <c r="W30" s="1296"/>
      <c r="X30" s="1296"/>
      <c r="Y30" s="1296"/>
      <c r="Z30" s="1296"/>
      <c r="AA30" s="1296"/>
      <c r="AB30" s="1296"/>
      <c r="AC30" s="1297"/>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06" t="s">
        <v>423</v>
      </c>
      <c r="AR31" s="1307"/>
      <c r="AS31" s="1307"/>
      <c r="AT31" s="1307"/>
      <c r="AU31" s="1307"/>
      <c r="AV31" s="1307"/>
      <c r="AW31" s="1308"/>
    </row>
    <row r="32" spans="1:51" ht="22.15" customHeight="1" thickTop="1" thickBot="1">
      <c r="A32" s="13" t="s">
        <v>456</v>
      </c>
      <c r="B32" s="16"/>
      <c r="C32" s="16"/>
      <c r="D32" s="13"/>
      <c r="E32" s="89"/>
      <c r="F32" s="89"/>
      <c r="G32" s="89"/>
      <c r="H32" s="89"/>
      <c r="I32" s="89"/>
      <c r="J32" s="89"/>
      <c r="K32" s="89"/>
      <c r="L32" s="89"/>
      <c r="M32" s="89"/>
      <c r="N32" s="89"/>
      <c r="O32" s="89"/>
      <c r="P32" s="89"/>
      <c r="Q32" s="89"/>
      <c r="R32" s="89"/>
      <c r="S32" s="89"/>
      <c r="T32" s="89"/>
      <c r="U32" s="89"/>
      <c r="V32" s="1284">
        <f ca="1">V28+V30</f>
        <v>0</v>
      </c>
      <c r="W32" s="1285"/>
      <c r="X32" s="1285"/>
      <c r="Y32" s="1285"/>
      <c r="Z32" s="1285"/>
      <c r="AA32" s="1285"/>
      <c r="AB32" s="1285"/>
      <c r="AC32" s="1286"/>
      <c r="AD32" s="100"/>
      <c r="AE32" s="62"/>
      <c r="AO32" s="1287" t="s">
        <v>354</v>
      </c>
      <c r="AP32" s="1287"/>
      <c r="AQ32" s="1288" t="str">
        <f ca="1">IFERROR((AG28/AQ28)/12,"0")</f>
        <v>0</v>
      </c>
      <c r="AR32" s="1289"/>
      <c r="AS32" s="1289"/>
      <c r="AT32" s="1289"/>
      <c r="AU32" s="1289"/>
      <c r="AV32" s="1289"/>
      <c r="AW32" s="1290"/>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87"/>
      <c r="AP33" s="1287"/>
      <c r="AQ33" s="1291"/>
      <c r="AR33" s="1292"/>
      <c r="AS33" s="1292"/>
      <c r="AT33" s="1292"/>
      <c r="AU33" s="1292"/>
      <c r="AV33" s="1292"/>
      <c r="AW33" s="1293"/>
    </row>
    <row r="34" spans="2:51" ht="22.15" customHeight="1" thickTop="1">
      <c r="AJ34" s="59"/>
      <c r="AK34" s="59"/>
      <c r="AL34" s="59"/>
      <c r="AM34" s="59"/>
      <c r="AN34" s="59"/>
      <c r="AO34" s="59"/>
      <c r="AP34" s="59"/>
      <c r="AQ34" s="1294" t="str">
        <f ca="1">IFERROR(AG28/AQ28,"0")</f>
        <v>0</v>
      </c>
      <c r="AR34" s="1294"/>
      <c r="AS34" s="1294"/>
      <c r="AT34" s="1294"/>
      <c r="AU34" s="1294"/>
      <c r="AV34" s="1294"/>
      <c r="AW34" s="1294"/>
      <c r="AY34" s="3">
        <v>6</v>
      </c>
    </row>
    <row r="35" spans="2:51" ht="22.15" customHeight="1">
      <c r="AI35" s="59"/>
      <c r="AJ35" s="59"/>
      <c r="AK35" s="59"/>
      <c r="AL35" s="59"/>
      <c r="AM35" s="59"/>
      <c r="AN35" s="59"/>
      <c r="AO35" s="59"/>
      <c r="AP35" s="59"/>
      <c r="AQ35" s="59"/>
      <c r="AR35" s="59"/>
      <c r="AS35" s="59"/>
      <c r="AT35" s="59"/>
    </row>
  </sheetData>
  <mergeCells count="27">
    <mergeCell ref="AQ34:AW34"/>
    <mergeCell ref="AQ31:AW31"/>
    <mergeCell ref="V28:AC28"/>
    <mergeCell ref="V30:AC30"/>
    <mergeCell ref="V32:AC32"/>
    <mergeCell ref="S5:T6"/>
    <mergeCell ref="AG28:AN29"/>
    <mergeCell ref="AQ28:AW29"/>
    <mergeCell ref="AO28:AP29"/>
    <mergeCell ref="AO32:AP33"/>
    <mergeCell ref="AQ32:AW33"/>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333" t="s">
        <v>447</v>
      </c>
      <c r="B1" s="1333"/>
      <c r="C1" s="1333"/>
      <c r="D1" s="1333"/>
      <c r="E1" s="1333"/>
      <c r="F1" s="1333"/>
      <c r="G1" s="1333"/>
      <c r="H1" s="1333"/>
      <c r="I1" s="1333"/>
      <c r="J1" s="1333"/>
      <c r="K1" s="1333"/>
      <c r="L1" s="1333"/>
      <c r="M1" s="1333"/>
      <c r="N1" s="1333"/>
      <c r="O1" s="1333"/>
      <c r="P1" s="1333"/>
      <c r="Q1" s="1333"/>
      <c r="R1" s="1333"/>
      <c r="S1" s="1333"/>
      <c r="T1" s="1333"/>
      <c r="U1" s="1333"/>
      <c r="V1" s="1333"/>
      <c r="W1" s="1333"/>
      <c r="X1" s="1333"/>
      <c r="Y1" s="1333"/>
      <c r="Z1" s="1333"/>
      <c r="AA1" s="1333"/>
      <c r="AB1" s="1333"/>
      <c r="AC1" s="1333"/>
      <c r="AD1" s="1333"/>
      <c r="AE1" s="1333"/>
      <c r="AF1" s="1333"/>
      <c r="AG1" s="1333"/>
      <c r="AH1" s="1333"/>
      <c r="AI1" s="1333"/>
      <c r="AJ1" s="1333"/>
      <c r="AK1" s="1333"/>
      <c r="AL1" s="1333"/>
      <c r="AM1" s="1333"/>
      <c r="AN1" s="1333"/>
      <c r="AO1" s="1333"/>
      <c r="AP1" s="1333"/>
      <c r="AQ1" s="1333"/>
      <c r="AR1" s="1333"/>
      <c r="AS1" s="1333"/>
      <c r="AT1" s="1333"/>
      <c r="AU1" s="1333"/>
      <c r="AV1" s="1333"/>
      <c r="AW1" s="1333"/>
      <c r="AX1" s="1333"/>
      <c r="AY1" s="1333"/>
    </row>
    <row r="2" spans="1:51" ht="22.5">
      <c r="A2" s="1342" t="s">
        <v>448</v>
      </c>
      <c r="B2" s="1342"/>
      <c r="C2" s="1342"/>
      <c r="D2" s="1342"/>
      <c r="E2" s="1342"/>
      <c r="F2" s="1342"/>
      <c r="G2" s="1342"/>
      <c r="H2" s="1342"/>
      <c r="I2" s="1342"/>
      <c r="J2" s="1342"/>
      <c r="K2" s="1342"/>
      <c r="L2" s="1342"/>
      <c r="M2" s="1342"/>
      <c r="N2" s="1342"/>
      <c r="O2" s="1342"/>
      <c r="P2" s="1342"/>
      <c r="Q2" s="1342"/>
      <c r="R2" s="1342"/>
      <c r="S2" s="1342"/>
      <c r="T2" s="1342"/>
      <c r="U2" s="1342"/>
      <c r="V2" s="1342"/>
      <c r="W2" s="1342"/>
      <c r="X2" s="1342"/>
      <c r="Y2" s="1342"/>
      <c r="Z2" s="1342"/>
      <c r="AA2" s="1342"/>
      <c r="AB2" s="1342"/>
      <c r="AC2" s="1342"/>
      <c r="AD2" s="1342"/>
      <c r="AE2" s="1342"/>
      <c r="AF2" s="1342"/>
      <c r="AG2" s="1342"/>
      <c r="AH2" s="1342"/>
      <c r="AI2" s="1342"/>
      <c r="AJ2" s="1342"/>
      <c r="AK2" s="1342"/>
      <c r="AL2" s="1342"/>
      <c r="AM2" s="1342"/>
      <c r="AN2" s="1342"/>
      <c r="AO2" s="1342"/>
      <c r="AP2" s="1342"/>
      <c r="AQ2" s="1342"/>
      <c r="AR2" s="1342"/>
      <c r="AS2" s="1342"/>
      <c r="AT2" s="1342"/>
      <c r="AU2" s="1342"/>
      <c r="AV2" s="1342"/>
      <c r="AW2" s="1342"/>
      <c r="AX2" s="1342"/>
      <c r="AY2" s="1342"/>
    </row>
    <row r="3" spans="1:51" ht="22.15" customHeight="1">
      <c r="A3" s="1319" t="s">
        <v>434</v>
      </c>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c r="AD3" s="477"/>
      <c r="AF3" s="1319" t="s">
        <v>435</v>
      </c>
      <c r="AG3" s="1319"/>
      <c r="AH3" s="1319"/>
      <c r="AI3" s="1319"/>
      <c r="AJ3" s="1319"/>
      <c r="AK3" s="1319"/>
      <c r="AL3" s="1319"/>
      <c r="AM3" s="1319"/>
      <c r="AN3" s="1319"/>
      <c r="AO3" s="1319"/>
      <c r="AP3" s="1319"/>
      <c r="AQ3" s="1319"/>
      <c r="AR3" s="1319"/>
      <c r="AS3" s="1319"/>
      <c r="AT3" s="1319"/>
      <c r="AU3" s="1319"/>
      <c r="AV3" s="1319"/>
      <c r="AW3" s="1319"/>
      <c r="AX3" s="1319"/>
      <c r="AY3" s="85"/>
    </row>
    <row r="4" spans="1:51" ht="22.15" customHeight="1" thickBot="1">
      <c r="A4" s="1359"/>
      <c r="B4" s="1359"/>
      <c r="C4" s="1359"/>
      <c r="D4" s="1359"/>
      <c r="E4" s="1359"/>
      <c r="F4" s="1359"/>
      <c r="G4" s="1359"/>
      <c r="H4" s="1359"/>
      <c r="I4" s="1359"/>
      <c r="J4" s="1359"/>
      <c r="K4" s="1359"/>
      <c r="L4" s="1359"/>
      <c r="M4" s="1359"/>
      <c r="N4" s="1359"/>
      <c r="O4" s="1359"/>
      <c r="P4" s="1359"/>
      <c r="Q4" s="1359"/>
      <c r="R4" s="1359"/>
      <c r="S4" s="1359"/>
      <c r="T4" s="1359"/>
      <c r="U4" s="1359"/>
      <c r="V4" s="1359"/>
      <c r="W4" s="1359"/>
      <c r="X4" s="1359"/>
      <c r="Y4" s="1359"/>
      <c r="Z4" s="1359"/>
      <c r="AA4" s="1359"/>
      <c r="AB4" s="1359"/>
      <c r="AC4" s="1359"/>
      <c r="AD4" s="477"/>
      <c r="AF4" s="1359"/>
      <c r="AG4" s="1359"/>
      <c r="AH4" s="1359"/>
      <c r="AI4" s="1359"/>
      <c r="AJ4" s="1359"/>
      <c r="AK4" s="1359"/>
      <c r="AL4" s="1359"/>
      <c r="AM4" s="1359"/>
      <c r="AN4" s="1359"/>
      <c r="AO4" s="1359"/>
      <c r="AP4" s="1359"/>
      <c r="AQ4" s="1359"/>
      <c r="AR4" s="1359"/>
      <c r="AS4" s="1359"/>
      <c r="AT4" s="1359"/>
      <c r="AU4" s="1359"/>
      <c r="AV4" s="1359"/>
      <c r="AW4" s="1359"/>
      <c r="AX4" s="1359"/>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281" t="s">
        <v>449</v>
      </c>
      <c r="J6" s="1281"/>
      <c r="K6" s="1281"/>
      <c r="L6" s="1281"/>
      <c r="M6" s="1281"/>
      <c r="Q6" s="1281" t="s">
        <v>450</v>
      </c>
      <c r="R6" s="1281"/>
      <c r="S6" s="1281"/>
      <c r="T6" s="1281"/>
      <c r="U6" s="1281"/>
      <c r="V6" s="1281"/>
      <c r="W6" s="1281"/>
      <c r="AC6" s="190"/>
      <c r="AE6" s="62"/>
      <c r="AF6" s="191"/>
      <c r="AG6" s="67"/>
      <c r="AH6" s="1281" t="s">
        <v>449</v>
      </c>
      <c r="AI6" s="1281"/>
      <c r="AJ6" s="1281"/>
      <c r="AK6" s="1281"/>
      <c r="AL6" s="1281"/>
      <c r="AM6" s="67"/>
      <c r="AN6" s="67"/>
      <c r="AO6" s="67"/>
      <c r="AP6" s="67"/>
      <c r="AQ6" s="67"/>
      <c r="AR6" s="1281" t="s">
        <v>450</v>
      </c>
      <c r="AS6" s="1281"/>
      <c r="AT6" s="1281"/>
      <c r="AU6" s="1281"/>
      <c r="AV6" s="1281"/>
      <c r="AW6" s="1281"/>
      <c r="AX6" s="1281"/>
      <c r="AY6" s="195"/>
    </row>
    <row r="7" spans="1:51" ht="22.15" customHeight="1" thickTop="1">
      <c r="A7" s="189"/>
      <c r="B7" s="67"/>
      <c r="C7" s="68"/>
      <c r="I7" s="1340">
        <f ca="1">⑥非あり!N5</f>
        <v>0</v>
      </c>
      <c r="J7" s="1340"/>
      <c r="K7" s="1340"/>
      <c r="L7" s="1340"/>
      <c r="M7" s="1340"/>
      <c r="R7" s="1334">
        <f ca="1">AR7/54</f>
        <v>0</v>
      </c>
      <c r="S7" s="1335"/>
      <c r="T7" s="1335"/>
      <c r="U7" s="1335"/>
      <c r="V7" s="1336"/>
      <c r="AC7" s="190"/>
      <c r="AE7" s="62"/>
      <c r="AF7" s="191"/>
      <c r="AG7" s="1341">
        <f ca="1">ROUNDDOWN((☆入力!AL14)*(100%-☆入力!AR11)+代理店入力用!D5,0)</f>
        <v>0</v>
      </c>
      <c r="AH7" s="1341"/>
      <c r="AI7" s="1341"/>
      <c r="AJ7" s="1341"/>
      <c r="AK7" s="1341"/>
      <c r="AL7" s="1341"/>
      <c r="AM7" s="1341"/>
      <c r="AN7" s="67"/>
      <c r="AO7" s="67"/>
      <c r="AP7" s="67"/>
      <c r="AQ7" s="67"/>
      <c r="AR7" s="1343">
        <f ca="1">(AG7/(100%-☆入力!AR11))*(100%-☆入力!AR11-☆入力!AR12)</f>
        <v>0</v>
      </c>
      <c r="AS7" s="1344"/>
      <c r="AT7" s="1344"/>
      <c r="AU7" s="1344"/>
      <c r="AV7" s="1344"/>
      <c r="AW7" s="1344"/>
      <c r="AX7" s="1345"/>
      <c r="AY7" s="195"/>
    </row>
    <row r="8" spans="1:51" ht="22.15" customHeight="1" thickBot="1">
      <c r="A8" s="189"/>
      <c r="B8" s="67"/>
      <c r="C8" s="68"/>
      <c r="I8" s="1340"/>
      <c r="J8" s="1340"/>
      <c r="K8" s="1340"/>
      <c r="L8" s="1340"/>
      <c r="M8" s="1340"/>
      <c r="R8" s="1337"/>
      <c r="S8" s="1338"/>
      <c r="T8" s="1338"/>
      <c r="U8" s="1338"/>
      <c r="V8" s="1339"/>
      <c r="W8" s="3" t="s">
        <v>451</v>
      </c>
      <c r="AC8" s="190"/>
      <c r="AE8" s="62"/>
      <c r="AF8" s="191"/>
      <c r="AG8" s="1341"/>
      <c r="AH8" s="1341"/>
      <c r="AI8" s="1341"/>
      <c r="AJ8" s="1341"/>
      <c r="AK8" s="1341"/>
      <c r="AL8" s="1341"/>
      <c r="AM8" s="1341"/>
      <c r="AN8" s="67"/>
      <c r="AO8" s="67"/>
      <c r="AP8" s="67"/>
      <c r="AQ8" s="67"/>
      <c r="AR8" s="1346"/>
      <c r="AS8" s="1347"/>
      <c r="AT8" s="1347"/>
      <c r="AU8" s="1347"/>
      <c r="AV8" s="1347"/>
      <c r="AW8" s="1347"/>
      <c r="AX8" s="1348"/>
      <c r="AY8" s="195"/>
    </row>
    <row r="9" spans="1:51" ht="22.15" customHeight="1" thickTop="1">
      <c r="A9" s="1354" t="s">
        <v>452</v>
      </c>
      <c r="B9" s="1355"/>
      <c r="C9" s="1355"/>
      <c r="D9" s="1355"/>
      <c r="E9" s="1355"/>
      <c r="F9" s="1355"/>
      <c r="G9" s="1355"/>
      <c r="H9" s="1355"/>
      <c r="I9" s="1355"/>
      <c r="J9" s="1355"/>
      <c r="K9" s="1355"/>
      <c r="L9" s="1355"/>
      <c r="M9" s="1349">
        <f ca="1">I7-R7</f>
        <v>0</v>
      </c>
      <c r="N9" s="1350"/>
      <c r="O9" s="1350"/>
      <c r="P9" s="1350"/>
      <c r="Q9" s="1350"/>
      <c r="R9" s="1350"/>
      <c r="S9" s="875" t="s">
        <v>453</v>
      </c>
      <c r="T9" s="875"/>
      <c r="U9" s="875"/>
      <c r="V9" s="875"/>
      <c r="W9" s="875"/>
      <c r="X9" s="875"/>
      <c r="Y9" s="875"/>
      <c r="Z9" s="875"/>
      <c r="AA9" s="875"/>
      <c r="AB9" s="875"/>
      <c r="AC9" s="1353"/>
      <c r="AD9" s="97"/>
      <c r="AE9" s="62"/>
      <c r="AF9" s="1354" t="s">
        <v>454</v>
      </c>
      <c r="AG9" s="1355"/>
      <c r="AH9" s="1355"/>
      <c r="AI9" s="1355"/>
      <c r="AJ9" s="1355"/>
      <c r="AK9" s="1355"/>
      <c r="AL9" s="1355"/>
      <c r="AM9" s="1357">
        <f ca="1">AG7-AR7</f>
        <v>0</v>
      </c>
      <c r="AN9" s="1358"/>
      <c r="AO9" s="1358"/>
      <c r="AP9" s="1358"/>
      <c r="AQ9" s="1358"/>
      <c r="AR9" s="1358"/>
      <c r="AS9" s="875" t="s">
        <v>453</v>
      </c>
      <c r="AT9" s="875"/>
      <c r="AU9" s="875"/>
      <c r="AV9" s="875"/>
      <c r="AW9" s="875"/>
      <c r="AX9" s="875"/>
      <c r="AY9" s="1353"/>
    </row>
    <row r="10" spans="1:51" ht="22.15" customHeight="1">
      <c r="A10" s="1354"/>
      <c r="B10" s="1355"/>
      <c r="C10" s="1355"/>
      <c r="D10" s="1355"/>
      <c r="E10" s="1355"/>
      <c r="F10" s="1355"/>
      <c r="G10" s="1355"/>
      <c r="H10" s="1355"/>
      <c r="I10" s="1355"/>
      <c r="J10" s="1355"/>
      <c r="K10" s="1355"/>
      <c r="L10" s="1355"/>
      <c r="M10" s="1350"/>
      <c r="N10" s="1350"/>
      <c r="O10" s="1350"/>
      <c r="P10" s="1350"/>
      <c r="Q10" s="1350"/>
      <c r="R10" s="1350"/>
      <c r="S10" s="875"/>
      <c r="T10" s="875"/>
      <c r="U10" s="875"/>
      <c r="V10" s="875"/>
      <c r="W10" s="875"/>
      <c r="X10" s="875"/>
      <c r="Y10" s="875"/>
      <c r="Z10" s="875"/>
      <c r="AA10" s="875"/>
      <c r="AB10" s="875"/>
      <c r="AC10" s="1353"/>
      <c r="AD10" s="97"/>
      <c r="AE10" s="62"/>
      <c r="AF10" s="1354"/>
      <c r="AG10" s="1355"/>
      <c r="AH10" s="1355"/>
      <c r="AI10" s="1355"/>
      <c r="AJ10" s="1355"/>
      <c r="AK10" s="1355"/>
      <c r="AL10" s="1355"/>
      <c r="AM10" s="1358"/>
      <c r="AN10" s="1358"/>
      <c r="AO10" s="1358"/>
      <c r="AP10" s="1358"/>
      <c r="AQ10" s="1358"/>
      <c r="AR10" s="1358"/>
      <c r="AS10" s="875"/>
      <c r="AT10" s="875"/>
      <c r="AU10" s="875"/>
      <c r="AV10" s="875"/>
      <c r="AW10" s="875"/>
      <c r="AX10" s="875"/>
      <c r="AY10" s="1353"/>
    </row>
    <row r="11" spans="1:51" ht="22.15" customHeight="1" thickBot="1">
      <c r="A11" s="201"/>
      <c r="B11" s="202"/>
      <c r="C11" s="203"/>
      <c r="D11" s="1356">
        <f ca="1">M9</f>
        <v>0</v>
      </c>
      <c r="E11" s="1356"/>
      <c r="F11" s="1356"/>
      <c r="G11" s="1356"/>
      <c r="H11" s="1356"/>
      <c r="I11" s="1352" t="s">
        <v>461</v>
      </c>
      <c r="J11" s="1352"/>
      <c r="K11" s="1352"/>
      <c r="L11" s="1352"/>
      <c r="M11" s="1351">
        <f ca="1">D11*60</f>
        <v>0</v>
      </c>
      <c r="N11" s="1351"/>
      <c r="O11" s="1351"/>
      <c r="P11" s="1351"/>
      <c r="Q11" s="1351"/>
      <c r="R11" s="1351"/>
      <c r="S11" s="204" t="s">
        <v>455</v>
      </c>
      <c r="T11" s="205"/>
      <c r="U11" s="205"/>
      <c r="V11" s="205"/>
      <c r="W11" s="480"/>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442</v>
      </c>
      <c r="B13" s="9"/>
      <c r="C13" s="9"/>
      <c r="AE13" s="62"/>
      <c r="AF13" s="52" t="s">
        <v>443</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282" t="s">
        <v>444</v>
      </c>
      <c r="B30" s="1282"/>
      <c r="C30" s="1282"/>
      <c r="D30" s="1282"/>
      <c r="E30" s="1282"/>
      <c r="F30" s="1282"/>
      <c r="G30" s="1282"/>
      <c r="H30" s="1282"/>
      <c r="I30" s="1282"/>
      <c r="J30" s="1282"/>
      <c r="K30" s="1282"/>
      <c r="L30" s="1282"/>
      <c r="M30" s="1282"/>
      <c r="N30" s="1282"/>
      <c r="O30" s="1282"/>
      <c r="P30" s="1282"/>
      <c r="Q30" s="1282"/>
      <c r="R30" s="1282"/>
      <c r="S30" s="1282"/>
      <c r="T30" s="1282"/>
      <c r="U30" s="1282"/>
      <c r="V30" s="1282"/>
      <c r="W30" s="1282"/>
      <c r="X30" s="1282"/>
      <c r="Y30" s="1282"/>
      <c r="Z30" s="1282"/>
      <c r="AA30" s="1282"/>
      <c r="AB30" s="1282"/>
      <c r="AC30" s="1282"/>
      <c r="AD30" s="1283"/>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09" t="s">
        <v>420</v>
      </c>
      <c r="AH31" s="1310"/>
      <c r="AI31" s="1310"/>
      <c r="AJ31" s="1310"/>
      <c r="AK31" s="1310"/>
      <c r="AL31" s="1310"/>
      <c r="AM31" s="1310"/>
      <c r="AN31" s="1311"/>
      <c r="AO31" s="6"/>
      <c r="AP31" s="6"/>
      <c r="AQ31" s="1312" t="s">
        <v>445</v>
      </c>
      <c r="AR31" s="1313"/>
      <c r="AS31" s="1313"/>
      <c r="AT31" s="1313"/>
      <c r="AU31" s="1313"/>
      <c r="AV31" s="1313"/>
      <c r="AW31" s="1314"/>
      <c r="AX31" s="13"/>
      <c r="AY31" s="13"/>
    </row>
    <row r="32" spans="1:51" ht="22.15" hidden="1" customHeight="1" thickTop="1" thickBot="1">
      <c r="A32" s="13" t="s">
        <v>459</v>
      </c>
      <c r="V32" s="1295">
        <f ca="1">LED計算式!J36*60</f>
        <v>0</v>
      </c>
      <c r="W32" s="1296"/>
      <c r="X32" s="1296"/>
      <c r="Y32" s="1296"/>
      <c r="Z32" s="1296"/>
      <c r="AA32" s="1296"/>
      <c r="AB32" s="1296"/>
      <c r="AC32" s="1297"/>
      <c r="AD32" s="99"/>
      <c r="AE32" s="62"/>
      <c r="AG32" s="1298">
        <f ca="1">AR7</f>
        <v>0</v>
      </c>
      <c r="AH32" s="1299"/>
      <c r="AI32" s="1299"/>
      <c r="AJ32" s="1299"/>
      <c r="AK32" s="1299"/>
      <c r="AL32" s="1299"/>
      <c r="AM32" s="1299"/>
      <c r="AN32" s="1300"/>
      <c r="AO32" s="1304" t="s">
        <v>422</v>
      </c>
      <c r="AP32" s="1305"/>
      <c r="AQ32" s="1023">
        <f>④前後a!BA29/120</f>
        <v>0</v>
      </c>
      <c r="AR32" s="1024"/>
      <c r="AS32" s="1024"/>
      <c r="AT32" s="1024"/>
      <c r="AU32" s="1024"/>
      <c r="AV32" s="1024"/>
      <c r="AW32" s="1025"/>
      <c r="AX32" s="13"/>
      <c r="AY32" s="13"/>
    </row>
    <row r="33" spans="1:51" ht="22.15" hidden="1" customHeight="1" thickTop="1" thickBot="1">
      <c r="AE33" s="62"/>
      <c r="AG33" s="1301"/>
      <c r="AH33" s="1302"/>
      <c r="AI33" s="1302"/>
      <c r="AJ33" s="1302"/>
      <c r="AK33" s="1302"/>
      <c r="AL33" s="1302"/>
      <c r="AM33" s="1302"/>
      <c r="AN33" s="1303"/>
      <c r="AO33" s="1304"/>
      <c r="AP33" s="1305"/>
      <c r="AQ33" s="1026"/>
      <c r="AR33" s="1027"/>
      <c r="AS33" s="1027"/>
      <c r="AT33" s="1027"/>
      <c r="AU33" s="1027"/>
      <c r="AV33" s="1027"/>
      <c r="AW33" s="1028"/>
      <c r="AX33" s="9"/>
      <c r="AY33" s="9"/>
    </row>
    <row r="34" spans="1:51" ht="22.15" hidden="1" customHeight="1" thickTop="1" thickBot="1">
      <c r="A34" s="13" t="s">
        <v>460</v>
      </c>
      <c r="V34" s="1295">
        <f>LED計算式!K36*60</f>
        <v>0</v>
      </c>
      <c r="W34" s="1296"/>
      <c r="X34" s="1296"/>
      <c r="Y34" s="1296"/>
      <c r="Z34" s="1296"/>
      <c r="AA34" s="1296"/>
      <c r="AB34" s="1296"/>
      <c r="AC34" s="1297"/>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06" t="s">
        <v>423</v>
      </c>
      <c r="AR35" s="1307"/>
      <c r="AS35" s="1307"/>
      <c r="AT35" s="1307"/>
      <c r="AU35" s="1307"/>
      <c r="AV35" s="1307"/>
      <c r="AW35" s="1308"/>
    </row>
    <row r="36" spans="1:51" ht="22.15" customHeight="1" thickTop="1" thickBot="1">
      <c r="A36" s="13" t="s">
        <v>456</v>
      </c>
      <c r="B36" s="16"/>
      <c r="C36" s="16"/>
      <c r="D36" s="13"/>
      <c r="E36" s="89"/>
      <c r="F36" s="89"/>
      <c r="G36" s="89"/>
      <c r="H36" s="89"/>
      <c r="I36" s="89"/>
      <c r="J36" s="89"/>
      <c r="K36" s="89"/>
      <c r="L36" s="89"/>
      <c r="M36" s="89"/>
      <c r="N36" s="89"/>
      <c r="O36" s="89"/>
      <c r="P36" s="89"/>
      <c r="Q36" s="89"/>
      <c r="R36" s="89"/>
      <c r="S36" s="89"/>
      <c r="T36" s="89"/>
      <c r="U36" s="89"/>
      <c r="V36" s="1284">
        <f ca="1">V32+V34</f>
        <v>0</v>
      </c>
      <c r="W36" s="1285"/>
      <c r="X36" s="1285"/>
      <c r="Y36" s="1285"/>
      <c r="Z36" s="1285"/>
      <c r="AA36" s="1285"/>
      <c r="AB36" s="1285"/>
      <c r="AC36" s="1286"/>
      <c r="AD36" s="100"/>
      <c r="AE36" s="62"/>
      <c r="AO36" s="1287"/>
      <c r="AP36" s="1287"/>
      <c r="AQ36" s="1288" t="str">
        <f ca="1">IFERROR((AG32/AQ32)/12,"0")</f>
        <v>0</v>
      </c>
      <c r="AR36" s="1289"/>
      <c r="AS36" s="1289"/>
      <c r="AT36" s="1289"/>
      <c r="AU36" s="1289"/>
      <c r="AV36" s="1289"/>
      <c r="AW36" s="1290"/>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87"/>
      <c r="AP37" s="1287"/>
      <c r="AQ37" s="1291"/>
      <c r="AR37" s="1292"/>
      <c r="AS37" s="1292"/>
      <c r="AT37" s="1292"/>
      <c r="AU37" s="1292"/>
      <c r="AV37" s="1292"/>
      <c r="AW37" s="1293"/>
    </row>
    <row r="38" spans="1:51" ht="22.15" customHeight="1" thickTop="1">
      <c r="AE38" s="62"/>
      <c r="AJ38" s="59"/>
      <c r="AK38" s="59"/>
      <c r="AL38" s="59"/>
      <c r="AM38" s="59"/>
      <c r="AN38" s="59"/>
      <c r="AO38" s="59"/>
      <c r="AP38" s="59"/>
      <c r="AQ38" s="1294" t="str">
        <f ca="1">IFERROR(AG32/AQ32,"0")</f>
        <v>0</v>
      </c>
      <c r="AR38" s="1294"/>
      <c r="AS38" s="1294"/>
      <c r="AT38" s="1294"/>
      <c r="AU38" s="1294"/>
      <c r="AV38" s="1294"/>
      <c r="AW38" s="1294"/>
    </row>
    <row r="39" spans="1:51" ht="22.15" customHeight="1">
      <c r="AI39" s="59"/>
      <c r="AJ39" s="59"/>
      <c r="AK39" s="59"/>
      <c r="AL39" s="59"/>
      <c r="AM39" s="59"/>
      <c r="AN39" s="59"/>
      <c r="AO39" s="59"/>
      <c r="AP39" s="59"/>
      <c r="AQ39" s="59"/>
      <c r="AR39" s="59"/>
      <c r="AS39" s="59"/>
      <c r="AT39" s="59"/>
      <c r="AY39" s="3">
        <v>7</v>
      </c>
    </row>
  </sheetData>
  <mergeCells count="34">
    <mergeCell ref="D11:H11"/>
    <mergeCell ref="I11:L11"/>
    <mergeCell ref="M11:R11"/>
    <mergeCell ref="A9:L10"/>
    <mergeCell ref="M9:R10"/>
    <mergeCell ref="I7:M8"/>
    <mergeCell ref="R7:V8"/>
    <mergeCell ref="AG7:AM8"/>
    <mergeCell ref="AR7:AX8"/>
    <mergeCell ref="AS9:AY10"/>
    <mergeCell ref="S9:AC10"/>
    <mergeCell ref="AF9:AL10"/>
    <mergeCell ref="AM9:AR10"/>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A1:AY1"/>
    <mergeCell ref="A3:AC4"/>
    <mergeCell ref="AF3:AX4"/>
    <mergeCell ref="I6:M6"/>
    <mergeCell ref="Q6:W6"/>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85"/>
    <col min="26" max="28" width="3.5" style="385" customWidth="1"/>
    <col min="29" max="16384" width="3.625" style="385"/>
  </cols>
  <sheetData>
    <row r="1" spans="1:59" s="3" customFormat="1" ht="38.25">
      <c r="A1" s="1318" t="s">
        <v>462</v>
      </c>
      <c r="B1" s="1318"/>
      <c r="C1" s="1318"/>
      <c r="D1" s="1318"/>
      <c r="E1" s="1318"/>
      <c r="F1" s="1318"/>
      <c r="G1" s="1318"/>
      <c r="H1" s="1318"/>
      <c r="I1" s="1318"/>
      <c r="J1" s="1318"/>
      <c r="K1" s="1318"/>
      <c r="L1" s="1318"/>
      <c r="M1" s="1318"/>
      <c r="N1" s="1318"/>
      <c r="O1" s="1318"/>
      <c r="P1" s="1318"/>
      <c r="Q1" s="1318"/>
      <c r="R1" s="1318"/>
      <c r="S1" s="1318"/>
      <c r="T1" s="1318"/>
      <c r="U1" s="1318"/>
      <c r="V1" s="1318"/>
      <c r="W1" s="1318"/>
      <c r="X1" s="1318"/>
      <c r="Y1" s="1318"/>
      <c r="Z1" s="1318"/>
      <c r="AA1" s="1318"/>
      <c r="AB1" s="1318"/>
      <c r="AC1" s="1318"/>
      <c r="AD1" s="1318"/>
      <c r="AE1" s="1318"/>
      <c r="AF1" s="1318"/>
      <c r="AG1" s="1318"/>
      <c r="AH1" s="1318"/>
      <c r="AI1" s="1318"/>
      <c r="AJ1" s="1318"/>
      <c r="AK1" s="1318"/>
      <c r="AL1" s="1318"/>
      <c r="AM1" s="1318"/>
      <c r="AN1" s="1318"/>
      <c r="AO1" s="1318"/>
      <c r="AP1" s="1318"/>
      <c r="AQ1" s="1318"/>
      <c r="AR1" s="1318"/>
      <c r="AS1" s="1318"/>
      <c r="AT1" s="1318"/>
      <c r="AU1" s="1318"/>
      <c r="AV1" s="1318"/>
      <c r="AW1" s="1318"/>
      <c r="AX1" s="1318"/>
      <c r="AY1" s="1318"/>
      <c r="AZ1" s="1318"/>
      <c r="BA1" s="1318"/>
      <c r="BB1" s="1318"/>
      <c r="BC1" s="1318"/>
    </row>
    <row r="2" spans="1:59" ht="22.15" customHeight="1">
      <c r="C2" s="443"/>
      <c r="D2" s="443"/>
      <c r="E2" s="443"/>
      <c r="F2" s="443"/>
      <c r="G2" s="443"/>
      <c r="H2" s="443"/>
      <c r="I2" s="443"/>
      <c r="J2" s="443"/>
      <c r="K2" s="443"/>
      <c r="L2" s="443"/>
      <c r="M2" s="443"/>
      <c r="N2" s="443"/>
      <c r="O2" s="443"/>
      <c r="P2" s="443"/>
      <c r="Q2" s="443"/>
      <c r="R2" s="443"/>
      <c r="S2" s="443"/>
      <c r="T2" s="443"/>
      <c r="U2" s="443"/>
      <c r="V2" s="443"/>
      <c r="W2" s="443"/>
      <c r="X2" s="443"/>
      <c r="Y2" s="443"/>
      <c r="AD2" s="443"/>
      <c r="AE2" s="443"/>
      <c r="AF2" s="443"/>
      <c r="AG2" s="443"/>
      <c r="AH2" s="443"/>
      <c r="AI2" s="443"/>
      <c r="AJ2" s="443"/>
      <c r="AK2" s="443"/>
      <c r="AL2" s="443"/>
      <c r="AM2" s="443"/>
      <c r="AN2" s="443"/>
      <c r="AO2" s="443"/>
      <c r="AP2" s="443"/>
      <c r="AQ2" s="443"/>
      <c r="AR2" s="443"/>
      <c r="AS2" s="443"/>
      <c r="AT2" s="443"/>
      <c r="AU2" s="443"/>
      <c r="AV2" s="443"/>
      <c r="AW2" s="443"/>
      <c r="AX2" s="443"/>
      <c r="AY2" s="443"/>
      <c r="AZ2" s="443"/>
    </row>
    <row r="3" spans="1:59" s="66" customFormat="1" ht="22.15" customHeight="1">
      <c r="A3" s="1401">
        <f>LED計算式!B43</f>
        <v>0</v>
      </c>
      <c r="B3" s="1401"/>
      <c r="C3" s="1401"/>
      <c r="D3" s="1401"/>
      <c r="E3" s="1401"/>
      <c r="F3" s="1401"/>
      <c r="G3" s="1401"/>
      <c r="H3" s="1401"/>
      <c r="I3" s="1401"/>
      <c r="J3" s="1401"/>
      <c r="K3" s="1401"/>
      <c r="L3" s="1401"/>
      <c r="M3" s="1401"/>
      <c r="N3" s="1401"/>
      <c r="O3" s="1401"/>
      <c r="P3" s="1401"/>
      <c r="Q3" s="1401"/>
      <c r="R3" s="1401"/>
      <c r="S3" s="1401"/>
      <c r="T3" s="1401"/>
      <c r="U3" s="1401"/>
      <c r="V3" s="1401"/>
      <c r="W3" s="1401"/>
      <c r="X3" s="1401"/>
      <c r="Y3" s="1401"/>
      <c r="Z3" s="1401"/>
      <c r="AA3" s="1401"/>
      <c r="AC3" s="1402">
        <f>LED計算式!G43</f>
        <v>0</v>
      </c>
      <c r="AD3" s="1402"/>
      <c r="AE3" s="1402"/>
      <c r="AF3" s="1402"/>
      <c r="AG3" s="1402"/>
      <c r="AH3" s="1402"/>
      <c r="AI3" s="1402"/>
      <c r="AJ3" s="1402"/>
      <c r="AK3" s="1402"/>
      <c r="AL3" s="1402"/>
      <c r="AM3" s="1402"/>
      <c r="AN3" s="1402"/>
      <c r="AO3" s="1402"/>
      <c r="AP3" s="1402"/>
      <c r="AQ3" s="1402"/>
      <c r="AR3" s="1402"/>
      <c r="AS3" s="1402"/>
      <c r="AT3" s="1402"/>
      <c r="AU3" s="1402"/>
      <c r="AV3" s="1402"/>
      <c r="AW3" s="1402"/>
      <c r="AX3" s="1402"/>
      <c r="AY3" s="1402"/>
      <c r="AZ3" s="1402"/>
      <c r="BA3" s="1402"/>
      <c r="BB3" s="1402"/>
      <c r="BC3" s="1402"/>
    </row>
    <row r="4" spans="1:59" s="66" customFormat="1" ht="22.15" customHeight="1">
      <c r="A4" s="1411" t="s">
        <v>463</v>
      </c>
      <c r="B4" s="1412"/>
      <c r="C4" s="1412"/>
      <c r="D4" s="1412"/>
      <c r="E4" s="1412"/>
      <c r="F4" s="1412"/>
      <c r="G4" s="1412"/>
      <c r="H4" s="1412"/>
      <c r="I4" s="1412"/>
      <c r="J4" s="1412"/>
      <c r="K4" s="1412"/>
      <c r="L4" s="1412"/>
      <c r="M4" s="1412"/>
      <c r="N4" s="1412"/>
      <c r="O4" s="1413"/>
      <c r="P4" s="1414" t="s">
        <v>464</v>
      </c>
      <c r="Q4" s="1412"/>
      <c r="R4" s="1412"/>
      <c r="S4" s="1412"/>
      <c r="T4" s="1412"/>
      <c r="U4" s="1412"/>
      <c r="V4" s="1412"/>
      <c r="W4" s="1412"/>
      <c r="X4" s="1412"/>
      <c r="Y4" s="1412"/>
      <c r="Z4" s="1412"/>
      <c r="AA4" s="1412"/>
      <c r="AB4" s="455"/>
      <c r="AC4" s="1396" t="s">
        <v>463</v>
      </c>
      <c r="AD4" s="1397"/>
      <c r="AE4" s="1397"/>
      <c r="AF4" s="1397"/>
      <c r="AG4" s="1397"/>
      <c r="AH4" s="1397"/>
      <c r="AI4" s="1397"/>
      <c r="AJ4" s="1397"/>
      <c r="AK4" s="1397"/>
      <c r="AL4" s="1397"/>
      <c r="AM4" s="1397"/>
      <c r="AN4" s="1397"/>
      <c r="AO4" s="1397"/>
      <c r="AP4" s="1397"/>
      <c r="AQ4" s="1398"/>
      <c r="AR4" s="1399" t="s">
        <v>464</v>
      </c>
      <c r="AS4" s="1400"/>
      <c r="AT4" s="1400"/>
      <c r="AU4" s="1400"/>
      <c r="AV4" s="1400"/>
      <c r="AW4" s="1400"/>
      <c r="AX4" s="1400"/>
      <c r="AY4" s="1400"/>
      <c r="AZ4" s="1400"/>
      <c r="BA4" s="1400"/>
      <c r="BB4" s="1400"/>
      <c r="BC4" s="1400"/>
    </row>
    <row r="5" spans="1:59" ht="24" customHeight="1">
      <c r="A5" s="483"/>
      <c r="O5" s="493"/>
      <c r="AA5" s="484"/>
      <c r="AC5" s="483"/>
      <c r="AQ5" s="493"/>
      <c r="BC5" s="484"/>
    </row>
    <row r="6" spans="1:59" ht="24" customHeight="1">
      <c r="A6" s="483"/>
      <c r="O6" s="493"/>
      <c r="AA6" s="484"/>
      <c r="AC6" s="483"/>
      <c r="AQ6" s="493"/>
      <c r="BC6" s="484"/>
    </row>
    <row r="7" spans="1:59" ht="24" customHeight="1">
      <c r="A7" s="483"/>
      <c r="O7" s="493"/>
      <c r="AA7" s="484"/>
      <c r="AC7" s="483"/>
      <c r="AQ7" s="493"/>
      <c r="BC7" s="484"/>
      <c r="BG7" s="445"/>
    </row>
    <row r="8" spans="1:59" ht="24" customHeight="1">
      <c r="A8" s="483"/>
      <c r="O8" s="493"/>
      <c r="AA8" s="484"/>
      <c r="AC8" s="483"/>
      <c r="AQ8" s="493"/>
      <c r="BC8" s="484"/>
    </row>
    <row r="9" spans="1:59" ht="24" customHeight="1">
      <c r="A9" s="483"/>
      <c r="O9" s="493"/>
      <c r="AA9" s="484"/>
      <c r="AC9" s="483"/>
      <c r="AQ9" s="493"/>
      <c r="BC9" s="484"/>
    </row>
    <row r="10" spans="1:59" ht="24" customHeight="1">
      <c r="A10" s="483"/>
      <c r="O10" s="493"/>
      <c r="AA10" s="484"/>
      <c r="AC10" s="483"/>
      <c r="AQ10" s="493"/>
      <c r="BC10" s="484"/>
    </row>
    <row r="11" spans="1:59" ht="24" customHeight="1">
      <c r="A11" s="483"/>
      <c r="O11" s="493"/>
      <c r="AA11" s="484"/>
      <c r="AC11" s="483"/>
      <c r="AQ11" s="493"/>
      <c r="BC11" s="484"/>
    </row>
    <row r="12" spans="1:59" ht="24" customHeight="1" thickBot="1">
      <c r="A12" s="483"/>
      <c r="O12" s="493"/>
      <c r="AA12" s="484"/>
      <c r="AC12" s="483"/>
      <c r="AQ12" s="493"/>
      <c r="BC12" s="484"/>
    </row>
    <row r="13" spans="1:59" ht="16.899999999999999" customHeight="1" thickTop="1" thickBot="1">
      <c r="A13" s="483"/>
      <c r="I13" s="1389" t="s">
        <v>465</v>
      </c>
      <c r="J13" s="1390"/>
      <c r="K13" s="1390"/>
      <c r="L13" s="1390"/>
      <c r="M13" s="1390"/>
      <c r="N13" s="1391"/>
      <c r="O13" s="493"/>
      <c r="S13" s="1378" t="s">
        <v>466</v>
      </c>
      <c r="T13" s="1379"/>
      <c r="U13" s="1379"/>
      <c r="V13" s="1379"/>
      <c r="W13" s="1379"/>
      <c r="X13" s="1379"/>
      <c r="Y13" s="1379"/>
      <c r="Z13" s="1380"/>
      <c r="AA13" s="484"/>
      <c r="AC13" s="483"/>
      <c r="AK13" s="1392" t="s">
        <v>465</v>
      </c>
      <c r="AL13" s="1393"/>
      <c r="AM13" s="1393"/>
      <c r="AN13" s="1393"/>
      <c r="AO13" s="1393"/>
      <c r="AP13" s="1394"/>
      <c r="AQ13" s="493"/>
      <c r="AU13" s="1378" t="s">
        <v>466</v>
      </c>
      <c r="AV13" s="1379"/>
      <c r="AW13" s="1379"/>
      <c r="AX13" s="1379"/>
      <c r="AY13" s="1379"/>
      <c r="AZ13" s="1379"/>
      <c r="BA13" s="1379"/>
      <c r="BB13" s="1380"/>
      <c r="BC13" s="484"/>
    </row>
    <row r="14" spans="1:59" ht="16.149999999999999" customHeight="1" thickTop="1">
      <c r="A14" s="485"/>
      <c r="B14" s="436"/>
      <c r="C14" s="436"/>
      <c r="D14" s="436"/>
      <c r="E14" s="436"/>
      <c r="F14" s="436"/>
      <c r="G14" s="437"/>
      <c r="H14" s="437"/>
      <c r="I14" s="1360">
        <f ca="1">LED計算式!C50</f>
        <v>0</v>
      </c>
      <c r="J14" s="1361"/>
      <c r="K14" s="1361"/>
      <c r="L14" s="1361"/>
      <c r="M14" s="1361"/>
      <c r="N14" s="1362"/>
      <c r="O14" s="493"/>
      <c r="S14" s="1381" t="str">
        <f ca="1">IFERROR(S17/(LED計算式!C46+LED計算式!C47-LED計算式!D47)/12,"0")</f>
        <v>0</v>
      </c>
      <c r="T14" s="1382"/>
      <c r="U14" s="1382"/>
      <c r="V14" s="1382"/>
      <c r="W14" s="1382"/>
      <c r="X14" s="1382"/>
      <c r="Y14" s="1382"/>
      <c r="Z14" s="1383"/>
      <c r="AA14" s="486"/>
      <c r="AC14" s="483"/>
      <c r="AD14" s="436"/>
      <c r="AE14" s="436"/>
      <c r="AF14" s="436"/>
      <c r="AG14" s="436"/>
      <c r="AH14" s="436"/>
      <c r="AI14" s="436"/>
      <c r="AJ14" s="437"/>
      <c r="AK14" s="1360">
        <f ca="1">LED計算式!H50</f>
        <v>0</v>
      </c>
      <c r="AL14" s="1361"/>
      <c r="AM14" s="1361"/>
      <c r="AN14" s="1361"/>
      <c r="AO14" s="1361"/>
      <c r="AP14" s="1362"/>
      <c r="AQ14" s="496"/>
      <c r="AR14" s="436"/>
      <c r="AS14" s="436"/>
      <c r="AT14" s="436"/>
      <c r="AU14" s="1381" t="str">
        <f ca="1">IFERROR(AU17/(LED計算式!H46+LED計算式!H47-LED計算式!I47)/12,"0")</f>
        <v>0</v>
      </c>
      <c r="AV14" s="1382"/>
      <c r="AW14" s="1382"/>
      <c r="AX14" s="1382"/>
      <c r="AY14" s="1382"/>
      <c r="AZ14" s="1382"/>
      <c r="BA14" s="1382"/>
      <c r="BB14" s="1383"/>
      <c r="BC14" s="484"/>
    </row>
    <row r="15" spans="1:59" ht="16.149999999999999" customHeight="1" thickBot="1">
      <c r="A15" s="485"/>
      <c r="B15" s="436"/>
      <c r="C15" s="436"/>
      <c r="D15" s="436"/>
      <c r="E15" s="436"/>
      <c r="F15" s="436"/>
      <c r="G15" s="437"/>
      <c r="H15" s="437"/>
      <c r="I15" s="1389" t="s">
        <v>467</v>
      </c>
      <c r="J15" s="1390"/>
      <c r="K15" s="1390"/>
      <c r="L15" s="1390"/>
      <c r="M15" s="1390"/>
      <c r="N15" s="1391"/>
      <c r="O15" s="493"/>
      <c r="S15" s="1384"/>
      <c r="T15" s="1385"/>
      <c r="U15" s="1385"/>
      <c r="V15" s="1385"/>
      <c r="W15" s="1385"/>
      <c r="X15" s="1385"/>
      <c r="Y15" s="1385"/>
      <c r="Z15" s="1386"/>
      <c r="AA15" s="486"/>
      <c r="AC15" s="483"/>
      <c r="AD15" s="436"/>
      <c r="AE15" s="436"/>
      <c r="AF15" s="436"/>
      <c r="AG15" s="436"/>
      <c r="AH15" s="436"/>
      <c r="AI15" s="436"/>
      <c r="AJ15" s="437"/>
      <c r="AK15" s="1392" t="s">
        <v>467</v>
      </c>
      <c r="AL15" s="1393"/>
      <c r="AM15" s="1393"/>
      <c r="AN15" s="1393"/>
      <c r="AO15" s="1393"/>
      <c r="AP15" s="1394"/>
      <c r="AQ15" s="496"/>
      <c r="AR15" s="436"/>
      <c r="AS15" s="436"/>
      <c r="AT15" s="436"/>
      <c r="AU15" s="1384"/>
      <c r="AV15" s="1385"/>
      <c r="AW15" s="1385"/>
      <c r="AX15" s="1385"/>
      <c r="AY15" s="1385"/>
      <c r="AZ15" s="1385"/>
      <c r="BA15" s="1385"/>
      <c r="BB15" s="1386"/>
      <c r="BC15" s="484"/>
    </row>
    <row r="16" spans="1:59" ht="16.149999999999999" customHeight="1" thickTop="1" thickBot="1">
      <c r="A16" s="483"/>
      <c r="B16" s="1395"/>
      <c r="C16" s="1395"/>
      <c r="D16" s="1395"/>
      <c r="E16" s="1395"/>
      <c r="F16" s="1395"/>
      <c r="G16" s="1395"/>
      <c r="H16" s="444"/>
      <c r="I16" s="1360">
        <f>LED計算式!C51</f>
        <v>0</v>
      </c>
      <c r="J16" s="1361"/>
      <c r="K16" s="1361"/>
      <c r="L16" s="1361"/>
      <c r="M16" s="1361"/>
      <c r="N16" s="1362"/>
      <c r="O16" s="493"/>
      <c r="S16" s="1369" t="s">
        <v>468</v>
      </c>
      <c r="T16" s="1370"/>
      <c r="U16" s="1370"/>
      <c r="V16" s="1370"/>
      <c r="W16" s="1370"/>
      <c r="X16" s="1370"/>
      <c r="Y16" s="1370"/>
      <c r="Z16" s="1371"/>
      <c r="AA16" s="487"/>
      <c r="AC16" s="483"/>
      <c r="AD16" s="440"/>
      <c r="AE16" s="444"/>
      <c r="AK16" s="1360">
        <f>LED計算式!H51</f>
        <v>0</v>
      </c>
      <c r="AL16" s="1361"/>
      <c r="AM16" s="1361"/>
      <c r="AN16" s="1361"/>
      <c r="AO16" s="1361"/>
      <c r="AP16" s="1362"/>
      <c r="AQ16" s="493"/>
      <c r="AT16" s="444"/>
      <c r="AU16" s="1369" t="s">
        <v>468</v>
      </c>
      <c r="AV16" s="1370"/>
      <c r="AW16" s="1370"/>
      <c r="AX16" s="1370"/>
      <c r="AY16" s="1370"/>
      <c r="AZ16" s="1370"/>
      <c r="BA16" s="1370"/>
      <c r="BB16" s="1371"/>
      <c r="BC16" s="484"/>
    </row>
    <row r="17" spans="1:55" ht="16.149999999999999" customHeight="1" thickTop="1">
      <c r="A17" s="483"/>
      <c r="C17" s="443"/>
      <c r="D17" s="443"/>
      <c r="E17" s="443"/>
      <c r="F17" s="443"/>
      <c r="G17" s="443"/>
      <c r="H17" s="443"/>
      <c r="I17" s="1389" t="s">
        <v>469</v>
      </c>
      <c r="J17" s="1390"/>
      <c r="K17" s="1390"/>
      <c r="L17" s="1390"/>
      <c r="M17" s="1390"/>
      <c r="N17" s="1391"/>
      <c r="O17" s="494"/>
      <c r="P17" s="443"/>
      <c r="S17" s="1372">
        <f ca="1">☆入力!AO16</f>
        <v>0</v>
      </c>
      <c r="T17" s="1373"/>
      <c r="U17" s="1373"/>
      <c r="V17" s="1373"/>
      <c r="W17" s="1373"/>
      <c r="X17" s="1373"/>
      <c r="Y17" s="1373"/>
      <c r="Z17" s="1374"/>
      <c r="AA17" s="484"/>
      <c r="AC17" s="483"/>
      <c r="AF17" s="443"/>
      <c r="AG17" s="443"/>
      <c r="AH17" s="443"/>
      <c r="AI17" s="443"/>
      <c r="AJ17" s="443"/>
      <c r="AK17" s="1392" t="s">
        <v>469</v>
      </c>
      <c r="AL17" s="1393"/>
      <c r="AM17" s="1393"/>
      <c r="AN17" s="1393"/>
      <c r="AO17" s="1393"/>
      <c r="AP17" s="1394"/>
      <c r="AQ17" s="494"/>
      <c r="AR17" s="443"/>
      <c r="AS17" s="443"/>
      <c r="AT17" s="443"/>
      <c r="AU17" s="1372">
        <f ca="1">☆入力!AO17</f>
        <v>0</v>
      </c>
      <c r="AV17" s="1373"/>
      <c r="AW17" s="1373"/>
      <c r="AX17" s="1373"/>
      <c r="AY17" s="1373"/>
      <c r="AZ17" s="1373"/>
      <c r="BA17" s="1373"/>
      <c r="BB17" s="1374"/>
      <c r="BC17" s="484"/>
    </row>
    <row r="18" spans="1:55" ht="16.149999999999999" customHeight="1" thickBot="1">
      <c r="A18" s="483"/>
      <c r="C18" s="443"/>
      <c r="D18" s="443"/>
      <c r="E18" s="443"/>
      <c r="F18" s="443"/>
      <c r="G18" s="443"/>
      <c r="H18" s="443"/>
      <c r="I18" s="1360">
        <f ca="1">LED計算式!C52</f>
        <v>0</v>
      </c>
      <c r="J18" s="1361"/>
      <c r="K18" s="1361"/>
      <c r="L18" s="1361"/>
      <c r="M18" s="1361"/>
      <c r="N18" s="1362"/>
      <c r="O18" s="494"/>
      <c r="P18" s="443"/>
      <c r="S18" s="1375"/>
      <c r="T18" s="1376"/>
      <c r="U18" s="1376"/>
      <c r="V18" s="1376"/>
      <c r="W18" s="1376"/>
      <c r="X18" s="1376"/>
      <c r="Y18" s="1376"/>
      <c r="Z18" s="1377"/>
      <c r="AA18" s="484"/>
      <c r="AC18" s="483"/>
      <c r="AF18" s="443"/>
      <c r="AG18" s="443"/>
      <c r="AH18" s="443"/>
      <c r="AI18" s="443"/>
      <c r="AJ18" s="443"/>
      <c r="AK18" s="1360">
        <f ca="1">LED計算式!H52</f>
        <v>0</v>
      </c>
      <c r="AL18" s="1361"/>
      <c r="AM18" s="1361"/>
      <c r="AN18" s="1361"/>
      <c r="AO18" s="1361"/>
      <c r="AP18" s="1362"/>
      <c r="AQ18" s="494"/>
      <c r="AR18" s="443"/>
      <c r="AS18" s="443"/>
      <c r="AT18" s="443"/>
      <c r="AU18" s="1375"/>
      <c r="AV18" s="1376"/>
      <c r="AW18" s="1376"/>
      <c r="AX18" s="1376"/>
      <c r="AY18" s="1376"/>
      <c r="AZ18" s="1376"/>
      <c r="BA18" s="1376"/>
      <c r="BB18" s="1377"/>
      <c r="BC18" s="484"/>
    </row>
    <row r="19" spans="1:55" ht="9.6" customHeight="1" thickTop="1">
      <c r="A19" s="488"/>
      <c r="B19" s="489"/>
      <c r="C19" s="490"/>
      <c r="D19" s="490"/>
      <c r="E19" s="490"/>
      <c r="F19" s="490"/>
      <c r="G19" s="490"/>
      <c r="H19" s="490"/>
      <c r="I19" s="489"/>
      <c r="J19" s="489"/>
      <c r="K19" s="489"/>
      <c r="L19" s="489"/>
      <c r="M19" s="489"/>
      <c r="N19" s="489"/>
      <c r="O19" s="495"/>
      <c r="P19" s="490"/>
      <c r="Q19" s="490"/>
      <c r="R19" s="490"/>
      <c r="S19" s="490"/>
      <c r="T19" s="490"/>
      <c r="U19" s="491"/>
      <c r="V19" s="491"/>
      <c r="W19" s="491"/>
      <c r="X19" s="491"/>
      <c r="Y19" s="491"/>
      <c r="Z19" s="491"/>
      <c r="AA19" s="492"/>
      <c r="AC19" s="488"/>
      <c r="AD19" s="489"/>
      <c r="AE19" s="489"/>
      <c r="AF19" s="490"/>
      <c r="AG19" s="490"/>
      <c r="AH19" s="490"/>
      <c r="AI19" s="490"/>
      <c r="AJ19" s="490"/>
      <c r="AK19" s="490"/>
      <c r="AL19" s="490"/>
      <c r="AM19" s="490"/>
      <c r="AN19" s="490"/>
      <c r="AO19" s="490"/>
      <c r="AP19" s="490"/>
      <c r="AQ19" s="495"/>
      <c r="AR19" s="490"/>
      <c r="AS19" s="490"/>
      <c r="AT19" s="490"/>
      <c r="AU19" s="490"/>
      <c r="AV19" s="490"/>
      <c r="AW19" s="490"/>
      <c r="AX19" s="490"/>
      <c r="AY19" s="490"/>
      <c r="AZ19" s="490"/>
      <c r="BA19" s="490"/>
      <c r="BB19" s="490"/>
      <c r="BC19" s="492"/>
    </row>
    <row r="20" spans="1:55" ht="22.15" customHeight="1">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AD20" s="443"/>
      <c r="AE20" s="443"/>
      <c r="AF20" s="443"/>
      <c r="AG20" s="443"/>
      <c r="AH20" s="443"/>
      <c r="AI20" s="443"/>
      <c r="AJ20" s="443"/>
      <c r="AK20" s="443"/>
      <c r="AL20" s="443"/>
      <c r="AM20" s="443"/>
      <c r="AN20" s="443"/>
      <c r="AO20" s="443"/>
      <c r="AP20" s="443"/>
      <c r="AQ20" s="443"/>
      <c r="AR20" s="443"/>
      <c r="AS20" s="443"/>
      <c r="AT20" s="443"/>
      <c r="AU20" s="443"/>
      <c r="AV20" s="443"/>
      <c r="AW20" s="443"/>
      <c r="AX20" s="443"/>
      <c r="AY20" s="443"/>
      <c r="AZ20" s="443"/>
    </row>
    <row r="21" spans="1:55" s="66" customFormat="1" ht="22.15" customHeight="1">
      <c r="A21" s="1387">
        <f>LED計算式!L43</f>
        <v>0</v>
      </c>
      <c r="B21" s="1387"/>
      <c r="C21" s="1387"/>
      <c r="D21" s="1387"/>
      <c r="E21" s="1387"/>
      <c r="F21" s="1387"/>
      <c r="G21" s="1387"/>
      <c r="H21" s="1387"/>
      <c r="I21" s="1387"/>
      <c r="J21" s="1387"/>
      <c r="K21" s="1387"/>
      <c r="L21" s="1387"/>
      <c r="M21" s="1387"/>
      <c r="N21" s="1387"/>
      <c r="O21" s="1387"/>
      <c r="P21" s="1387"/>
      <c r="Q21" s="1387"/>
      <c r="R21" s="1387"/>
      <c r="S21" s="1387"/>
      <c r="T21" s="1387"/>
      <c r="U21" s="1387"/>
      <c r="V21" s="1387"/>
      <c r="W21" s="1387"/>
      <c r="X21" s="1387"/>
      <c r="Y21" s="1387"/>
      <c r="Z21" s="1387"/>
      <c r="AA21" s="1387"/>
      <c r="AC21" s="1388">
        <f>LED計算式!Q43</f>
        <v>0</v>
      </c>
      <c r="AD21" s="1388"/>
      <c r="AE21" s="1388"/>
      <c r="AF21" s="1388"/>
      <c r="AG21" s="1388"/>
      <c r="AH21" s="1388"/>
      <c r="AI21" s="1388"/>
      <c r="AJ21" s="1388"/>
      <c r="AK21" s="1388"/>
      <c r="AL21" s="1388"/>
      <c r="AM21" s="1388"/>
      <c r="AN21" s="1388"/>
      <c r="AO21" s="1388"/>
      <c r="AP21" s="1388"/>
      <c r="AQ21" s="1388"/>
      <c r="AR21" s="1388"/>
      <c r="AS21" s="1388"/>
      <c r="AT21" s="1388"/>
      <c r="AU21" s="1388"/>
      <c r="AV21" s="1388"/>
      <c r="AW21" s="1388"/>
      <c r="AX21" s="1388"/>
      <c r="AY21" s="1388"/>
      <c r="AZ21" s="1388"/>
      <c r="BA21" s="1388"/>
      <c r="BB21" s="1388"/>
      <c r="BC21" s="1388"/>
    </row>
    <row r="22" spans="1:55" ht="22.15" customHeight="1">
      <c r="A22" s="1403" t="s">
        <v>463</v>
      </c>
      <c r="B22" s="1404"/>
      <c r="C22" s="1404"/>
      <c r="D22" s="1404"/>
      <c r="E22" s="1404"/>
      <c r="F22" s="1404"/>
      <c r="G22" s="1404"/>
      <c r="H22" s="1404"/>
      <c r="I22" s="1404"/>
      <c r="J22" s="1404"/>
      <c r="K22" s="1404"/>
      <c r="L22" s="1404"/>
      <c r="M22" s="1404"/>
      <c r="N22" s="1404"/>
      <c r="O22" s="1405"/>
      <c r="P22" s="1406" t="s">
        <v>464</v>
      </c>
      <c r="Q22" s="1404"/>
      <c r="R22" s="1404"/>
      <c r="S22" s="1404"/>
      <c r="T22" s="1404"/>
      <c r="U22" s="1404"/>
      <c r="V22" s="1404"/>
      <c r="W22" s="1404"/>
      <c r="X22" s="1404"/>
      <c r="Y22" s="1404"/>
      <c r="Z22" s="1404"/>
      <c r="AA22" s="1404"/>
      <c r="AC22" s="1407" t="s">
        <v>463</v>
      </c>
      <c r="AD22" s="1408"/>
      <c r="AE22" s="1408"/>
      <c r="AF22" s="1408"/>
      <c r="AG22" s="1408"/>
      <c r="AH22" s="1408"/>
      <c r="AI22" s="1408"/>
      <c r="AJ22" s="1408"/>
      <c r="AK22" s="1408"/>
      <c r="AL22" s="1408"/>
      <c r="AM22" s="1408"/>
      <c r="AN22" s="1408"/>
      <c r="AO22" s="1408"/>
      <c r="AP22" s="1408"/>
      <c r="AQ22" s="1409"/>
      <c r="AR22" s="1410" t="s">
        <v>464</v>
      </c>
      <c r="AS22" s="1408"/>
      <c r="AT22" s="1408"/>
      <c r="AU22" s="1408"/>
      <c r="AV22" s="1408"/>
      <c r="AW22" s="1408"/>
      <c r="AX22" s="1408"/>
      <c r="AY22" s="1408"/>
      <c r="AZ22" s="1408"/>
      <c r="BA22" s="1408"/>
      <c r="BB22" s="1408"/>
      <c r="BC22" s="1408"/>
    </row>
    <row r="23" spans="1:55" ht="24" customHeight="1">
      <c r="A23" s="483"/>
      <c r="O23" s="493"/>
      <c r="AA23" s="484"/>
      <c r="AC23" s="483"/>
      <c r="AQ23" s="493"/>
      <c r="BC23" s="484"/>
    </row>
    <row r="24" spans="1:55" ht="24" customHeight="1">
      <c r="A24" s="483"/>
      <c r="O24" s="493"/>
      <c r="AA24" s="484"/>
      <c r="AC24" s="483"/>
      <c r="AQ24" s="493"/>
      <c r="BC24" s="484"/>
    </row>
    <row r="25" spans="1:55" ht="24" customHeight="1">
      <c r="A25" s="483"/>
      <c r="O25" s="493"/>
      <c r="AA25" s="484"/>
      <c r="AC25" s="483"/>
      <c r="AQ25" s="493"/>
      <c r="BC25" s="484"/>
    </row>
    <row r="26" spans="1:55" ht="24" customHeight="1">
      <c r="A26" s="483"/>
      <c r="O26" s="493"/>
      <c r="AA26" s="484"/>
      <c r="AC26" s="483"/>
      <c r="AQ26" s="493"/>
      <c r="BC26" s="484"/>
    </row>
    <row r="27" spans="1:55" ht="24" customHeight="1">
      <c r="A27" s="483"/>
      <c r="O27" s="493"/>
      <c r="AA27" s="484"/>
      <c r="AC27" s="483"/>
      <c r="AQ27" s="493"/>
      <c r="BC27" s="484"/>
    </row>
    <row r="28" spans="1:55" ht="24" customHeight="1">
      <c r="A28" s="483"/>
      <c r="O28" s="493"/>
      <c r="AA28" s="484"/>
      <c r="AC28" s="483"/>
      <c r="AQ28" s="493"/>
      <c r="BC28" s="484"/>
    </row>
    <row r="29" spans="1:55" ht="24" customHeight="1">
      <c r="A29" s="483"/>
      <c r="O29" s="493"/>
      <c r="AA29" s="484"/>
      <c r="AC29" s="483"/>
      <c r="AQ29" s="493"/>
      <c r="BC29" s="484"/>
    </row>
    <row r="30" spans="1:55" ht="35.65" customHeight="1" thickBot="1">
      <c r="A30" s="483"/>
      <c r="O30" s="493"/>
      <c r="AA30" s="484"/>
      <c r="AC30" s="483"/>
      <c r="AQ30" s="493"/>
      <c r="BC30" s="484"/>
    </row>
    <row r="31" spans="1:55" ht="16.899999999999999" customHeight="1" thickTop="1" thickBot="1">
      <c r="A31" s="485"/>
      <c r="B31" s="436"/>
      <c r="C31" s="436"/>
      <c r="D31" s="436"/>
      <c r="E31" s="436"/>
      <c r="F31" s="436"/>
      <c r="G31" s="437"/>
      <c r="H31" s="437"/>
      <c r="I31" s="1363" t="s">
        <v>465</v>
      </c>
      <c r="J31" s="1364"/>
      <c r="K31" s="1364"/>
      <c r="L31" s="1364"/>
      <c r="M31" s="1364"/>
      <c r="N31" s="1365"/>
      <c r="O31" s="496"/>
      <c r="P31" s="436"/>
      <c r="Q31" s="436"/>
      <c r="R31" s="436"/>
      <c r="S31" s="1378" t="s">
        <v>466</v>
      </c>
      <c r="T31" s="1379"/>
      <c r="U31" s="1379"/>
      <c r="V31" s="1379"/>
      <c r="W31" s="1379"/>
      <c r="X31" s="1379"/>
      <c r="Y31" s="1379"/>
      <c r="Z31" s="1380"/>
      <c r="AA31" s="486"/>
      <c r="AC31" s="483"/>
      <c r="AD31" s="436"/>
      <c r="AE31" s="436"/>
      <c r="AF31" s="436"/>
      <c r="AG31" s="436"/>
      <c r="AH31" s="436"/>
      <c r="AI31" s="436"/>
      <c r="AJ31" s="437"/>
      <c r="AK31" s="1366" t="s">
        <v>465</v>
      </c>
      <c r="AL31" s="1367"/>
      <c r="AM31" s="1367"/>
      <c r="AN31" s="1367"/>
      <c r="AO31" s="1367"/>
      <c r="AP31" s="1368"/>
      <c r="AQ31" s="496"/>
      <c r="AR31" s="436"/>
      <c r="AS31" s="436"/>
      <c r="AT31" s="436"/>
      <c r="AU31" s="1378" t="s">
        <v>466</v>
      </c>
      <c r="AV31" s="1379"/>
      <c r="AW31" s="1379"/>
      <c r="AX31" s="1379"/>
      <c r="AY31" s="1379"/>
      <c r="AZ31" s="1379"/>
      <c r="BA31" s="1379"/>
      <c r="BB31" s="1380"/>
      <c r="BC31" s="486"/>
    </row>
    <row r="32" spans="1:55" ht="16.899999999999999" customHeight="1" thickTop="1">
      <c r="A32" s="485"/>
      <c r="B32" s="436"/>
      <c r="C32" s="436"/>
      <c r="D32" s="436"/>
      <c r="E32" s="436"/>
      <c r="F32" s="436"/>
      <c r="G32" s="437"/>
      <c r="H32" s="437"/>
      <c r="I32" s="1360">
        <f ca="1">LED計算式!M50</f>
        <v>0</v>
      </c>
      <c r="J32" s="1361"/>
      <c r="K32" s="1361"/>
      <c r="L32" s="1361"/>
      <c r="M32" s="1361"/>
      <c r="N32" s="1362"/>
      <c r="O32" s="496"/>
      <c r="P32" s="436"/>
      <c r="Q32" s="436"/>
      <c r="R32" s="436"/>
      <c r="S32" s="1381" t="str">
        <f ca="1">IFERROR(S35/(LED計算式!M46+LED計算式!M47-LED計算式!N47)/12,"0")</f>
        <v>0</v>
      </c>
      <c r="T32" s="1382"/>
      <c r="U32" s="1382"/>
      <c r="V32" s="1382"/>
      <c r="W32" s="1382"/>
      <c r="X32" s="1382"/>
      <c r="Y32" s="1382"/>
      <c r="Z32" s="1383"/>
      <c r="AA32" s="486"/>
      <c r="AC32" s="483"/>
      <c r="AD32" s="436"/>
      <c r="AE32" s="436"/>
      <c r="AF32" s="436"/>
      <c r="AG32" s="436"/>
      <c r="AH32" s="436"/>
      <c r="AI32" s="436"/>
      <c r="AJ32" s="437"/>
      <c r="AK32" s="1360">
        <f ca="1">LED計算式!R50</f>
        <v>0</v>
      </c>
      <c r="AL32" s="1361"/>
      <c r="AM32" s="1361"/>
      <c r="AN32" s="1361"/>
      <c r="AO32" s="1361"/>
      <c r="AP32" s="1362"/>
      <c r="AQ32" s="496"/>
      <c r="AR32" s="436"/>
      <c r="AS32" s="436"/>
      <c r="AT32" s="436"/>
      <c r="AU32" s="1381" t="str">
        <f ca="1">IFERROR(AU35/(LED計算式!R46+LED計算式!R47-LED計算式!S47)/12,"0")</f>
        <v>0</v>
      </c>
      <c r="AV32" s="1382"/>
      <c r="AW32" s="1382"/>
      <c r="AX32" s="1382"/>
      <c r="AY32" s="1382"/>
      <c r="AZ32" s="1382"/>
      <c r="BA32" s="1382"/>
      <c r="BB32" s="1383"/>
      <c r="BC32" s="486"/>
    </row>
    <row r="33" spans="1:55" ht="16.899999999999999" customHeight="1" thickBot="1">
      <c r="A33" s="497"/>
      <c r="B33" s="444"/>
      <c r="I33" s="1363" t="s">
        <v>467</v>
      </c>
      <c r="J33" s="1364"/>
      <c r="K33" s="1364"/>
      <c r="L33" s="1364"/>
      <c r="M33" s="1364"/>
      <c r="N33" s="1365"/>
      <c r="O33" s="493"/>
      <c r="Q33" s="444"/>
      <c r="R33" s="444"/>
      <c r="S33" s="1384"/>
      <c r="T33" s="1385"/>
      <c r="U33" s="1385"/>
      <c r="V33" s="1385"/>
      <c r="W33" s="1385"/>
      <c r="X33" s="1385"/>
      <c r="Y33" s="1385"/>
      <c r="Z33" s="1386"/>
      <c r="AA33" s="487"/>
      <c r="AC33" s="483"/>
      <c r="AD33" s="440"/>
      <c r="AE33" s="444"/>
      <c r="AK33" s="1366" t="s">
        <v>467</v>
      </c>
      <c r="AL33" s="1367"/>
      <c r="AM33" s="1367"/>
      <c r="AN33" s="1367"/>
      <c r="AO33" s="1367"/>
      <c r="AP33" s="1368"/>
      <c r="AQ33" s="493"/>
      <c r="AT33" s="444"/>
      <c r="AU33" s="1384"/>
      <c r="AV33" s="1385"/>
      <c r="AW33" s="1385"/>
      <c r="AX33" s="1385"/>
      <c r="AY33" s="1385"/>
      <c r="AZ33" s="1385"/>
      <c r="BA33" s="1385"/>
      <c r="BB33" s="1386"/>
      <c r="BC33" s="487"/>
    </row>
    <row r="34" spans="1:55" ht="16.899999999999999" customHeight="1" thickTop="1" thickBot="1">
      <c r="A34" s="483"/>
      <c r="I34" s="1360">
        <f>LED計算式!M51</f>
        <v>0</v>
      </c>
      <c r="J34" s="1361"/>
      <c r="K34" s="1361"/>
      <c r="L34" s="1361"/>
      <c r="M34" s="1361"/>
      <c r="N34" s="1362"/>
      <c r="O34" s="493"/>
      <c r="S34" s="1369" t="s">
        <v>468</v>
      </c>
      <c r="T34" s="1370"/>
      <c r="U34" s="1370"/>
      <c r="V34" s="1370"/>
      <c r="W34" s="1370"/>
      <c r="X34" s="1370"/>
      <c r="Y34" s="1370"/>
      <c r="Z34" s="1371"/>
      <c r="AA34" s="484"/>
      <c r="AC34" s="483"/>
      <c r="AK34" s="1360">
        <f>LED計算式!R51</f>
        <v>0</v>
      </c>
      <c r="AL34" s="1361"/>
      <c r="AM34" s="1361"/>
      <c r="AN34" s="1361"/>
      <c r="AO34" s="1361"/>
      <c r="AP34" s="1362"/>
      <c r="AQ34" s="493"/>
      <c r="AU34" s="1369" t="s">
        <v>468</v>
      </c>
      <c r="AV34" s="1370"/>
      <c r="AW34" s="1370"/>
      <c r="AX34" s="1370"/>
      <c r="AY34" s="1370"/>
      <c r="AZ34" s="1370"/>
      <c r="BA34" s="1370"/>
      <c r="BB34" s="1371"/>
      <c r="BC34" s="484"/>
    </row>
    <row r="35" spans="1:55" ht="16.899999999999999" customHeight="1" thickTop="1">
      <c r="A35" s="483"/>
      <c r="I35" s="1363" t="s">
        <v>469</v>
      </c>
      <c r="J35" s="1364"/>
      <c r="K35" s="1364"/>
      <c r="L35" s="1364"/>
      <c r="M35" s="1364"/>
      <c r="N35" s="1365"/>
      <c r="O35" s="493"/>
      <c r="S35" s="1372">
        <f ca="1">☆入力!AO18</f>
        <v>0</v>
      </c>
      <c r="T35" s="1373"/>
      <c r="U35" s="1373"/>
      <c r="V35" s="1373"/>
      <c r="W35" s="1373"/>
      <c r="X35" s="1373"/>
      <c r="Y35" s="1373"/>
      <c r="Z35" s="1374"/>
      <c r="AA35" s="484"/>
      <c r="AC35" s="483"/>
      <c r="AK35" s="1366" t="s">
        <v>469</v>
      </c>
      <c r="AL35" s="1367"/>
      <c r="AM35" s="1367"/>
      <c r="AN35" s="1367"/>
      <c r="AO35" s="1367"/>
      <c r="AP35" s="1368"/>
      <c r="AQ35" s="493"/>
      <c r="AU35" s="1372">
        <f ca="1">☆入力!AO19</f>
        <v>0</v>
      </c>
      <c r="AV35" s="1373"/>
      <c r="AW35" s="1373"/>
      <c r="AX35" s="1373"/>
      <c r="AY35" s="1373"/>
      <c r="AZ35" s="1373"/>
      <c r="BA35" s="1373"/>
      <c r="BB35" s="1374"/>
      <c r="BC35" s="484"/>
    </row>
    <row r="36" spans="1:55" ht="16.899999999999999" customHeight="1" thickBot="1">
      <c r="A36" s="483"/>
      <c r="I36" s="1360">
        <f ca="1">LED計算式!M52</f>
        <v>0</v>
      </c>
      <c r="J36" s="1361"/>
      <c r="K36" s="1361"/>
      <c r="L36" s="1361"/>
      <c r="M36" s="1361"/>
      <c r="N36" s="1362"/>
      <c r="O36" s="493"/>
      <c r="S36" s="1375"/>
      <c r="T36" s="1376"/>
      <c r="U36" s="1376"/>
      <c r="V36" s="1376"/>
      <c r="W36" s="1376"/>
      <c r="X36" s="1376"/>
      <c r="Y36" s="1376"/>
      <c r="Z36" s="1377"/>
      <c r="AA36" s="484"/>
      <c r="AC36" s="483"/>
      <c r="AK36" s="1360">
        <f ca="1">LED計算式!R52</f>
        <v>0</v>
      </c>
      <c r="AL36" s="1361"/>
      <c r="AM36" s="1361"/>
      <c r="AN36" s="1361"/>
      <c r="AO36" s="1361"/>
      <c r="AP36" s="1362"/>
      <c r="AQ36" s="493"/>
      <c r="AU36" s="1375"/>
      <c r="AV36" s="1376"/>
      <c r="AW36" s="1376"/>
      <c r="AX36" s="1376"/>
      <c r="AY36" s="1376"/>
      <c r="AZ36" s="1376"/>
      <c r="BA36" s="1376"/>
      <c r="BB36" s="1377"/>
      <c r="BC36" s="484"/>
    </row>
    <row r="37" spans="1:55" ht="9.6" customHeight="1" thickTop="1">
      <c r="A37" s="488"/>
      <c r="B37" s="489"/>
      <c r="C37" s="489"/>
      <c r="D37" s="489"/>
      <c r="E37" s="489"/>
      <c r="F37" s="489"/>
      <c r="G37" s="489"/>
      <c r="H37" s="489"/>
      <c r="I37" s="489"/>
      <c r="J37" s="489"/>
      <c r="K37" s="489"/>
      <c r="L37" s="489"/>
      <c r="M37" s="489"/>
      <c r="N37" s="489"/>
      <c r="O37" s="498"/>
      <c r="P37" s="489"/>
      <c r="Q37" s="489"/>
      <c r="R37" s="489"/>
      <c r="S37" s="489"/>
      <c r="T37" s="489"/>
      <c r="U37" s="489"/>
      <c r="V37" s="489"/>
      <c r="W37" s="489"/>
      <c r="X37" s="489"/>
      <c r="Y37" s="489"/>
      <c r="Z37" s="489"/>
      <c r="AA37" s="492"/>
      <c r="AC37" s="488"/>
      <c r="AD37" s="489"/>
      <c r="AE37" s="489"/>
      <c r="AF37" s="489"/>
      <c r="AG37" s="489"/>
      <c r="AH37" s="489"/>
      <c r="AI37" s="489"/>
      <c r="AJ37" s="489"/>
      <c r="AK37" s="489"/>
      <c r="AL37" s="489"/>
      <c r="AM37" s="489"/>
      <c r="AN37" s="489"/>
      <c r="AO37" s="489"/>
      <c r="AP37" s="489"/>
      <c r="AQ37" s="498"/>
      <c r="AR37" s="489"/>
      <c r="AS37" s="489"/>
      <c r="AT37" s="489"/>
      <c r="AU37" s="489"/>
      <c r="AV37" s="489"/>
      <c r="AW37" s="489"/>
      <c r="AX37" s="489"/>
      <c r="AY37" s="489"/>
      <c r="AZ37" s="489"/>
      <c r="BA37" s="489"/>
      <c r="BB37" s="489"/>
      <c r="BC37" s="492"/>
    </row>
  </sheetData>
  <mergeCells count="54">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 ref="S13:Z13"/>
    <mergeCell ref="S14:Z15"/>
    <mergeCell ref="AC4:AQ4"/>
    <mergeCell ref="AR4:BC4"/>
    <mergeCell ref="A3:AA3"/>
    <mergeCell ref="AC3:BC3"/>
    <mergeCell ref="I13:N13"/>
    <mergeCell ref="AK13:AP13"/>
    <mergeCell ref="AU13:BB1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I31:N31"/>
    <mergeCell ref="AK31:AP31"/>
    <mergeCell ref="I32:N32"/>
    <mergeCell ref="AK32:AP32"/>
    <mergeCell ref="I33:N33"/>
    <mergeCell ref="AK33:AP33"/>
    <mergeCell ref="S31:Z31"/>
    <mergeCell ref="S32:Z33"/>
    <mergeCell ref="I34:N34"/>
    <mergeCell ref="AK34:AP34"/>
    <mergeCell ref="I35:N35"/>
    <mergeCell ref="AK35:AP35"/>
    <mergeCell ref="I36:N36"/>
    <mergeCell ref="AK36:AP36"/>
    <mergeCell ref="S34:Z34"/>
    <mergeCell ref="S35:Z36"/>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85"/>
    <col min="26" max="28" width="3.5" style="385" customWidth="1"/>
    <col min="29" max="16384" width="3.625" style="385"/>
  </cols>
  <sheetData>
    <row r="1" spans="1:59" s="3" customFormat="1" ht="38.25">
      <c r="A1" s="1318" t="s">
        <v>462</v>
      </c>
      <c r="B1" s="1318"/>
      <c r="C1" s="1318"/>
      <c r="D1" s="1318"/>
      <c r="E1" s="1318"/>
      <c r="F1" s="1318"/>
      <c r="G1" s="1318"/>
      <c r="H1" s="1318"/>
      <c r="I1" s="1318"/>
      <c r="J1" s="1318"/>
      <c r="K1" s="1318"/>
      <c r="L1" s="1318"/>
      <c r="M1" s="1318"/>
      <c r="N1" s="1318"/>
      <c r="O1" s="1318"/>
      <c r="P1" s="1318"/>
      <c r="Q1" s="1318"/>
      <c r="R1" s="1318"/>
      <c r="S1" s="1318"/>
      <c r="T1" s="1318"/>
      <c r="U1" s="1318"/>
      <c r="V1" s="1318"/>
      <c r="W1" s="1318"/>
      <c r="X1" s="1318"/>
      <c r="Y1" s="1318"/>
      <c r="Z1" s="1318"/>
      <c r="AA1" s="1318"/>
      <c r="AB1" s="1318"/>
      <c r="AC1" s="1318"/>
      <c r="AD1" s="1318"/>
      <c r="AE1" s="1318"/>
      <c r="AF1" s="1318"/>
      <c r="AG1" s="1318"/>
      <c r="AH1" s="1318"/>
      <c r="AI1" s="1318"/>
      <c r="AJ1" s="1318"/>
      <c r="AK1" s="1318"/>
      <c r="AL1" s="1318"/>
      <c r="AM1" s="1318"/>
      <c r="AN1" s="1318"/>
      <c r="AO1" s="1318"/>
      <c r="AP1" s="1318"/>
      <c r="AQ1" s="1318"/>
      <c r="AR1" s="1318"/>
      <c r="AS1" s="1318"/>
      <c r="AT1" s="1318"/>
      <c r="AU1" s="1318"/>
      <c r="AV1" s="1318"/>
      <c r="AW1" s="1318"/>
      <c r="AX1" s="1318"/>
      <c r="AY1" s="1318"/>
      <c r="AZ1" s="1318"/>
      <c r="BA1" s="1318"/>
      <c r="BB1" s="1318"/>
      <c r="BC1" s="1318"/>
    </row>
    <row r="2" spans="1:59" ht="22.15" customHeight="1">
      <c r="C2" s="443"/>
      <c r="D2" s="443"/>
      <c r="E2" s="443"/>
      <c r="F2" s="443"/>
      <c r="G2" s="443"/>
      <c r="H2" s="443"/>
      <c r="I2" s="443"/>
      <c r="J2" s="443"/>
      <c r="K2" s="443"/>
      <c r="L2" s="443"/>
      <c r="M2" s="443"/>
      <c r="N2" s="443"/>
      <c r="O2" s="443"/>
      <c r="P2" s="443"/>
      <c r="Q2" s="443"/>
      <c r="R2" s="443"/>
      <c r="S2" s="443"/>
      <c r="T2" s="443"/>
      <c r="U2" s="443"/>
      <c r="V2" s="443"/>
      <c r="W2" s="443"/>
      <c r="X2" s="443"/>
      <c r="Y2" s="443"/>
      <c r="AD2" s="443"/>
      <c r="AE2" s="443"/>
      <c r="AF2" s="443"/>
      <c r="AG2" s="443"/>
      <c r="AH2" s="443"/>
      <c r="AI2" s="443"/>
      <c r="AJ2" s="443"/>
      <c r="AK2" s="443"/>
      <c r="AL2" s="443"/>
      <c r="AM2" s="443"/>
      <c r="AN2" s="443"/>
      <c r="AO2" s="443"/>
      <c r="AP2" s="443"/>
      <c r="AQ2" s="443"/>
      <c r="AR2" s="443"/>
      <c r="AS2" s="443"/>
      <c r="AT2" s="443"/>
      <c r="AU2" s="443"/>
      <c r="AV2" s="443"/>
      <c r="AW2" s="443"/>
      <c r="AX2" s="443"/>
      <c r="AY2" s="443"/>
      <c r="AZ2" s="443"/>
    </row>
    <row r="3" spans="1:59" s="66" customFormat="1" ht="22.15" customHeight="1">
      <c r="A3" s="1415">
        <f>LED計算式!B43</f>
        <v>0</v>
      </c>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7"/>
      <c r="AC3" s="1402">
        <f>LED計算式!G43</f>
        <v>0</v>
      </c>
      <c r="AD3" s="1402"/>
      <c r="AE3" s="1402"/>
      <c r="AF3" s="1402"/>
      <c r="AG3" s="1402"/>
      <c r="AH3" s="1402"/>
      <c r="AI3" s="1402"/>
      <c r="AJ3" s="1402"/>
      <c r="AK3" s="1402"/>
      <c r="AL3" s="1402"/>
      <c r="AM3" s="1402"/>
      <c r="AN3" s="1402"/>
      <c r="AO3" s="1402"/>
      <c r="AP3" s="1402"/>
      <c r="AQ3" s="1402"/>
      <c r="AR3" s="1402"/>
      <c r="AS3" s="1402"/>
      <c r="AT3" s="1402"/>
      <c r="AU3" s="1402"/>
      <c r="AV3" s="1402"/>
      <c r="AW3" s="1402"/>
      <c r="AX3" s="1402"/>
      <c r="AY3" s="1402"/>
      <c r="AZ3" s="1402"/>
      <c r="BA3" s="1402"/>
      <c r="BB3" s="1402"/>
      <c r="BC3" s="1402"/>
    </row>
    <row r="4" spans="1:59" s="66" customFormat="1" ht="22.15" customHeight="1">
      <c r="A4" s="1418" t="s">
        <v>463</v>
      </c>
      <c r="B4" s="1419"/>
      <c r="C4" s="1419"/>
      <c r="D4" s="1419"/>
      <c r="E4" s="1419"/>
      <c r="F4" s="1419"/>
      <c r="G4" s="1419"/>
      <c r="H4" s="1419"/>
      <c r="I4" s="1419"/>
      <c r="J4" s="1419"/>
      <c r="K4" s="1419"/>
      <c r="L4" s="1419"/>
      <c r="M4" s="1419"/>
      <c r="N4" s="1419"/>
      <c r="O4" s="1420"/>
      <c r="P4" s="1419" t="s">
        <v>464</v>
      </c>
      <c r="Q4" s="1419"/>
      <c r="R4" s="1419"/>
      <c r="S4" s="1419"/>
      <c r="T4" s="1419"/>
      <c r="U4" s="1419"/>
      <c r="V4" s="1419"/>
      <c r="W4" s="1419"/>
      <c r="X4" s="1419"/>
      <c r="Y4" s="1419"/>
      <c r="Z4" s="1419"/>
      <c r="AA4" s="1414"/>
      <c r="AB4" s="455"/>
      <c r="AC4" s="1396" t="s">
        <v>463</v>
      </c>
      <c r="AD4" s="1397"/>
      <c r="AE4" s="1397"/>
      <c r="AF4" s="1397"/>
      <c r="AG4" s="1397"/>
      <c r="AH4" s="1397"/>
      <c r="AI4" s="1397"/>
      <c r="AJ4" s="1397"/>
      <c r="AK4" s="1397"/>
      <c r="AL4" s="1397"/>
      <c r="AM4" s="1397"/>
      <c r="AN4" s="1397"/>
      <c r="AO4" s="1397"/>
      <c r="AP4" s="1397"/>
      <c r="AQ4" s="1398"/>
      <c r="AR4" s="1399" t="s">
        <v>464</v>
      </c>
      <c r="AS4" s="1400"/>
      <c r="AT4" s="1400"/>
      <c r="AU4" s="1400"/>
      <c r="AV4" s="1400"/>
      <c r="AW4" s="1400"/>
      <c r="AX4" s="1400"/>
      <c r="AY4" s="1400"/>
      <c r="AZ4" s="1400"/>
      <c r="BA4" s="1400"/>
      <c r="BB4" s="1400"/>
      <c r="BC4" s="1400"/>
    </row>
    <row r="5" spans="1:59" ht="24" customHeight="1">
      <c r="A5" s="483"/>
      <c r="O5" s="493"/>
      <c r="AA5" s="484"/>
      <c r="AC5" s="483"/>
      <c r="AQ5" s="493"/>
      <c r="BC5" s="484"/>
    </row>
    <row r="6" spans="1:59" ht="24" customHeight="1">
      <c r="A6" s="483"/>
      <c r="O6" s="493"/>
      <c r="AA6" s="484"/>
      <c r="AC6" s="483"/>
      <c r="AQ6" s="493"/>
      <c r="BC6" s="484"/>
    </row>
    <row r="7" spans="1:59" ht="24" customHeight="1">
      <c r="A7" s="483"/>
      <c r="O7" s="493"/>
      <c r="AA7" s="484"/>
      <c r="AC7" s="483"/>
      <c r="AQ7" s="493"/>
      <c r="BC7" s="484"/>
      <c r="BG7" s="445"/>
    </row>
    <row r="8" spans="1:59" ht="24" customHeight="1">
      <c r="A8" s="483"/>
      <c r="O8" s="493"/>
      <c r="AA8" s="484"/>
      <c r="AC8" s="483"/>
      <c r="AQ8" s="493"/>
      <c r="BC8" s="484"/>
    </row>
    <row r="9" spans="1:59" ht="24" customHeight="1">
      <c r="A9" s="483"/>
      <c r="O9" s="493"/>
      <c r="AA9" s="484"/>
      <c r="AC9" s="483"/>
      <c r="AQ9" s="493"/>
      <c r="BC9" s="484"/>
    </row>
    <row r="10" spans="1:59" ht="24" customHeight="1">
      <c r="A10" s="483"/>
      <c r="O10" s="493"/>
      <c r="AA10" s="484"/>
      <c r="AC10" s="483"/>
      <c r="AQ10" s="493"/>
      <c r="BC10" s="484"/>
    </row>
    <row r="11" spans="1:59" ht="24" customHeight="1">
      <c r="A11" s="483"/>
      <c r="O11" s="493"/>
      <c r="AA11" s="484"/>
      <c r="AC11" s="483"/>
      <c r="AQ11" s="493"/>
      <c r="BC11" s="484"/>
    </row>
    <row r="12" spans="1:59" ht="24" customHeight="1" thickBot="1">
      <c r="A12" s="483"/>
      <c r="O12" s="493"/>
      <c r="AA12" s="484"/>
      <c r="AC12" s="483"/>
      <c r="AQ12" s="493"/>
      <c r="BC12" s="484"/>
    </row>
    <row r="13" spans="1:59" ht="16.899999999999999" customHeight="1" thickTop="1" thickBot="1">
      <c r="A13" s="483"/>
      <c r="I13" s="1389" t="s">
        <v>465</v>
      </c>
      <c r="J13" s="1390"/>
      <c r="K13" s="1390"/>
      <c r="L13" s="1390"/>
      <c r="M13" s="1390"/>
      <c r="N13" s="1391"/>
      <c r="O13" s="493"/>
      <c r="S13" s="1378" t="s">
        <v>466</v>
      </c>
      <c r="T13" s="1379"/>
      <c r="U13" s="1379"/>
      <c r="V13" s="1379"/>
      <c r="W13" s="1379"/>
      <c r="X13" s="1379"/>
      <c r="Y13" s="1379"/>
      <c r="Z13" s="1380"/>
      <c r="AA13" s="484"/>
      <c r="AC13" s="483"/>
      <c r="AK13" s="1392" t="s">
        <v>465</v>
      </c>
      <c r="AL13" s="1393"/>
      <c r="AM13" s="1393"/>
      <c r="AN13" s="1393"/>
      <c r="AO13" s="1393"/>
      <c r="AP13" s="1394"/>
      <c r="AQ13" s="493"/>
      <c r="AU13" s="1378" t="s">
        <v>466</v>
      </c>
      <c r="AV13" s="1379"/>
      <c r="AW13" s="1379"/>
      <c r="AX13" s="1379"/>
      <c r="AY13" s="1379"/>
      <c r="AZ13" s="1379"/>
      <c r="BA13" s="1379"/>
      <c r="BB13" s="1380"/>
      <c r="BC13" s="484"/>
    </row>
    <row r="14" spans="1:59" ht="16.149999999999999" customHeight="1" thickTop="1">
      <c r="A14" s="485"/>
      <c r="B14" s="436"/>
      <c r="C14" s="436"/>
      <c r="D14" s="436"/>
      <c r="E14" s="436"/>
      <c r="F14" s="436"/>
      <c r="G14" s="437"/>
      <c r="H14" s="437"/>
      <c r="I14" s="1360">
        <f ca="1">LED計算式!C61</f>
        <v>0</v>
      </c>
      <c r="J14" s="1361"/>
      <c r="K14" s="1361"/>
      <c r="L14" s="1361"/>
      <c r="M14" s="1361"/>
      <c r="N14" s="1362"/>
      <c r="O14" s="493"/>
      <c r="S14" s="1381" t="str">
        <f ca="1">IFERROR(S17/((LED計算式!C57+LED計算式!C58)-(LED計算式!D58+LED計算式!D57))/12,"0")</f>
        <v>0</v>
      </c>
      <c r="T14" s="1382"/>
      <c r="U14" s="1382"/>
      <c r="V14" s="1382"/>
      <c r="W14" s="1382"/>
      <c r="X14" s="1382"/>
      <c r="Y14" s="1382"/>
      <c r="Z14" s="1383"/>
      <c r="AA14" s="486"/>
      <c r="AC14" s="483"/>
      <c r="AD14" s="436"/>
      <c r="AE14" s="436"/>
      <c r="AF14" s="436"/>
      <c r="AG14" s="436"/>
      <c r="AH14" s="436"/>
      <c r="AI14" s="436"/>
      <c r="AJ14" s="437"/>
      <c r="AK14" s="1360">
        <f ca="1">LED計算式!H61</f>
        <v>0</v>
      </c>
      <c r="AL14" s="1361"/>
      <c r="AM14" s="1361"/>
      <c r="AN14" s="1361"/>
      <c r="AO14" s="1361"/>
      <c r="AP14" s="1362"/>
      <c r="AQ14" s="496"/>
      <c r="AR14" s="436"/>
      <c r="AS14" s="436"/>
      <c r="AT14" s="436"/>
      <c r="AU14" s="1381" t="str">
        <f ca="1">IFERROR(AU17/((LED計算式!H57+LED計算式!H58)-(LED計算式!I58+LED計算式!I57))/12,"0")</f>
        <v>0</v>
      </c>
      <c r="AV14" s="1382"/>
      <c r="AW14" s="1382"/>
      <c r="AX14" s="1382"/>
      <c r="AY14" s="1382"/>
      <c r="AZ14" s="1382"/>
      <c r="BA14" s="1382"/>
      <c r="BB14" s="1383"/>
      <c r="BC14" s="484"/>
    </row>
    <row r="15" spans="1:59" ht="16.149999999999999" customHeight="1" thickBot="1">
      <c r="A15" s="485"/>
      <c r="B15" s="436"/>
      <c r="C15" s="436"/>
      <c r="D15" s="436"/>
      <c r="E15" s="436"/>
      <c r="F15" s="436"/>
      <c r="G15" s="437"/>
      <c r="H15" s="437"/>
      <c r="I15" s="1389" t="s">
        <v>467</v>
      </c>
      <c r="J15" s="1390"/>
      <c r="K15" s="1390"/>
      <c r="L15" s="1390"/>
      <c r="M15" s="1390"/>
      <c r="N15" s="1391"/>
      <c r="O15" s="493"/>
      <c r="S15" s="1384"/>
      <c r="T15" s="1385"/>
      <c r="U15" s="1385"/>
      <c r="V15" s="1385"/>
      <c r="W15" s="1385"/>
      <c r="X15" s="1385"/>
      <c r="Y15" s="1385"/>
      <c r="Z15" s="1386"/>
      <c r="AA15" s="486"/>
      <c r="AC15" s="483"/>
      <c r="AD15" s="436"/>
      <c r="AE15" s="436"/>
      <c r="AF15" s="436"/>
      <c r="AG15" s="436"/>
      <c r="AH15" s="436"/>
      <c r="AI15" s="436"/>
      <c r="AJ15" s="437"/>
      <c r="AK15" s="1392" t="s">
        <v>467</v>
      </c>
      <c r="AL15" s="1393"/>
      <c r="AM15" s="1393"/>
      <c r="AN15" s="1393"/>
      <c r="AO15" s="1393"/>
      <c r="AP15" s="1394"/>
      <c r="AQ15" s="496"/>
      <c r="AR15" s="436"/>
      <c r="AS15" s="436"/>
      <c r="AT15" s="436"/>
      <c r="AU15" s="1384"/>
      <c r="AV15" s="1385"/>
      <c r="AW15" s="1385"/>
      <c r="AX15" s="1385"/>
      <c r="AY15" s="1385"/>
      <c r="AZ15" s="1385"/>
      <c r="BA15" s="1385"/>
      <c r="BB15" s="1386"/>
      <c r="BC15" s="484"/>
    </row>
    <row r="16" spans="1:59" ht="16.149999999999999" customHeight="1" thickTop="1" thickBot="1">
      <c r="A16" s="483"/>
      <c r="B16" s="1395"/>
      <c r="C16" s="1395"/>
      <c r="D16" s="1395"/>
      <c r="E16" s="1395"/>
      <c r="F16" s="1395"/>
      <c r="G16" s="1395"/>
      <c r="H16" s="444"/>
      <c r="I16" s="1360">
        <f>LED計算式!C62</f>
        <v>0</v>
      </c>
      <c r="J16" s="1361"/>
      <c r="K16" s="1361"/>
      <c r="L16" s="1361"/>
      <c r="M16" s="1361"/>
      <c r="N16" s="1362"/>
      <c r="O16" s="493"/>
      <c r="S16" s="1369" t="s">
        <v>468</v>
      </c>
      <c r="T16" s="1370"/>
      <c r="U16" s="1370"/>
      <c r="V16" s="1370"/>
      <c r="W16" s="1370"/>
      <c r="X16" s="1370"/>
      <c r="Y16" s="1370"/>
      <c r="Z16" s="1371"/>
      <c r="AA16" s="487"/>
      <c r="AC16" s="483"/>
      <c r="AD16" s="440"/>
      <c r="AE16" s="444"/>
      <c r="AK16" s="1360">
        <f>LED計算式!H62</f>
        <v>0</v>
      </c>
      <c r="AL16" s="1361"/>
      <c r="AM16" s="1361"/>
      <c r="AN16" s="1361"/>
      <c r="AO16" s="1361"/>
      <c r="AP16" s="1362"/>
      <c r="AQ16" s="493"/>
      <c r="AT16" s="444"/>
      <c r="AU16" s="1369" t="s">
        <v>468</v>
      </c>
      <c r="AV16" s="1370"/>
      <c r="AW16" s="1370"/>
      <c r="AX16" s="1370"/>
      <c r="AY16" s="1370"/>
      <c r="AZ16" s="1370"/>
      <c r="BA16" s="1370"/>
      <c r="BB16" s="1371"/>
      <c r="BC16" s="484"/>
    </row>
    <row r="17" spans="1:55" ht="16.149999999999999" customHeight="1" thickTop="1">
      <c r="A17" s="483"/>
      <c r="C17" s="443"/>
      <c r="D17" s="443"/>
      <c r="E17" s="443"/>
      <c r="F17" s="443"/>
      <c r="G17" s="443"/>
      <c r="H17" s="443"/>
      <c r="I17" s="1389" t="s">
        <v>469</v>
      </c>
      <c r="J17" s="1390"/>
      <c r="K17" s="1390"/>
      <c r="L17" s="1390"/>
      <c r="M17" s="1390"/>
      <c r="N17" s="1391"/>
      <c r="O17" s="494"/>
      <c r="P17" s="443"/>
      <c r="S17" s="1372">
        <f ca="1">☆入力!AO16</f>
        <v>0</v>
      </c>
      <c r="T17" s="1373"/>
      <c r="U17" s="1373"/>
      <c r="V17" s="1373"/>
      <c r="W17" s="1373"/>
      <c r="X17" s="1373"/>
      <c r="Y17" s="1373"/>
      <c r="Z17" s="1374"/>
      <c r="AA17" s="484"/>
      <c r="AC17" s="483"/>
      <c r="AF17" s="443"/>
      <c r="AG17" s="443"/>
      <c r="AH17" s="443"/>
      <c r="AI17" s="443"/>
      <c r="AJ17" s="443"/>
      <c r="AK17" s="1392" t="s">
        <v>469</v>
      </c>
      <c r="AL17" s="1393"/>
      <c r="AM17" s="1393"/>
      <c r="AN17" s="1393"/>
      <c r="AO17" s="1393"/>
      <c r="AP17" s="1394"/>
      <c r="AQ17" s="494"/>
      <c r="AR17" s="443"/>
      <c r="AS17" s="443"/>
      <c r="AT17" s="443"/>
      <c r="AU17" s="1372">
        <f ca="1">☆入力!AO17</f>
        <v>0</v>
      </c>
      <c r="AV17" s="1373"/>
      <c r="AW17" s="1373"/>
      <c r="AX17" s="1373"/>
      <c r="AY17" s="1373"/>
      <c r="AZ17" s="1373"/>
      <c r="BA17" s="1373"/>
      <c r="BB17" s="1374"/>
      <c r="BC17" s="484"/>
    </row>
    <row r="18" spans="1:55" ht="16.149999999999999" customHeight="1" thickBot="1">
      <c r="A18" s="483"/>
      <c r="C18" s="443"/>
      <c r="D18" s="443"/>
      <c r="E18" s="443"/>
      <c r="F18" s="443"/>
      <c r="G18" s="443"/>
      <c r="H18" s="443"/>
      <c r="I18" s="1360">
        <f ca="1">LED計算式!C63</f>
        <v>0</v>
      </c>
      <c r="J18" s="1361"/>
      <c r="K18" s="1361"/>
      <c r="L18" s="1361"/>
      <c r="M18" s="1361"/>
      <c r="N18" s="1362"/>
      <c r="O18" s="494"/>
      <c r="P18" s="443"/>
      <c r="S18" s="1375"/>
      <c r="T18" s="1376"/>
      <c r="U18" s="1376"/>
      <c r="V18" s="1376"/>
      <c r="W18" s="1376"/>
      <c r="X18" s="1376"/>
      <c r="Y18" s="1376"/>
      <c r="Z18" s="1377"/>
      <c r="AA18" s="484"/>
      <c r="AC18" s="483"/>
      <c r="AF18" s="443"/>
      <c r="AG18" s="443"/>
      <c r="AH18" s="443"/>
      <c r="AI18" s="443"/>
      <c r="AJ18" s="443"/>
      <c r="AK18" s="1360">
        <f ca="1">LED計算式!H63</f>
        <v>0</v>
      </c>
      <c r="AL18" s="1361"/>
      <c r="AM18" s="1361"/>
      <c r="AN18" s="1361"/>
      <c r="AO18" s="1361"/>
      <c r="AP18" s="1362"/>
      <c r="AQ18" s="494"/>
      <c r="AR18" s="443"/>
      <c r="AS18" s="443"/>
      <c r="AT18" s="443"/>
      <c r="AU18" s="1375"/>
      <c r="AV18" s="1376"/>
      <c r="AW18" s="1376"/>
      <c r="AX18" s="1376"/>
      <c r="AY18" s="1376"/>
      <c r="AZ18" s="1376"/>
      <c r="BA18" s="1376"/>
      <c r="BB18" s="1377"/>
      <c r="BC18" s="484"/>
    </row>
    <row r="19" spans="1:55" ht="9.6" customHeight="1" thickTop="1">
      <c r="A19" s="488"/>
      <c r="B19" s="489"/>
      <c r="C19" s="490"/>
      <c r="D19" s="490"/>
      <c r="E19" s="490"/>
      <c r="F19" s="490"/>
      <c r="G19" s="490"/>
      <c r="H19" s="490"/>
      <c r="I19" s="489"/>
      <c r="J19" s="489"/>
      <c r="K19" s="489"/>
      <c r="L19" s="489"/>
      <c r="M19" s="489"/>
      <c r="N19" s="489"/>
      <c r="O19" s="495"/>
      <c r="P19" s="490"/>
      <c r="Q19" s="490"/>
      <c r="R19" s="490"/>
      <c r="S19" s="490"/>
      <c r="T19" s="490"/>
      <c r="U19" s="491"/>
      <c r="V19" s="491"/>
      <c r="W19" s="491"/>
      <c r="X19" s="491"/>
      <c r="Y19" s="491"/>
      <c r="Z19" s="491"/>
      <c r="AA19" s="492"/>
      <c r="AC19" s="488"/>
      <c r="AD19" s="489"/>
      <c r="AE19" s="489"/>
      <c r="AF19" s="490"/>
      <c r="AG19" s="490"/>
      <c r="AH19" s="490"/>
      <c r="AI19" s="490"/>
      <c r="AJ19" s="490"/>
      <c r="AK19" s="490"/>
      <c r="AL19" s="490"/>
      <c r="AM19" s="490"/>
      <c r="AN19" s="490"/>
      <c r="AO19" s="490"/>
      <c r="AP19" s="490"/>
      <c r="AQ19" s="495"/>
      <c r="AR19" s="490"/>
      <c r="AS19" s="490"/>
      <c r="AT19" s="490"/>
      <c r="AU19" s="490"/>
      <c r="AV19" s="490"/>
      <c r="AW19" s="490"/>
      <c r="AX19" s="490"/>
      <c r="AY19" s="490"/>
      <c r="AZ19" s="490"/>
      <c r="BA19" s="490"/>
      <c r="BB19" s="490"/>
      <c r="BC19" s="492"/>
    </row>
    <row r="20" spans="1:55" ht="22.15" customHeight="1">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AD20" s="443"/>
      <c r="AE20" s="443"/>
      <c r="AF20" s="443"/>
      <c r="AG20" s="443"/>
      <c r="AH20" s="443"/>
      <c r="AI20" s="443"/>
      <c r="AJ20" s="443"/>
      <c r="AK20" s="443"/>
      <c r="AL20" s="443"/>
      <c r="AM20" s="443"/>
      <c r="AN20" s="443"/>
      <c r="AO20" s="443"/>
      <c r="AP20" s="443"/>
      <c r="AQ20" s="443"/>
      <c r="AR20" s="443"/>
      <c r="AS20" s="443"/>
      <c r="AT20" s="443"/>
      <c r="AU20" s="443"/>
      <c r="AV20" s="443"/>
      <c r="AW20" s="443"/>
      <c r="AX20" s="443"/>
      <c r="AY20" s="443"/>
      <c r="AZ20" s="443"/>
    </row>
    <row r="21" spans="1:55" s="66" customFormat="1" ht="22.15" customHeight="1">
      <c r="A21" s="1421">
        <f>LED計算式!L43</f>
        <v>0</v>
      </c>
      <c r="B21" s="1422"/>
      <c r="C21" s="1422"/>
      <c r="D21" s="1422"/>
      <c r="E21" s="1422"/>
      <c r="F21" s="1422"/>
      <c r="G21" s="1422"/>
      <c r="H21" s="1422"/>
      <c r="I21" s="1422"/>
      <c r="J21" s="1422"/>
      <c r="K21" s="1422"/>
      <c r="L21" s="1422"/>
      <c r="M21" s="1422"/>
      <c r="N21" s="1422"/>
      <c r="O21" s="1422"/>
      <c r="P21" s="1422"/>
      <c r="Q21" s="1422"/>
      <c r="R21" s="1422"/>
      <c r="S21" s="1422"/>
      <c r="T21" s="1422"/>
      <c r="U21" s="1422"/>
      <c r="V21" s="1422"/>
      <c r="W21" s="1422"/>
      <c r="X21" s="1422"/>
      <c r="Y21" s="1422"/>
      <c r="Z21" s="1422"/>
      <c r="AA21" s="1423"/>
      <c r="AC21" s="1424">
        <f>LED計算式!Q43</f>
        <v>0</v>
      </c>
      <c r="AD21" s="1425"/>
      <c r="AE21" s="1425"/>
      <c r="AF21" s="1425"/>
      <c r="AG21" s="1425"/>
      <c r="AH21" s="1425"/>
      <c r="AI21" s="1425"/>
      <c r="AJ21" s="1425"/>
      <c r="AK21" s="1425"/>
      <c r="AL21" s="1425"/>
      <c r="AM21" s="1425"/>
      <c r="AN21" s="1425"/>
      <c r="AO21" s="1425"/>
      <c r="AP21" s="1425"/>
      <c r="AQ21" s="1425"/>
      <c r="AR21" s="1425"/>
      <c r="AS21" s="1425"/>
      <c r="AT21" s="1425"/>
      <c r="AU21" s="1425"/>
      <c r="AV21" s="1425"/>
      <c r="AW21" s="1425"/>
      <c r="AX21" s="1425"/>
      <c r="AY21" s="1425"/>
      <c r="AZ21" s="1425"/>
      <c r="BA21" s="1425"/>
      <c r="BB21" s="1425"/>
      <c r="BC21" s="1426"/>
    </row>
    <row r="22" spans="1:55" ht="22.15" customHeight="1">
      <c r="A22" s="1427" t="s">
        <v>463</v>
      </c>
      <c r="B22" s="1428"/>
      <c r="C22" s="1428"/>
      <c r="D22" s="1428"/>
      <c r="E22" s="1428"/>
      <c r="F22" s="1428"/>
      <c r="G22" s="1428"/>
      <c r="H22" s="1428"/>
      <c r="I22" s="1428"/>
      <c r="J22" s="1428"/>
      <c r="K22" s="1428"/>
      <c r="L22" s="1428"/>
      <c r="M22" s="1428"/>
      <c r="N22" s="1428"/>
      <c r="O22" s="1429"/>
      <c r="P22" s="1430" t="s">
        <v>464</v>
      </c>
      <c r="Q22" s="1428"/>
      <c r="R22" s="1428"/>
      <c r="S22" s="1428"/>
      <c r="T22" s="1428"/>
      <c r="U22" s="1428"/>
      <c r="V22" s="1428"/>
      <c r="W22" s="1428"/>
      <c r="X22" s="1428"/>
      <c r="Y22" s="1428"/>
      <c r="Z22" s="1428"/>
      <c r="AA22" s="1431"/>
      <c r="AC22" s="1432" t="s">
        <v>463</v>
      </c>
      <c r="AD22" s="1433"/>
      <c r="AE22" s="1433"/>
      <c r="AF22" s="1433"/>
      <c r="AG22" s="1433"/>
      <c r="AH22" s="1433"/>
      <c r="AI22" s="1433"/>
      <c r="AJ22" s="1433"/>
      <c r="AK22" s="1433"/>
      <c r="AL22" s="1433"/>
      <c r="AM22" s="1433"/>
      <c r="AN22" s="1433"/>
      <c r="AO22" s="1433"/>
      <c r="AP22" s="1433"/>
      <c r="AQ22" s="1434"/>
      <c r="AR22" s="1435" t="s">
        <v>464</v>
      </c>
      <c r="AS22" s="1433"/>
      <c r="AT22" s="1433"/>
      <c r="AU22" s="1433"/>
      <c r="AV22" s="1433"/>
      <c r="AW22" s="1433"/>
      <c r="AX22" s="1433"/>
      <c r="AY22" s="1433"/>
      <c r="AZ22" s="1433"/>
      <c r="BA22" s="1433"/>
      <c r="BB22" s="1433"/>
      <c r="BC22" s="1436"/>
    </row>
    <row r="23" spans="1:55" ht="24" customHeight="1">
      <c r="A23" s="483"/>
      <c r="O23" s="493"/>
      <c r="AA23" s="484"/>
      <c r="AC23" s="483"/>
      <c r="AQ23" s="493"/>
      <c r="BC23" s="484"/>
    </row>
    <row r="24" spans="1:55" ht="24" customHeight="1">
      <c r="A24" s="483"/>
      <c r="O24" s="493"/>
      <c r="AA24" s="484"/>
      <c r="AC24" s="483"/>
      <c r="AQ24" s="493"/>
      <c r="BC24" s="484"/>
    </row>
    <row r="25" spans="1:55" ht="24" customHeight="1">
      <c r="A25" s="483"/>
      <c r="O25" s="493"/>
      <c r="AA25" s="484"/>
      <c r="AC25" s="483"/>
      <c r="AQ25" s="493"/>
      <c r="BC25" s="484"/>
    </row>
    <row r="26" spans="1:55" ht="24" customHeight="1">
      <c r="A26" s="483"/>
      <c r="O26" s="493"/>
      <c r="AA26" s="484"/>
      <c r="AC26" s="483"/>
      <c r="AQ26" s="493"/>
      <c r="BC26" s="484"/>
    </row>
    <row r="27" spans="1:55" ht="24" customHeight="1">
      <c r="A27" s="483"/>
      <c r="O27" s="493"/>
      <c r="AA27" s="484"/>
      <c r="AC27" s="483"/>
      <c r="AQ27" s="493"/>
      <c r="BC27" s="484"/>
    </row>
    <row r="28" spans="1:55" ht="24" customHeight="1">
      <c r="A28" s="483"/>
      <c r="O28" s="493"/>
      <c r="AA28" s="484"/>
      <c r="AC28" s="483"/>
      <c r="AQ28" s="493"/>
      <c r="BC28" s="484"/>
    </row>
    <row r="29" spans="1:55" ht="24" customHeight="1">
      <c r="A29" s="483"/>
      <c r="O29" s="493"/>
      <c r="AA29" s="484"/>
      <c r="AC29" s="483"/>
      <c r="AQ29" s="493"/>
      <c r="BC29" s="484"/>
    </row>
    <row r="30" spans="1:55" ht="35.65" customHeight="1" thickBot="1">
      <c r="A30" s="483"/>
      <c r="O30" s="493"/>
      <c r="AA30" s="484"/>
      <c r="AC30" s="483"/>
      <c r="AQ30" s="493"/>
      <c r="BC30" s="484"/>
    </row>
    <row r="31" spans="1:55" ht="16.899999999999999" customHeight="1" thickTop="1" thickBot="1">
      <c r="A31" s="485"/>
      <c r="B31" s="436"/>
      <c r="C31" s="436"/>
      <c r="D31" s="436"/>
      <c r="E31" s="436"/>
      <c r="F31" s="436"/>
      <c r="G31" s="437"/>
      <c r="H31" s="437"/>
      <c r="I31" s="1363" t="s">
        <v>465</v>
      </c>
      <c r="J31" s="1364"/>
      <c r="K31" s="1364"/>
      <c r="L31" s="1364"/>
      <c r="M31" s="1364"/>
      <c r="N31" s="1365"/>
      <c r="O31" s="496"/>
      <c r="P31" s="436"/>
      <c r="Q31" s="436"/>
      <c r="R31" s="436"/>
      <c r="S31" s="1378" t="s">
        <v>466</v>
      </c>
      <c r="T31" s="1379"/>
      <c r="U31" s="1379"/>
      <c r="V31" s="1379"/>
      <c r="W31" s="1379"/>
      <c r="X31" s="1379"/>
      <c r="Y31" s="1379"/>
      <c r="Z31" s="1380"/>
      <c r="AA31" s="486"/>
      <c r="AC31" s="483"/>
      <c r="AD31" s="436"/>
      <c r="AE31" s="436"/>
      <c r="AF31" s="436"/>
      <c r="AG31" s="436"/>
      <c r="AH31" s="436"/>
      <c r="AI31" s="436"/>
      <c r="AJ31" s="437"/>
      <c r="AK31" s="1366" t="s">
        <v>465</v>
      </c>
      <c r="AL31" s="1367"/>
      <c r="AM31" s="1367"/>
      <c r="AN31" s="1367"/>
      <c r="AO31" s="1367"/>
      <c r="AP31" s="1368"/>
      <c r="AQ31" s="496"/>
      <c r="AR31" s="436"/>
      <c r="AS31" s="436"/>
      <c r="AT31" s="436"/>
      <c r="AU31" s="1378" t="s">
        <v>466</v>
      </c>
      <c r="AV31" s="1379"/>
      <c r="AW31" s="1379"/>
      <c r="AX31" s="1379"/>
      <c r="AY31" s="1379"/>
      <c r="AZ31" s="1379"/>
      <c r="BA31" s="1379"/>
      <c r="BB31" s="1380"/>
      <c r="BC31" s="486"/>
    </row>
    <row r="32" spans="1:55" ht="16.899999999999999" customHeight="1" thickTop="1">
      <c r="A32" s="485"/>
      <c r="B32" s="436"/>
      <c r="C32" s="436"/>
      <c r="D32" s="436"/>
      <c r="E32" s="436"/>
      <c r="F32" s="436"/>
      <c r="G32" s="437"/>
      <c r="H32" s="437"/>
      <c r="I32" s="1360">
        <f ca="1">LED計算式!M61</f>
        <v>0</v>
      </c>
      <c r="J32" s="1361"/>
      <c r="K32" s="1361"/>
      <c r="L32" s="1361"/>
      <c r="M32" s="1361"/>
      <c r="N32" s="1362"/>
      <c r="O32" s="496"/>
      <c r="P32" s="436"/>
      <c r="Q32" s="436"/>
      <c r="R32" s="436"/>
      <c r="S32" s="1381" t="str">
        <f ca="1">IFERROR(S35/((LED計算式!M57+LED計算式!M58)-(LED計算式!N58+LED計算式!N57))/12,"0")</f>
        <v>0</v>
      </c>
      <c r="T32" s="1382"/>
      <c r="U32" s="1382"/>
      <c r="V32" s="1382"/>
      <c r="W32" s="1382"/>
      <c r="X32" s="1382"/>
      <c r="Y32" s="1382"/>
      <c r="Z32" s="1383"/>
      <c r="AA32" s="486"/>
      <c r="AC32" s="483"/>
      <c r="AD32" s="436"/>
      <c r="AE32" s="436"/>
      <c r="AF32" s="436"/>
      <c r="AG32" s="436"/>
      <c r="AH32" s="436"/>
      <c r="AI32" s="436"/>
      <c r="AJ32" s="437"/>
      <c r="AK32" s="1360">
        <f ca="1">LED計算式!R61</f>
        <v>0</v>
      </c>
      <c r="AL32" s="1361"/>
      <c r="AM32" s="1361"/>
      <c r="AN32" s="1361"/>
      <c r="AO32" s="1361"/>
      <c r="AP32" s="1362"/>
      <c r="AQ32" s="496"/>
      <c r="AR32" s="436"/>
      <c r="AS32" s="436"/>
      <c r="AT32" s="436"/>
      <c r="AU32" s="1381" t="str">
        <f ca="1">IFERROR(AU35/((LED計算式!R57+LED計算式!R58)-(LED計算式!S58+LED計算式!S57))/12,"0")</f>
        <v>0</v>
      </c>
      <c r="AV32" s="1382"/>
      <c r="AW32" s="1382"/>
      <c r="AX32" s="1382"/>
      <c r="AY32" s="1382"/>
      <c r="AZ32" s="1382"/>
      <c r="BA32" s="1382"/>
      <c r="BB32" s="1383"/>
      <c r="BC32" s="486"/>
    </row>
    <row r="33" spans="1:55" ht="16.899999999999999" customHeight="1" thickBot="1">
      <c r="A33" s="497"/>
      <c r="B33" s="444"/>
      <c r="I33" s="1363" t="s">
        <v>467</v>
      </c>
      <c r="J33" s="1364"/>
      <c r="K33" s="1364"/>
      <c r="L33" s="1364"/>
      <c r="M33" s="1364"/>
      <c r="N33" s="1365"/>
      <c r="O33" s="493"/>
      <c r="Q33" s="444"/>
      <c r="R33" s="444"/>
      <c r="S33" s="1384"/>
      <c r="T33" s="1385"/>
      <c r="U33" s="1385"/>
      <c r="V33" s="1385"/>
      <c r="W33" s="1385"/>
      <c r="X33" s="1385"/>
      <c r="Y33" s="1385"/>
      <c r="Z33" s="1386"/>
      <c r="AA33" s="487"/>
      <c r="AC33" s="483"/>
      <c r="AD33" s="440"/>
      <c r="AE33" s="444"/>
      <c r="AK33" s="1366" t="s">
        <v>467</v>
      </c>
      <c r="AL33" s="1367"/>
      <c r="AM33" s="1367"/>
      <c r="AN33" s="1367"/>
      <c r="AO33" s="1367"/>
      <c r="AP33" s="1368"/>
      <c r="AQ33" s="493"/>
      <c r="AT33" s="444"/>
      <c r="AU33" s="1384"/>
      <c r="AV33" s="1385"/>
      <c r="AW33" s="1385"/>
      <c r="AX33" s="1385"/>
      <c r="AY33" s="1385"/>
      <c r="AZ33" s="1385"/>
      <c r="BA33" s="1385"/>
      <c r="BB33" s="1386"/>
      <c r="BC33" s="487"/>
    </row>
    <row r="34" spans="1:55" ht="16.899999999999999" customHeight="1" thickTop="1" thickBot="1">
      <c r="A34" s="483"/>
      <c r="I34" s="1360">
        <f>LED計算式!M62</f>
        <v>0</v>
      </c>
      <c r="J34" s="1361"/>
      <c r="K34" s="1361"/>
      <c r="L34" s="1361"/>
      <c r="M34" s="1361"/>
      <c r="N34" s="1362"/>
      <c r="O34" s="493"/>
      <c r="S34" s="1369" t="s">
        <v>468</v>
      </c>
      <c r="T34" s="1370"/>
      <c r="U34" s="1370"/>
      <c r="V34" s="1370"/>
      <c r="W34" s="1370"/>
      <c r="X34" s="1370"/>
      <c r="Y34" s="1370"/>
      <c r="Z34" s="1371"/>
      <c r="AA34" s="484"/>
      <c r="AC34" s="483"/>
      <c r="AK34" s="1360">
        <f>LED計算式!R62</f>
        <v>0</v>
      </c>
      <c r="AL34" s="1361"/>
      <c r="AM34" s="1361"/>
      <c r="AN34" s="1361"/>
      <c r="AO34" s="1361"/>
      <c r="AP34" s="1362"/>
      <c r="AQ34" s="493"/>
      <c r="AU34" s="1369" t="s">
        <v>468</v>
      </c>
      <c r="AV34" s="1370"/>
      <c r="AW34" s="1370"/>
      <c r="AX34" s="1370"/>
      <c r="AY34" s="1370"/>
      <c r="AZ34" s="1370"/>
      <c r="BA34" s="1370"/>
      <c r="BB34" s="1371"/>
      <c r="BC34" s="484"/>
    </row>
    <row r="35" spans="1:55" ht="16.899999999999999" customHeight="1" thickTop="1">
      <c r="A35" s="483"/>
      <c r="I35" s="1363" t="s">
        <v>469</v>
      </c>
      <c r="J35" s="1364"/>
      <c r="K35" s="1364"/>
      <c r="L35" s="1364"/>
      <c r="M35" s="1364"/>
      <c r="N35" s="1365"/>
      <c r="O35" s="493"/>
      <c r="S35" s="1372">
        <f ca="1">☆入力!AO18</f>
        <v>0</v>
      </c>
      <c r="T35" s="1373"/>
      <c r="U35" s="1373"/>
      <c r="V35" s="1373"/>
      <c r="W35" s="1373"/>
      <c r="X35" s="1373"/>
      <c r="Y35" s="1373"/>
      <c r="Z35" s="1374"/>
      <c r="AA35" s="484"/>
      <c r="AC35" s="483"/>
      <c r="AK35" s="1366" t="s">
        <v>469</v>
      </c>
      <c r="AL35" s="1367"/>
      <c r="AM35" s="1367"/>
      <c r="AN35" s="1367"/>
      <c r="AO35" s="1367"/>
      <c r="AP35" s="1368"/>
      <c r="AQ35" s="493"/>
      <c r="AU35" s="1372">
        <f ca="1">☆入力!AO19</f>
        <v>0</v>
      </c>
      <c r="AV35" s="1373"/>
      <c r="AW35" s="1373"/>
      <c r="AX35" s="1373"/>
      <c r="AY35" s="1373"/>
      <c r="AZ35" s="1373"/>
      <c r="BA35" s="1373"/>
      <c r="BB35" s="1374"/>
      <c r="BC35" s="484"/>
    </row>
    <row r="36" spans="1:55" ht="16.899999999999999" customHeight="1" thickBot="1">
      <c r="A36" s="483"/>
      <c r="I36" s="1360">
        <f ca="1">LED計算式!M63</f>
        <v>0</v>
      </c>
      <c r="J36" s="1361"/>
      <c r="K36" s="1361"/>
      <c r="L36" s="1361"/>
      <c r="M36" s="1361"/>
      <c r="N36" s="1362"/>
      <c r="O36" s="493"/>
      <c r="S36" s="1375"/>
      <c r="T36" s="1376"/>
      <c r="U36" s="1376"/>
      <c r="V36" s="1376"/>
      <c r="W36" s="1376"/>
      <c r="X36" s="1376"/>
      <c r="Y36" s="1376"/>
      <c r="Z36" s="1377"/>
      <c r="AA36" s="484"/>
      <c r="AC36" s="483"/>
      <c r="AK36" s="1360">
        <f ca="1">LED計算式!R63</f>
        <v>0</v>
      </c>
      <c r="AL36" s="1361"/>
      <c r="AM36" s="1361"/>
      <c r="AN36" s="1361"/>
      <c r="AO36" s="1361"/>
      <c r="AP36" s="1362"/>
      <c r="AQ36" s="493"/>
      <c r="AU36" s="1375"/>
      <c r="AV36" s="1376"/>
      <c r="AW36" s="1376"/>
      <c r="AX36" s="1376"/>
      <c r="AY36" s="1376"/>
      <c r="AZ36" s="1376"/>
      <c r="BA36" s="1376"/>
      <c r="BB36" s="1377"/>
      <c r="BC36" s="484"/>
    </row>
    <row r="37" spans="1:55" ht="9.6" customHeight="1" thickTop="1">
      <c r="A37" s="488"/>
      <c r="B37" s="489"/>
      <c r="C37" s="489"/>
      <c r="D37" s="489"/>
      <c r="E37" s="489"/>
      <c r="F37" s="489"/>
      <c r="G37" s="489"/>
      <c r="H37" s="489"/>
      <c r="I37" s="489"/>
      <c r="J37" s="489"/>
      <c r="K37" s="489"/>
      <c r="L37" s="489"/>
      <c r="M37" s="489"/>
      <c r="N37" s="489"/>
      <c r="O37" s="498"/>
      <c r="P37" s="489"/>
      <c r="Q37" s="489"/>
      <c r="R37" s="489"/>
      <c r="S37" s="489"/>
      <c r="T37" s="489"/>
      <c r="U37" s="489"/>
      <c r="V37" s="489"/>
      <c r="W37" s="489"/>
      <c r="X37" s="489"/>
      <c r="Y37" s="489"/>
      <c r="Z37" s="489"/>
      <c r="AA37" s="492"/>
      <c r="AC37" s="488"/>
      <c r="AD37" s="489"/>
      <c r="AE37" s="489"/>
      <c r="AF37" s="489"/>
      <c r="AG37" s="489"/>
      <c r="AH37" s="489"/>
      <c r="AI37" s="489"/>
      <c r="AJ37" s="489"/>
      <c r="AK37" s="489"/>
      <c r="AL37" s="489"/>
      <c r="AM37" s="489"/>
      <c r="AN37" s="489"/>
      <c r="AO37" s="489"/>
      <c r="AP37" s="489"/>
      <c r="AQ37" s="498"/>
      <c r="AR37" s="489"/>
      <c r="AS37" s="489"/>
      <c r="AT37" s="489"/>
      <c r="AU37" s="489"/>
      <c r="AV37" s="489"/>
      <c r="AW37" s="489"/>
      <c r="AX37" s="489"/>
      <c r="AY37" s="489"/>
      <c r="AZ37" s="489"/>
      <c r="BA37" s="489"/>
      <c r="BB37" s="489"/>
      <c r="BC37" s="492"/>
    </row>
  </sheetData>
  <mergeCells count="54">
    <mergeCell ref="I34:N34"/>
    <mergeCell ref="S34:Z34"/>
    <mergeCell ref="AK34:AP34"/>
    <mergeCell ref="AU34:BB34"/>
    <mergeCell ref="I35:N35"/>
    <mergeCell ref="S35:Z36"/>
    <mergeCell ref="AK35:AP35"/>
    <mergeCell ref="AU35:BB36"/>
    <mergeCell ref="I36:N36"/>
    <mergeCell ref="AK36:AP36"/>
    <mergeCell ref="I31:N31"/>
    <mergeCell ref="S31:Z31"/>
    <mergeCell ref="AK31:AP31"/>
    <mergeCell ref="AU31:BB31"/>
    <mergeCell ref="I32:N32"/>
    <mergeCell ref="S32:Z33"/>
    <mergeCell ref="AK32:AP32"/>
    <mergeCell ref="AU32:BB33"/>
    <mergeCell ref="I33:N33"/>
    <mergeCell ref="AK33:AP33"/>
    <mergeCell ref="A21:AA21"/>
    <mergeCell ref="AC21:BC21"/>
    <mergeCell ref="A22:O22"/>
    <mergeCell ref="P22:AA22"/>
    <mergeCell ref="AC22:AQ22"/>
    <mergeCell ref="AR22:BC22"/>
    <mergeCell ref="B16:G16"/>
    <mergeCell ref="I16:N16"/>
    <mergeCell ref="S16:Z16"/>
    <mergeCell ref="AK16:AP16"/>
    <mergeCell ref="AU16:BB16"/>
    <mergeCell ref="I17:N17"/>
    <mergeCell ref="S17:Z18"/>
    <mergeCell ref="AK17:AP17"/>
    <mergeCell ref="AU17:BB18"/>
    <mergeCell ref="I18:N18"/>
    <mergeCell ref="AK18:AP18"/>
    <mergeCell ref="I13:N13"/>
    <mergeCell ref="S13:Z13"/>
    <mergeCell ref="AK13:AP13"/>
    <mergeCell ref="AU13:BB13"/>
    <mergeCell ref="I14:N14"/>
    <mergeCell ref="S14:Z15"/>
    <mergeCell ref="AK14:AP14"/>
    <mergeCell ref="AU14:BB15"/>
    <mergeCell ref="I15:N15"/>
    <mergeCell ref="AK15:AP15"/>
    <mergeCell ref="A1:BC1"/>
    <mergeCell ref="A3:AA3"/>
    <mergeCell ref="AC3:BC3"/>
    <mergeCell ref="A4:O4"/>
    <mergeCell ref="P4:AA4"/>
    <mergeCell ref="AC4:AQ4"/>
    <mergeCell ref="AR4:BC4"/>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75" defaultRowHeight="18.75"/>
  <cols>
    <col min="1" max="1" width="1.25" style="4" customWidth="1"/>
    <col min="2" max="15" width="8.75" style="4"/>
    <col min="16" max="16" width="1.25" style="4" customWidth="1"/>
    <col min="17" max="16384" width="8.75" style="4"/>
  </cols>
  <sheetData>
    <row r="1" spans="1:16" ht="19.5" thickTop="1">
      <c r="A1" s="1437" t="s">
        <v>470</v>
      </c>
      <c r="B1" s="1438"/>
      <c r="C1" s="1438"/>
      <c r="D1" s="1438"/>
      <c r="E1" s="1438"/>
      <c r="F1" s="1438"/>
      <c r="G1" s="1438"/>
      <c r="H1" s="1438"/>
      <c r="I1" s="1438"/>
      <c r="J1" s="1438"/>
      <c r="K1" s="1438"/>
      <c r="L1" s="1438"/>
      <c r="M1" s="1438"/>
      <c r="N1" s="1438"/>
      <c r="O1" s="1438"/>
      <c r="P1" s="1439"/>
    </row>
    <row r="2" spans="1:16">
      <c r="A2" s="1440"/>
      <c r="B2" s="1441"/>
      <c r="C2" s="1441"/>
      <c r="D2" s="1441"/>
      <c r="E2" s="1441"/>
      <c r="F2" s="1441"/>
      <c r="G2" s="1441"/>
      <c r="H2" s="1441"/>
      <c r="I2" s="1441"/>
      <c r="J2" s="1441"/>
      <c r="K2" s="1441"/>
      <c r="L2" s="1441"/>
      <c r="M2" s="1441"/>
      <c r="N2" s="1441"/>
      <c r="O2" s="1441"/>
      <c r="P2" s="1442"/>
    </row>
    <row r="3" spans="1:16">
      <c r="A3" s="726"/>
      <c r="P3" s="727"/>
    </row>
    <row r="4" spans="1:16">
      <c r="A4" s="726"/>
      <c r="P4" s="727"/>
    </row>
    <row r="5" spans="1:16">
      <c r="A5" s="726"/>
      <c r="P5" s="727"/>
    </row>
    <row r="6" spans="1:16">
      <c r="A6" s="726"/>
      <c r="P6" s="727"/>
    </row>
    <row r="7" spans="1:16">
      <c r="A7" s="726"/>
      <c r="P7" s="727"/>
    </row>
    <row r="8" spans="1:16">
      <c r="A8" s="726"/>
      <c r="P8" s="727"/>
    </row>
    <row r="9" spans="1:16">
      <c r="A9" s="726"/>
      <c r="P9" s="727"/>
    </row>
    <row r="10" spans="1:16">
      <c r="A10" s="726"/>
      <c r="P10" s="727"/>
    </row>
    <row r="11" spans="1:16">
      <c r="A11" s="726"/>
      <c r="P11" s="727"/>
    </row>
    <row r="12" spans="1:16">
      <c r="A12" s="726"/>
      <c r="P12" s="727"/>
    </row>
    <row r="13" spans="1:16">
      <c r="A13" s="726"/>
      <c r="P13" s="727"/>
    </row>
    <row r="14" spans="1:16">
      <c r="A14" s="726"/>
      <c r="P14" s="727"/>
    </row>
    <row r="15" spans="1:16">
      <c r="A15" s="726"/>
      <c r="P15" s="727"/>
    </row>
    <row r="16" spans="1:16">
      <c r="A16" s="726"/>
      <c r="P16" s="727"/>
    </row>
    <row r="17" spans="1:16">
      <c r="A17" s="726"/>
      <c r="P17" s="727"/>
    </row>
    <row r="18" spans="1:16">
      <c r="A18" s="726"/>
      <c r="P18" s="727"/>
    </row>
    <row r="19" spans="1:16">
      <c r="A19" s="726"/>
      <c r="P19" s="727"/>
    </row>
    <row r="20" spans="1:16">
      <c r="A20" s="726"/>
      <c r="B20" s="1443" t="s">
        <v>471</v>
      </c>
      <c r="C20" s="1443"/>
      <c r="D20" s="1443"/>
      <c r="E20" s="1443"/>
      <c r="F20" s="1443"/>
      <c r="G20" s="1443"/>
      <c r="P20" s="727"/>
    </row>
    <row r="21" spans="1:16">
      <c r="A21" s="726"/>
      <c r="B21" s="1446" t="s">
        <v>472</v>
      </c>
      <c r="C21" s="1446"/>
      <c r="D21" s="1446"/>
      <c r="E21" s="1446"/>
      <c r="F21" s="1444">
        <f>LED計算式!AJ2*120</f>
        <v>0</v>
      </c>
      <c r="G21" s="1444"/>
      <c r="P21" s="727"/>
    </row>
    <row r="22" spans="1:16">
      <c r="A22" s="726"/>
      <c r="B22" s="1446"/>
      <c r="C22" s="1446"/>
      <c r="D22" s="1446"/>
      <c r="E22" s="1446"/>
      <c r="F22" s="1444"/>
      <c r="G22" s="1444"/>
      <c r="P22" s="727"/>
    </row>
    <row r="23" spans="1:16">
      <c r="A23" s="726"/>
      <c r="B23" s="1446" t="s">
        <v>473</v>
      </c>
      <c r="C23" s="1446"/>
      <c r="D23" s="1446"/>
      <c r="E23" s="1446"/>
      <c r="F23" s="1444">
        <f>LED計算式!AK2*120</f>
        <v>0</v>
      </c>
      <c r="G23" s="1444"/>
      <c r="P23" s="727"/>
    </row>
    <row r="24" spans="1:16">
      <c r="A24" s="726"/>
      <c r="B24" s="1446"/>
      <c r="C24" s="1446"/>
      <c r="D24" s="1446"/>
      <c r="E24" s="1446"/>
      <c r="F24" s="1444"/>
      <c r="G24" s="1444"/>
      <c r="P24" s="727"/>
    </row>
    <row r="25" spans="1:16">
      <c r="A25" s="726"/>
      <c r="B25" s="1446" t="s">
        <v>474</v>
      </c>
      <c r="C25" s="1446"/>
      <c r="D25" s="1446"/>
      <c r="E25" s="1446"/>
      <c r="F25" s="1445">
        <f>F23-F21</f>
        <v>0</v>
      </c>
      <c r="G25" s="1445"/>
      <c r="P25" s="727"/>
    </row>
    <row r="26" spans="1:16">
      <c r="A26" s="726"/>
      <c r="B26" s="1446"/>
      <c r="C26" s="1446"/>
      <c r="D26" s="1446"/>
      <c r="E26" s="1446"/>
      <c r="F26" s="1445"/>
      <c r="G26" s="1445"/>
      <c r="P26" s="727"/>
    </row>
    <row r="27" spans="1:16" ht="19.5" thickBot="1">
      <c r="A27" s="728"/>
      <c r="B27" s="729"/>
      <c r="C27" s="729"/>
      <c r="D27" s="729"/>
      <c r="E27" s="729"/>
      <c r="F27" s="729"/>
      <c r="G27" s="729"/>
      <c r="H27" s="729"/>
      <c r="I27" s="729"/>
      <c r="J27" s="729"/>
      <c r="K27" s="729"/>
      <c r="L27" s="729"/>
      <c r="M27" s="729"/>
      <c r="N27" s="729"/>
      <c r="O27" s="729"/>
      <c r="P27" s="730"/>
    </row>
    <row r="28" spans="1:16" ht="19.5"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topLeftCell="D3" zoomScale="70" zoomScaleNormal="70" zoomScaleSheetLayoutView="70" workbookViewId="0">
      <selection activeCell="A45" sqref="A45"/>
    </sheetView>
  </sheetViews>
  <sheetFormatPr defaultColWidth="15.25" defaultRowHeight="18.75" outlineLevelRow="1"/>
  <cols>
    <col min="1" max="1" width="15.25" style="5"/>
    <col min="2" max="7" width="15.25" style="4"/>
    <col min="8" max="8" width="15.25" style="5"/>
    <col min="9" max="14" width="15.25" style="4"/>
    <col min="15" max="15" width="15.25" style="5"/>
    <col min="16" max="21" width="15.25" style="4"/>
    <col min="22" max="22" width="15.25" style="5"/>
    <col min="23" max="28" width="15.25" style="4"/>
    <col min="29" max="29" width="15.25" style="5"/>
    <col min="30" max="16384" width="15.25" style="4"/>
  </cols>
  <sheetData>
    <row r="1" spans="1:32" ht="17.649999999999999" customHeight="1">
      <c r="A1" s="1447" t="s">
        <v>475</v>
      </c>
      <c r="B1" s="1447"/>
      <c r="C1" s="1447"/>
      <c r="D1" s="1447"/>
      <c r="E1" s="1447"/>
      <c r="F1" s="1447"/>
      <c r="G1" s="1447"/>
      <c r="H1" s="1447"/>
      <c r="I1" s="1447" t="s">
        <v>476</v>
      </c>
      <c r="J1" s="1447"/>
      <c r="K1" s="1447"/>
      <c r="L1" s="1447"/>
      <c r="M1" s="1447"/>
      <c r="N1" s="1447"/>
      <c r="O1" s="1447"/>
      <c r="P1" s="1447"/>
      <c r="Q1" s="1447" t="s">
        <v>477</v>
      </c>
      <c r="R1" s="1447"/>
      <c r="S1" s="1447"/>
      <c r="T1" s="1447"/>
      <c r="U1" s="1447"/>
      <c r="V1" s="1447"/>
      <c r="W1" s="1447"/>
      <c r="X1" s="1447"/>
      <c r="Y1" s="1447" t="s">
        <v>477</v>
      </c>
      <c r="Z1" s="1447"/>
      <c r="AA1" s="1447"/>
      <c r="AB1" s="1447"/>
      <c r="AC1" s="1447"/>
      <c r="AD1" s="1447"/>
      <c r="AE1" s="1447"/>
      <c r="AF1" s="595"/>
    </row>
    <row r="2" spans="1:32" ht="17.649999999999999" customHeight="1">
      <c r="A2" s="1447"/>
      <c r="B2" s="1447"/>
      <c r="C2" s="1447"/>
      <c r="D2" s="1447"/>
      <c r="E2" s="1447"/>
      <c r="F2" s="1447"/>
      <c r="G2" s="1447"/>
      <c r="H2" s="1447"/>
      <c r="I2" s="1447"/>
      <c r="J2" s="1447"/>
      <c r="K2" s="1447"/>
      <c r="L2" s="1447"/>
      <c r="M2" s="1447"/>
      <c r="N2" s="1447"/>
      <c r="O2" s="1447"/>
      <c r="P2" s="1447"/>
      <c r="Q2" s="1447"/>
      <c r="R2" s="1447"/>
      <c r="S2" s="1447"/>
      <c r="T2" s="1447"/>
      <c r="U2" s="1447"/>
      <c r="V2" s="1447"/>
      <c r="W2" s="1447"/>
      <c r="X2" s="1447"/>
      <c r="Y2" s="1447"/>
      <c r="Z2" s="1447"/>
      <c r="AA2" s="1447"/>
      <c r="AB2" s="1447"/>
      <c r="AC2" s="1447"/>
      <c r="AD2" s="1447"/>
      <c r="AE2" s="1447"/>
      <c r="AF2" s="595"/>
    </row>
    <row r="3" spans="1:32">
      <c r="A3" s="120"/>
    </row>
    <row r="4" spans="1:32" s="20" customFormat="1" ht="15">
      <c r="A4" s="565" t="s">
        <v>378</v>
      </c>
      <c r="B4" s="565">
        <v>1</v>
      </c>
      <c r="C4" s="565">
        <v>2</v>
      </c>
      <c r="D4" s="565">
        <v>3</v>
      </c>
      <c r="E4" s="565">
        <v>4</v>
      </c>
      <c r="F4" s="565">
        <v>5</v>
      </c>
      <c r="G4" s="565">
        <v>6</v>
      </c>
      <c r="H4" s="565">
        <v>7</v>
      </c>
      <c r="I4" s="565">
        <v>8</v>
      </c>
      <c r="J4" s="565">
        <v>9</v>
      </c>
      <c r="K4" s="565">
        <v>10</v>
      </c>
      <c r="L4" s="565">
        <v>11</v>
      </c>
      <c r="M4" s="565">
        <v>12</v>
      </c>
      <c r="N4" s="565">
        <v>13</v>
      </c>
      <c r="O4" s="565">
        <v>14</v>
      </c>
      <c r="P4" s="565">
        <v>15</v>
      </c>
      <c r="Q4" s="565">
        <v>16</v>
      </c>
      <c r="R4" s="565">
        <v>17</v>
      </c>
      <c r="S4" s="565">
        <v>18</v>
      </c>
      <c r="T4" s="565">
        <v>19</v>
      </c>
      <c r="U4" s="565">
        <v>20</v>
      </c>
      <c r="V4" s="565">
        <v>21</v>
      </c>
      <c r="W4" s="565">
        <v>22</v>
      </c>
      <c r="X4" s="565">
        <v>23</v>
      </c>
      <c r="Y4" s="565">
        <v>24</v>
      </c>
      <c r="Z4" s="565">
        <v>25</v>
      </c>
      <c r="AA4" s="565">
        <v>26</v>
      </c>
      <c r="AB4" s="565">
        <v>27</v>
      </c>
      <c r="AC4" s="565">
        <v>28</v>
      </c>
      <c r="AD4" s="565">
        <v>29</v>
      </c>
      <c r="AE4" s="565">
        <v>30</v>
      </c>
    </row>
    <row r="5" spans="1:32" s="20" customFormat="1" ht="15">
      <c r="A5" s="598" t="s">
        <v>87</v>
      </c>
      <c r="B5" s="598">
        <f>☆入力!$B$16</f>
        <v>0</v>
      </c>
      <c r="C5" s="598">
        <f>☆入力!$B$17</f>
        <v>0</v>
      </c>
      <c r="D5" s="598">
        <f>☆入力!$B$18</f>
        <v>0</v>
      </c>
      <c r="E5" s="598">
        <f>☆入力!$B$19</f>
        <v>0</v>
      </c>
      <c r="F5" s="598">
        <f>☆入力!$B$20</f>
        <v>0</v>
      </c>
      <c r="G5" s="598">
        <f>☆入力!$B$21</f>
        <v>0</v>
      </c>
      <c r="H5" s="598" t="str">
        <f>☆入力!$B$22</f>
        <v/>
      </c>
      <c r="I5" s="598" t="str">
        <f>☆入力!$B$23</f>
        <v/>
      </c>
      <c r="J5" s="598" t="str">
        <f>☆入力!$B$24</f>
        <v/>
      </c>
      <c r="K5" s="598" t="str">
        <f>☆入力!$B$25</f>
        <v/>
      </c>
      <c r="L5" s="598" t="str">
        <f>☆入力!$B$26</f>
        <v/>
      </c>
      <c r="M5" s="598" t="str">
        <f>☆入力!$B$27</f>
        <v/>
      </c>
      <c r="N5" s="598" t="str">
        <f>☆入力!$B$28</f>
        <v/>
      </c>
      <c r="O5" s="598" t="str">
        <f>☆入力!$B$29</f>
        <v/>
      </c>
      <c r="P5" s="598" t="str">
        <f>☆入力!$B$30</f>
        <v/>
      </c>
      <c r="Q5" s="598" t="str">
        <f>☆入力!$B$31</f>
        <v/>
      </c>
      <c r="R5" s="598" t="str">
        <f>☆入力!$B$32</f>
        <v/>
      </c>
      <c r="S5" s="598" t="str">
        <f>☆入力!$B$33</f>
        <v/>
      </c>
      <c r="T5" s="598" t="str">
        <f>☆入力!$B$34</f>
        <v/>
      </c>
      <c r="U5" s="598" t="str">
        <f>☆入力!$B$35</f>
        <v/>
      </c>
      <c r="V5" s="598" t="str">
        <f>☆入力!$B$36</f>
        <v/>
      </c>
      <c r="W5" s="598" t="str">
        <f>☆入力!$B$37</f>
        <v/>
      </c>
      <c r="X5" s="598" t="str">
        <f>☆入力!$B$38</f>
        <v/>
      </c>
      <c r="Y5" s="598" t="str">
        <f>☆入力!$B$39</f>
        <v/>
      </c>
      <c r="Z5" s="598" t="str">
        <f>☆入力!$B$40</f>
        <v/>
      </c>
      <c r="AA5" s="598" t="str">
        <f>☆入力!$B$41</f>
        <v/>
      </c>
      <c r="AB5" s="598" t="str">
        <f>☆入力!$B$42</f>
        <v/>
      </c>
      <c r="AC5" s="598" t="str">
        <f>☆入力!$B$43</f>
        <v/>
      </c>
      <c r="AD5" s="598" t="str">
        <f>☆入力!$B$44</f>
        <v/>
      </c>
      <c r="AE5" s="598" t="str">
        <f>☆入力!$B$45</f>
        <v/>
      </c>
    </row>
    <row r="6" spans="1:32" s="20" customFormat="1" ht="15">
      <c r="A6" s="566" t="s">
        <v>426</v>
      </c>
      <c r="B6" s="566" t="str">
        <f>☆入力!$C$16</f>
        <v>あいえうお</v>
      </c>
      <c r="C6" s="566" t="str">
        <f>☆入力!$C$17</f>
        <v>あいえうお</v>
      </c>
      <c r="D6" s="566" t="str">
        <f>☆入力!$C$18</f>
        <v>あいえうお</v>
      </c>
      <c r="E6" s="566" t="str">
        <f>☆入力!$C$19</f>
        <v>あいえうお</v>
      </c>
      <c r="F6" s="566" t="str">
        <f>☆入力!$C$20</f>
        <v>あいえうお</v>
      </c>
      <c r="G6" s="566" t="str">
        <f>☆入力!$C$21</f>
        <v>あいえうお</v>
      </c>
      <c r="H6" s="566">
        <f>☆入力!$C$22</f>
        <v>0</v>
      </c>
      <c r="I6" s="566">
        <f>☆入力!$C$23</f>
        <v>0</v>
      </c>
      <c r="J6" s="566">
        <f>☆入力!$C$24</f>
        <v>0</v>
      </c>
      <c r="K6" s="566">
        <f>☆入力!$C$25</f>
        <v>0</v>
      </c>
      <c r="L6" s="566">
        <f>☆入力!$C$26</f>
        <v>0</v>
      </c>
      <c r="M6" s="566">
        <f>☆入力!$C$27</f>
        <v>0</v>
      </c>
      <c r="N6" s="566">
        <f>☆入力!$C$28</f>
        <v>0</v>
      </c>
      <c r="O6" s="566">
        <f>☆入力!$C$29</f>
        <v>0</v>
      </c>
      <c r="P6" s="566">
        <f>☆入力!$C$30</f>
        <v>0</v>
      </c>
      <c r="Q6" s="566">
        <f>☆入力!$C$31</f>
        <v>0</v>
      </c>
      <c r="R6" s="566">
        <f>☆入力!$C$32</f>
        <v>0</v>
      </c>
      <c r="S6" s="566">
        <f>☆入力!$C$33</f>
        <v>0</v>
      </c>
      <c r="T6" s="566">
        <f>☆入力!$C$34</f>
        <v>0</v>
      </c>
      <c r="U6" s="566">
        <f>☆入力!$C$35</f>
        <v>0</v>
      </c>
      <c r="V6" s="566">
        <f>☆入力!$C$36</f>
        <v>0</v>
      </c>
      <c r="W6" s="566">
        <f>☆入力!$C$37</f>
        <v>0</v>
      </c>
      <c r="X6" s="566">
        <f>☆入力!$C$38</f>
        <v>0</v>
      </c>
      <c r="Y6" s="566">
        <f>☆入力!$C$39</f>
        <v>0</v>
      </c>
      <c r="Z6" s="566">
        <f>☆入力!$C$40</f>
        <v>0</v>
      </c>
      <c r="AA6" s="566">
        <f>☆入力!$C$41</f>
        <v>0</v>
      </c>
      <c r="AB6" s="566">
        <f>☆入力!$C$42</f>
        <v>0</v>
      </c>
      <c r="AC6" s="566">
        <f>☆入力!$C$43</f>
        <v>0</v>
      </c>
      <c r="AD6" s="566">
        <f>☆入力!$C$44</f>
        <v>0</v>
      </c>
      <c r="AE6" s="566">
        <f>☆入力!$C$45</f>
        <v>0</v>
      </c>
    </row>
    <row r="7" spans="1:32" s="20" customFormat="1" ht="70.900000000000006" customHeight="1">
      <c r="A7" s="565" t="s">
        <v>478</v>
      </c>
      <c r="B7" s="581" t="s">
        <v>479</v>
      </c>
      <c r="C7" s="581" t="s">
        <v>479</v>
      </c>
      <c r="D7" s="581" t="s">
        <v>479</v>
      </c>
      <c r="E7" s="581" t="s">
        <v>479</v>
      </c>
      <c r="F7" s="581" t="s">
        <v>479</v>
      </c>
      <c r="G7" s="581" t="s">
        <v>479</v>
      </c>
      <c r="H7" s="581" t="s">
        <v>479</v>
      </c>
      <c r="I7" s="581" t="s">
        <v>479</v>
      </c>
      <c r="J7" s="581" t="s">
        <v>479</v>
      </c>
      <c r="K7" s="581" t="s">
        <v>479</v>
      </c>
      <c r="L7" s="581" t="s">
        <v>479</v>
      </c>
      <c r="M7" s="581" t="s">
        <v>479</v>
      </c>
      <c r="N7" s="581" t="s">
        <v>479</v>
      </c>
      <c r="O7" s="581" t="s">
        <v>479</v>
      </c>
      <c r="P7" s="581" t="s">
        <v>479</v>
      </c>
      <c r="Q7" s="581" t="s">
        <v>479</v>
      </c>
      <c r="R7" s="581" t="s">
        <v>479</v>
      </c>
      <c r="S7" s="581" t="s">
        <v>479</v>
      </c>
      <c r="T7" s="581" t="s">
        <v>479</v>
      </c>
      <c r="U7" s="581" t="s">
        <v>479</v>
      </c>
      <c r="V7" s="581" t="s">
        <v>479</v>
      </c>
      <c r="W7" s="581" t="s">
        <v>479</v>
      </c>
      <c r="X7" s="581" t="s">
        <v>479</v>
      </c>
      <c r="Y7" s="581" t="s">
        <v>479</v>
      </c>
      <c r="Z7" s="581" t="s">
        <v>479</v>
      </c>
      <c r="AA7" s="581" t="s">
        <v>479</v>
      </c>
      <c r="AB7" s="581" t="s">
        <v>479</v>
      </c>
      <c r="AC7" s="581" t="s">
        <v>479</v>
      </c>
      <c r="AD7" s="581" t="s">
        <v>479</v>
      </c>
      <c r="AE7" s="581" t="s">
        <v>479</v>
      </c>
    </row>
    <row r="8" spans="1:32" s="20" customFormat="1" ht="15">
      <c r="A8" s="565" t="s">
        <v>480</v>
      </c>
      <c r="B8" s="567">
        <f>☆入力!$L$16</f>
        <v>0</v>
      </c>
      <c r="C8" s="567">
        <f>☆入力!$L$17</f>
        <v>0</v>
      </c>
      <c r="D8" s="567">
        <f>☆入力!$L$18</f>
        <v>0</v>
      </c>
      <c r="E8" s="567">
        <f>☆入力!$L$19</f>
        <v>0</v>
      </c>
      <c r="F8" s="567">
        <f>☆入力!$L$20</f>
        <v>0</v>
      </c>
      <c r="G8" s="567">
        <f>☆入力!$L$21</f>
        <v>0</v>
      </c>
      <c r="H8" s="567">
        <f>☆入力!$L$22</f>
        <v>0</v>
      </c>
      <c r="I8" s="567">
        <f>☆入力!$L$23</f>
        <v>0</v>
      </c>
      <c r="J8" s="567">
        <f>☆入力!$L$24</f>
        <v>0</v>
      </c>
      <c r="K8" s="567">
        <f>☆入力!$L$25</f>
        <v>0</v>
      </c>
      <c r="L8" s="567">
        <f>☆入力!$L$26</f>
        <v>0</v>
      </c>
      <c r="M8" s="567">
        <f>☆入力!$L$27</f>
        <v>0</v>
      </c>
      <c r="N8" s="567">
        <f>☆入力!$L$28</f>
        <v>0</v>
      </c>
      <c r="O8" s="567">
        <f>☆入力!$L$29</f>
        <v>0</v>
      </c>
      <c r="P8" s="567">
        <f>☆入力!$L$30</f>
        <v>0</v>
      </c>
      <c r="Q8" s="567">
        <f>☆入力!$L$31</f>
        <v>0</v>
      </c>
      <c r="R8" s="567">
        <f>☆入力!$L$32</f>
        <v>0</v>
      </c>
      <c r="S8" s="567">
        <f>☆入力!$L$33</f>
        <v>0</v>
      </c>
      <c r="T8" s="567">
        <f>☆入力!$L$34</f>
        <v>0</v>
      </c>
      <c r="U8" s="567">
        <f>☆入力!$L$35</f>
        <v>0</v>
      </c>
      <c r="V8" s="567">
        <f>☆入力!$L$36</f>
        <v>0</v>
      </c>
      <c r="W8" s="567">
        <f>☆入力!$L$37</f>
        <v>0</v>
      </c>
      <c r="X8" s="567">
        <f>☆入力!$L$38</f>
        <v>0</v>
      </c>
      <c r="Y8" s="567">
        <f>☆入力!$L$39</f>
        <v>0</v>
      </c>
      <c r="Z8" s="567">
        <f>☆入力!$L$40</f>
        <v>0</v>
      </c>
      <c r="AA8" s="567">
        <f>☆入力!$L$41</f>
        <v>0</v>
      </c>
      <c r="AB8" s="567">
        <f>☆入力!$L$42</f>
        <v>0</v>
      </c>
      <c r="AC8" s="567">
        <f>☆入力!$L$43</f>
        <v>0</v>
      </c>
      <c r="AD8" s="567">
        <f>☆入力!$L$44</f>
        <v>0</v>
      </c>
      <c r="AE8" s="567">
        <f>☆入力!$L$45</f>
        <v>0</v>
      </c>
    </row>
    <row r="9" spans="1:32" s="582" customFormat="1" ht="15.75" outlineLevel="1" thickBot="1">
      <c r="A9" s="568" t="s">
        <v>481</v>
      </c>
      <c r="B9" s="568">
        <f>☆入力!$H$16</f>
        <v>0</v>
      </c>
      <c r="C9" s="568">
        <f>☆入力!$H$17</f>
        <v>0</v>
      </c>
      <c r="D9" s="568">
        <f>☆入力!$H$18</f>
        <v>0</v>
      </c>
      <c r="E9" s="568">
        <f>☆入力!$H$19</f>
        <v>0</v>
      </c>
      <c r="F9" s="568">
        <f>☆入力!$H$20</f>
        <v>0</v>
      </c>
      <c r="G9" s="568">
        <f>☆入力!$H$21</f>
        <v>0</v>
      </c>
      <c r="H9" s="568">
        <f>☆入力!$H$22</f>
        <v>0</v>
      </c>
      <c r="I9" s="568">
        <f>☆入力!$H$23</f>
        <v>0</v>
      </c>
      <c r="J9" s="568">
        <f>☆入力!$H$24</f>
        <v>0</v>
      </c>
      <c r="K9" s="568">
        <f>☆入力!$H$25</f>
        <v>0</v>
      </c>
      <c r="L9" s="568">
        <f>☆入力!$H$26</f>
        <v>0</v>
      </c>
      <c r="M9" s="568">
        <f>☆入力!$H$27</f>
        <v>0</v>
      </c>
      <c r="N9" s="568">
        <f>☆入力!$H$28</f>
        <v>0</v>
      </c>
      <c r="O9" s="568">
        <f>☆入力!$H$29</f>
        <v>0</v>
      </c>
      <c r="P9" s="568">
        <f>☆入力!$H$30</f>
        <v>0</v>
      </c>
      <c r="Q9" s="568">
        <f>☆入力!$H$31</f>
        <v>0</v>
      </c>
      <c r="R9" s="568">
        <f>☆入力!$H$32</f>
        <v>0</v>
      </c>
      <c r="S9" s="568">
        <f>☆入力!$H$33</f>
        <v>0</v>
      </c>
      <c r="T9" s="568">
        <f>☆入力!$H$34</f>
        <v>0</v>
      </c>
      <c r="U9" s="568">
        <f>☆入力!$H$35</f>
        <v>0</v>
      </c>
      <c r="V9" s="568">
        <f>☆入力!$H$36</f>
        <v>0</v>
      </c>
      <c r="W9" s="568">
        <f>☆入力!$H$37</f>
        <v>0</v>
      </c>
      <c r="X9" s="568">
        <f>☆入力!$H$38</f>
        <v>0</v>
      </c>
      <c r="Y9" s="568">
        <f>☆入力!$H$39</f>
        <v>0</v>
      </c>
      <c r="Z9" s="568">
        <f>☆入力!$H$40</f>
        <v>0</v>
      </c>
      <c r="AA9" s="568">
        <f>☆入力!$H$41</f>
        <v>0</v>
      </c>
      <c r="AB9" s="568">
        <f>☆入力!$H$42</f>
        <v>0</v>
      </c>
      <c r="AC9" s="568">
        <f>☆入力!$H$43</f>
        <v>0</v>
      </c>
      <c r="AD9" s="568">
        <f>☆入力!$H$44</f>
        <v>0</v>
      </c>
      <c r="AE9" s="568">
        <f>☆入力!$H$45</f>
        <v>0</v>
      </c>
    </row>
    <row r="10" spans="1:32" s="20" customFormat="1" ht="15.75" thickBot="1">
      <c r="A10" s="569" t="s">
        <v>227</v>
      </c>
      <c r="B10" s="570">
        <f>☆入力!$D$16</f>
        <v>0</v>
      </c>
      <c r="C10" s="570">
        <f>☆入力!$D$17</f>
        <v>0</v>
      </c>
      <c r="D10" s="570">
        <f>☆入力!$D$18</f>
        <v>0</v>
      </c>
      <c r="E10" s="570">
        <f>☆入力!$D$19</f>
        <v>0</v>
      </c>
      <c r="F10" s="570">
        <f>☆入力!$D$20</f>
        <v>0</v>
      </c>
      <c r="G10" s="570">
        <f>☆入力!$D$21</f>
        <v>0</v>
      </c>
      <c r="H10" s="571">
        <f>☆入力!$D$22</f>
        <v>0</v>
      </c>
      <c r="I10" s="569">
        <f>☆入力!$D$23</f>
        <v>0</v>
      </c>
      <c r="J10" s="570">
        <f>☆入力!$D$24</f>
        <v>0</v>
      </c>
      <c r="K10" s="570">
        <f>☆入力!$D$25</f>
        <v>0</v>
      </c>
      <c r="L10" s="570">
        <f>☆入力!$D$26</f>
        <v>0</v>
      </c>
      <c r="M10" s="570">
        <f>☆入力!$D$27</f>
        <v>0</v>
      </c>
      <c r="N10" s="571">
        <f>☆入力!$D$28</f>
        <v>0</v>
      </c>
      <c r="O10" s="569">
        <f>☆入力!$D$29</f>
        <v>0</v>
      </c>
      <c r="P10" s="571">
        <f>☆入力!$D$30</f>
        <v>0</v>
      </c>
      <c r="Q10" s="569">
        <f>☆入力!$D$31</f>
        <v>0</v>
      </c>
      <c r="R10" s="570">
        <f>☆入力!$D$32</f>
        <v>0</v>
      </c>
      <c r="S10" s="570">
        <f>☆入力!$D$33</f>
        <v>0</v>
      </c>
      <c r="T10" s="570">
        <f>☆入力!$D$34</f>
        <v>0</v>
      </c>
      <c r="U10" s="571">
        <f>☆入力!$D$35</f>
        <v>0</v>
      </c>
      <c r="V10" s="569">
        <f>☆入力!$D$36</f>
        <v>0</v>
      </c>
      <c r="W10" s="570">
        <f>☆入力!$D$37</f>
        <v>0</v>
      </c>
      <c r="X10" s="571">
        <f>☆入力!$D$38</f>
        <v>0</v>
      </c>
      <c r="Y10" s="569">
        <f>☆入力!$D$39</f>
        <v>0</v>
      </c>
      <c r="Z10" s="570">
        <f>☆入力!$D$40</f>
        <v>0</v>
      </c>
      <c r="AA10" s="570">
        <f>☆入力!$D$41</f>
        <v>0</v>
      </c>
      <c r="AB10" s="571">
        <f>☆入力!$D$42</f>
        <v>0</v>
      </c>
      <c r="AC10" s="569">
        <f>☆入力!$D$43</f>
        <v>0</v>
      </c>
      <c r="AD10" s="570">
        <f>☆入力!$D$44</f>
        <v>0</v>
      </c>
      <c r="AE10" s="571">
        <f>☆入力!$D$45</f>
        <v>0</v>
      </c>
    </row>
    <row r="11" spans="1:32" s="135" customFormat="1" ht="15.75" thickBot="1">
      <c r="A11" s="605"/>
      <c r="B11" s="605" t="s">
        <v>482</v>
      </c>
      <c r="C11" s="605" t="s">
        <v>482</v>
      </c>
      <c r="D11" s="605" t="s">
        <v>482</v>
      </c>
      <c r="E11" s="605" t="s">
        <v>482</v>
      </c>
      <c r="F11" s="605" t="s">
        <v>482</v>
      </c>
      <c r="G11" s="605" t="s">
        <v>482</v>
      </c>
      <c r="H11" s="605" t="s">
        <v>482</v>
      </c>
      <c r="I11" s="605" t="s">
        <v>482</v>
      </c>
      <c r="J11" s="605" t="s">
        <v>482</v>
      </c>
      <c r="K11" s="605" t="s">
        <v>482</v>
      </c>
      <c r="L11" s="605" t="s">
        <v>482</v>
      </c>
      <c r="M11" s="605" t="s">
        <v>482</v>
      </c>
      <c r="N11" s="605" t="s">
        <v>482</v>
      </c>
      <c r="O11" s="605" t="s">
        <v>482</v>
      </c>
      <c r="P11" s="605" t="s">
        <v>482</v>
      </c>
      <c r="Q11" s="605" t="s">
        <v>482</v>
      </c>
      <c r="R11" s="605" t="s">
        <v>482</v>
      </c>
      <c r="S11" s="605" t="s">
        <v>482</v>
      </c>
      <c r="T11" s="605" t="s">
        <v>482</v>
      </c>
      <c r="U11" s="605" t="s">
        <v>482</v>
      </c>
      <c r="V11" s="605" t="s">
        <v>482</v>
      </c>
      <c r="W11" s="605" t="s">
        <v>482</v>
      </c>
      <c r="X11" s="605" t="s">
        <v>482</v>
      </c>
      <c r="Y11" s="605" t="s">
        <v>482</v>
      </c>
      <c r="Z11" s="605" t="s">
        <v>482</v>
      </c>
      <c r="AA11" s="605" t="s">
        <v>482</v>
      </c>
      <c r="AB11" s="605" t="s">
        <v>482</v>
      </c>
      <c r="AC11" s="605" t="s">
        <v>482</v>
      </c>
      <c r="AD11" s="605" t="s">
        <v>482</v>
      </c>
      <c r="AE11" s="605" t="s">
        <v>482</v>
      </c>
    </row>
    <row r="12" spans="1:32" s="572" customFormat="1" ht="15.75" thickBot="1">
      <c r="A12" s="569" t="s">
        <v>483</v>
      </c>
      <c r="B12" s="570">
        <f>☆入力!$G$16</f>
        <v>0</v>
      </c>
      <c r="C12" s="570">
        <f>☆入力!$G$17</f>
        <v>0</v>
      </c>
      <c r="D12" s="570">
        <f>☆入力!$G$18</f>
        <v>0</v>
      </c>
      <c r="E12" s="570">
        <f>☆入力!$G$19</f>
        <v>0</v>
      </c>
      <c r="F12" s="570">
        <f>☆入力!$G$20</f>
        <v>0</v>
      </c>
      <c r="G12" s="570">
        <f>☆入力!$G$21</f>
        <v>0</v>
      </c>
      <c r="H12" s="571">
        <f>☆入力!$G$22</f>
        <v>0</v>
      </c>
      <c r="I12" s="569">
        <f>☆入力!$G$23</f>
        <v>0</v>
      </c>
      <c r="J12" s="570">
        <f>☆入力!$G$24</f>
        <v>0</v>
      </c>
      <c r="K12" s="570">
        <f>☆入力!$G$25</f>
        <v>0</v>
      </c>
      <c r="L12" s="570">
        <f>☆入力!$G$26</f>
        <v>0</v>
      </c>
      <c r="M12" s="570">
        <f>☆入力!$G$27</f>
        <v>0</v>
      </c>
      <c r="N12" s="571">
        <f>☆入力!$G$28</f>
        <v>0</v>
      </c>
      <c r="O12" s="569">
        <f>☆入力!$G$29</f>
        <v>0</v>
      </c>
      <c r="P12" s="571">
        <f>☆入力!$G$30</f>
        <v>0</v>
      </c>
      <c r="Q12" s="569">
        <f>☆入力!$G$31</f>
        <v>0</v>
      </c>
      <c r="R12" s="570">
        <f>☆入力!$G$32</f>
        <v>0</v>
      </c>
      <c r="S12" s="570">
        <f>☆入力!$G$33</f>
        <v>0</v>
      </c>
      <c r="T12" s="570">
        <f>☆入力!$G$34</f>
        <v>0</v>
      </c>
      <c r="U12" s="571">
        <f>☆入力!$G$35</f>
        <v>0</v>
      </c>
      <c r="V12" s="569">
        <f>☆入力!$G$36</f>
        <v>0</v>
      </c>
      <c r="W12" s="570">
        <f>☆入力!$G$37</f>
        <v>0</v>
      </c>
      <c r="X12" s="571">
        <f>☆入力!$G$38</f>
        <v>0</v>
      </c>
      <c r="Y12" s="569">
        <f>☆入力!$G$39</f>
        <v>0</v>
      </c>
      <c r="Z12" s="570">
        <f>☆入力!$G$40</f>
        <v>0</v>
      </c>
      <c r="AA12" s="570">
        <f>☆入力!$G$41</f>
        <v>0</v>
      </c>
      <c r="AB12" s="571">
        <f>☆入力!$G$42</f>
        <v>0</v>
      </c>
      <c r="AC12" s="569">
        <f>☆入力!$G$43</f>
        <v>0</v>
      </c>
      <c r="AD12" s="570">
        <f>☆入力!$G$44</f>
        <v>0</v>
      </c>
      <c r="AE12" s="571">
        <f>☆入力!$G$45</f>
        <v>0</v>
      </c>
    </row>
    <row r="13" spans="1:32" s="20" customFormat="1" ht="15">
      <c r="A13" s="573" t="s">
        <v>387</v>
      </c>
      <c r="B13" s="573" t="str">
        <f>IFERROR(VLOOKUP(B$12,選定!$C$3:$AG$100,31,FALSE),"")</f>
        <v/>
      </c>
      <c r="C13" s="573" t="str">
        <f>IFERROR(VLOOKUP(C$12,選定!$C$3:$AG$100,31,FALSE),"")</f>
        <v/>
      </c>
      <c r="D13" s="573" t="str">
        <f>IFERROR(VLOOKUP(D$12,選定!$C$3:$AG$100,31,FALSE),"")</f>
        <v/>
      </c>
      <c r="E13" s="573" t="str">
        <f>IFERROR(VLOOKUP(E$12,選定!$C$3:$AG$100,31,FALSE),"")</f>
        <v/>
      </c>
      <c r="F13" s="573" t="str">
        <f>IFERROR(VLOOKUP(F$12,選定!$C$3:$AG$100,31,FALSE),"")</f>
        <v/>
      </c>
      <c r="G13" s="573" t="str">
        <f>IFERROR(VLOOKUP(G$12,選定!$C$3:$AG$100,31,FALSE),"")</f>
        <v/>
      </c>
      <c r="H13" s="573" t="str">
        <f>IFERROR(VLOOKUP(H$12,選定!$C$3:$AG$100,31,FALSE),"")</f>
        <v/>
      </c>
      <c r="I13" s="573" t="str">
        <f>IFERROR(VLOOKUP(I$12,選定!$C$3:$AG$100,31,FALSE),"")</f>
        <v/>
      </c>
      <c r="J13" s="573" t="str">
        <f>IFERROR(VLOOKUP(J$12,選定!$C$3:$AG$100,31,FALSE),"")</f>
        <v/>
      </c>
      <c r="K13" s="573" t="str">
        <f>IFERROR(VLOOKUP(K$12,選定!$C$3:$AG$100,31,FALSE),"")</f>
        <v/>
      </c>
      <c r="L13" s="573" t="str">
        <f>IFERROR(VLOOKUP(L$12,選定!$C$3:$AG$100,31,FALSE),"")</f>
        <v/>
      </c>
      <c r="M13" s="573" t="str">
        <f>IFERROR(VLOOKUP(M$12,選定!$C$3:$AG$100,31,FALSE),"")</f>
        <v/>
      </c>
      <c r="N13" s="573" t="str">
        <f>IFERROR(VLOOKUP(N$12,選定!$C$3:$AG$100,31,FALSE),"")</f>
        <v/>
      </c>
      <c r="O13" s="573" t="str">
        <f>IFERROR(VLOOKUP(O$12,選定!$C$3:$AG$100,31,FALSE),"")</f>
        <v/>
      </c>
      <c r="P13" s="573" t="str">
        <f>IFERROR(VLOOKUP(P$12,選定!$C$3:$AG$100,31,FALSE),"")</f>
        <v/>
      </c>
      <c r="Q13" s="573" t="str">
        <f>IFERROR(VLOOKUP(Q$12,選定!$C$3:$AG$100,31,FALSE),"")</f>
        <v/>
      </c>
      <c r="R13" s="573" t="str">
        <f>IFERROR(VLOOKUP(R$12,選定!$C$3:$AG$100,31,FALSE),"")</f>
        <v/>
      </c>
      <c r="S13" s="573" t="str">
        <f>IFERROR(VLOOKUP(S$12,選定!$C$3:$AG$100,31,FALSE),"")</f>
        <v/>
      </c>
      <c r="T13" s="573" t="str">
        <f>IFERROR(VLOOKUP(T$12,選定!$C$3:$AG$100,31,FALSE),"")</f>
        <v/>
      </c>
      <c r="U13" s="573" t="str">
        <f>IFERROR(VLOOKUP(U$12,選定!$C$3:$AG$100,31,FALSE),"")</f>
        <v/>
      </c>
      <c r="V13" s="573" t="str">
        <f>IFERROR(VLOOKUP(V$12,選定!$C$3:$AG$100,31,FALSE),"")</f>
        <v/>
      </c>
      <c r="W13" s="573" t="str">
        <f>IFERROR(VLOOKUP(W$12,選定!$C$3:$AG$100,31,FALSE),"")</f>
        <v/>
      </c>
      <c r="X13" s="573" t="str">
        <f>IFERROR(VLOOKUP(X$12,選定!$C$3:$AG$100,31,FALSE),"")</f>
        <v/>
      </c>
      <c r="Y13" s="573" t="str">
        <f>IFERROR(VLOOKUP(Y$12,選定!$C$3:$AG$100,31,FALSE),"")</f>
        <v/>
      </c>
      <c r="Z13" s="573" t="str">
        <f>IFERROR(VLOOKUP(Z$12,選定!$C$3:$AG$100,31,FALSE),"")</f>
        <v/>
      </c>
      <c r="AA13" s="573" t="str">
        <f>IFERROR(VLOOKUP(AA$12,選定!$C$3:$AG$100,31,FALSE),"")</f>
        <v/>
      </c>
      <c r="AB13" s="573" t="str">
        <f>IFERROR(VLOOKUP(AB$12,選定!$C$3:$AG$100,31,FALSE),"")</f>
        <v/>
      </c>
      <c r="AC13" s="573" t="str">
        <f>IFERROR(VLOOKUP(AC$12,選定!$C$3:$AG$100,31,FALSE),"")</f>
        <v/>
      </c>
      <c r="AD13" s="573" t="str">
        <f>IFERROR(VLOOKUP(AD$12,選定!$C$3:$AG$100,31,FALSE),"")</f>
        <v/>
      </c>
      <c r="AE13" s="573" t="str">
        <f>IFERROR(VLOOKUP(AE$12,選定!$C$3:$AG$100,31,FALSE),"")</f>
        <v/>
      </c>
    </row>
    <row r="14" spans="1:32" s="20" customFormat="1" ht="70.900000000000006" customHeight="1">
      <c r="A14" s="583" t="s">
        <v>484</v>
      </c>
      <c r="B14" s="581" t="s">
        <v>479</v>
      </c>
      <c r="C14" s="581" t="s">
        <v>479</v>
      </c>
      <c r="D14" s="581" t="s">
        <v>479</v>
      </c>
      <c r="E14" s="581" t="s">
        <v>479</v>
      </c>
      <c r="F14" s="581" t="s">
        <v>479</v>
      </c>
      <c r="G14" s="581" t="s">
        <v>479</v>
      </c>
      <c r="H14" s="581" t="s">
        <v>479</v>
      </c>
      <c r="I14" s="581" t="s">
        <v>479</v>
      </c>
      <c r="J14" s="581" t="s">
        <v>479</v>
      </c>
      <c r="K14" s="581" t="s">
        <v>479</v>
      </c>
      <c r="L14" s="581" t="s">
        <v>479</v>
      </c>
      <c r="M14" s="581" t="s">
        <v>479</v>
      </c>
      <c r="N14" s="581" t="s">
        <v>479</v>
      </c>
      <c r="O14" s="581" t="s">
        <v>479</v>
      </c>
      <c r="P14" s="581" t="s">
        <v>479</v>
      </c>
      <c r="Q14" s="581" t="s">
        <v>479</v>
      </c>
      <c r="R14" s="581" t="s">
        <v>479</v>
      </c>
      <c r="S14" s="581" t="s">
        <v>479</v>
      </c>
      <c r="T14" s="581" t="s">
        <v>479</v>
      </c>
      <c r="U14" s="581" t="s">
        <v>479</v>
      </c>
      <c r="V14" s="581" t="s">
        <v>479</v>
      </c>
      <c r="W14" s="581" t="s">
        <v>479</v>
      </c>
      <c r="X14" s="581" t="s">
        <v>479</v>
      </c>
      <c r="Y14" s="581" t="s">
        <v>479</v>
      </c>
      <c r="Z14" s="581" t="s">
        <v>479</v>
      </c>
      <c r="AA14" s="581" t="s">
        <v>479</v>
      </c>
      <c r="AB14" s="581" t="s">
        <v>479</v>
      </c>
      <c r="AC14" s="581" t="s">
        <v>479</v>
      </c>
      <c r="AD14" s="581" t="s">
        <v>479</v>
      </c>
      <c r="AE14" s="581" t="s">
        <v>479</v>
      </c>
    </row>
    <row r="15" spans="1:32" s="585" customFormat="1" ht="15">
      <c r="A15" s="598" t="s">
        <v>485</v>
      </c>
      <c r="B15" s="584" t="str">
        <f>IFERROR(VLOOKUP(B$12,選定!$C$3:$AG$100,2,FALSE),"")</f>
        <v/>
      </c>
      <c r="C15" s="584" t="str">
        <f>IFERROR(VLOOKUP(C$12,選定!$C$3:$AG$100,2,FALSE),"")</f>
        <v/>
      </c>
      <c r="D15" s="584" t="str">
        <f>IFERROR(VLOOKUP(D$12,選定!$C$3:$AG$100,2,FALSE),"")</f>
        <v/>
      </c>
      <c r="E15" s="584" t="str">
        <f>IFERROR(VLOOKUP(E$12,選定!$C$3:$AG$100,2,FALSE),"")</f>
        <v/>
      </c>
      <c r="F15" s="584" t="str">
        <f>IFERROR(VLOOKUP(F$12,選定!$C$3:$AG$100,2,FALSE),"")</f>
        <v/>
      </c>
      <c r="G15" s="584" t="str">
        <f>IFERROR(VLOOKUP(G$12,選定!$C$3:$AG$100,2,FALSE),"")</f>
        <v/>
      </c>
      <c r="H15" s="584" t="str">
        <f>IFERROR(VLOOKUP(H$12,選定!$C$3:$AG$100,2,FALSE),"")</f>
        <v/>
      </c>
      <c r="I15" s="584" t="str">
        <f>IFERROR(VLOOKUP(I$12,選定!$C$3:$AG$100,2,FALSE),"")</f>
        <v/>
      </c>
      <c r="J15" s="584" t="str">
        <f>IFERROR(VLOOKUP(J$12,選定!$C$3:$AG$100,2,FALSE),"")</f>
        <v/>
      </c>
      <c r="K15" s="584" t="str">
        <f>IFERROR(VLOOKUP(K$12,選定!$C$3:$AG$100,2,FALSE),"")</f>
        <v/>
      </c>
      <c r="L15" s="584" t="str">
        <f>IFERROR(VLOOKUP(L$12,選定!$C$3:$AG$100,2,FALSE),"")</f>
        <v/>
      </c>
      <c r="M15" s="584" t="str">
        <f>IFERROR(VLOOKUP(M$12,選定!$C$3:$AG$100,2,FALSE),"")</f>
        <v/>
      </c>
      <c r="N15" s="584" t="str">
        <f>IFERROR(VLOOKUP(N$12,選定!$C$3:$AG$100,2,FALSE),"")</f>
        <v/>
      </c>
      <c r="O15" s="584" t="str">
        <f>IFERROR(VLOOKUP(O$12,選定!$C$3:$AG$100,2,FALSE),"")</f>
        <v/>
      </c>
      <c r="P15" s="584" t="str">
        <f>IFERROR(VLOOKUP(P$12,選定!$C$3:$AG$100,2,FALSE),"")</f>
        <v/>
      </c>
      <c r="Q15" s="584" t="str">
        <f>IFERROR(VLOOKUP(Q$12,選定!$C$3:$AG$100,2,FALSE),"")</f>
        <v/>
      </c>
      <c r="R15" s="584" t="str">
        <f>IFERROR(VLOOKUP(R$12,選定!$C$3:$AG$100,2,FALSE),"")</f>
        <v/>
      </c>
      <c r="S15" s="584" t="str">
        <f>IFERROR(VLOOKUP(S$12,選定!$C$3:$AG$100,2,FALSE),"")</f>
        <v/>
      </c>
      <c r="T15" s="584" t="str">
        <f>IFERROR(VLOOKUP(T$12,選定!$C$3:$AG$100,2,FALSE),"")</f>
        <v/>
      </c>
      <c r="U15" s="584" t="str">
        <f>IFERROR(VLOOKUP(U$12,選定!$C$3:$AG$100,2,FALSE),"")</f>
        <v/>
      </c>
      <c r="V15" s="584" t="str">
        <f>IFERROR(VLOOKUP(V$12,選定!$C$3:$AG$100,2,FALSE),"")</f>
        <v/>
      </c>
      <c r="W15" s="584" t="str">
        <f>IFERROR(VLOOKUP(W$12,選定!$C$3:$AG$100,2,FALSE),"")</f>
        <v/>
      </c>
      <c r="X15" s="584" t="str">
        <f>IFERROR(VLOOKUP(X$12,選定!$C$3:$AG$100,2,FALSE),"")</f>
        <v/>
      </c>
      <c r="Y15" s="584" t="str">
        <f>IFERROR(VLOOKUP(Y$12,選定!$C$3:$AG$100,2,FALSE),"")</f>
        <v/>
      </c>
      <c r="Z15" s="584" t="str">
        <f>IFERROR(VLOOKUP(Z$12,選定!$C$3:$AG$100,2,FALSE),"")</f>
        <v/>
      </c>
      <c r="AA15" s="584" t="str">
        <f>IFERROR(VLOOKUP(AA$12,選定!$C$3:$AG$100,2,FALSE),"")</f>
        <v/>
      </c>
      <c r="AB15" s="584" t="str">
        <f>IFERROR(VLOOKUP(AB$12,選定!$C$3:$AG$100,2,FALSE),"")</f>
        <v/>
      </c>
      <c r="AC15" s="584" t="str">
        <f>IFERROR(VLOOKUP(AC$12,選定!$C$3:$AG$100,2,FALSE),"")</f>
        <v/>
      </c>
      <c r="AD15" s="584" t="str">
        <f>IFERROR(VLOOKUP(AD$12,選定!$C$3:$AG$100,2,FALSE),"")</f>
        <v/>
      </c>
      <c r="AE15" s="584" t="str">
        <f>IFERROR(VLOOKUP(AE$12,選定!$C$3:$AG$100,2,FALSE),"")</f>
        <v/>
      </c>
    </row>
    <row r="16" spans="1:32" s="585" customFormat="1" ht="15.75" thickBot="1">
      <c r="A16" s="599" t="s">
        <v>486</v>
      </c>
      <c r="B16" s="599" t="str">
        <f>IFERROR(VLOOKUP(B$12,選定!$C$3:$AG$100,3,FALSE),"")</f>
        <v/>
      </c>
      <c r="C16" s="599" t="str">
        <f>IFERROR(VLOOKUP(C$12,選定!$C$3:$AG$100,3,FALSE),"")</f>
        <v/>
      </c>
      <c r="D16" s="599" t="str">
        <f>IFERROR(VLOOKUP(D$12,選定!$C$3:$AG$100,3,FALSE),"")</f>
        <v/>
      </c>
      <c r="E16" s="599" t="str">
        <f>IFERROR(VLOOKUP(E$12,選定!$C$3:$AG$100,3,FALSE),"")</f>
        <v/>
      </c>
      <c r="F16" s="599" t="str">
        <f>IFERROR(VLOOKUP(F$12,選定!$C$3:$AG$100,3,FALSE),"")</f>
        <v/>
      </c>
      <c r="G16" s="599" t="str">
        <f>IFERROR(VLOOKUP(G$12,選定!$C$3:$AG$100,3,FALSE),"")</f>
        <v/>
      </c>
      <c r="H16" s="599" t="str">
        <f>IFERROR(VLOOKUP(H$12,選定!$C$3:$AG$100,3,FALSE),"")</f>
        <v/>
      </c>
      <c r="I16" s="599" t="str">
        <f>IFERROR(VLOOKUP(I$12,選定!$C$3:$AG$100,3,FALSE),"")</f>
        <v/>
      </c>
      <c r="J16" s="599" t="str">
        <f>IFERROR(VLOOKUP(J$12,選定!$C$3:$AG$100,3,FALSE),"")</f>
        <v/>
      </c>
      <c r="K16" s="599" t="str">
        <f>IFERROR(VLOOKUP(K$12,選定!$C$3:$AG$100,3,FALSE),"")</f>
        <v/>
      </c>
      <c r="L16" s="599" t="str">
        <f>IFERROR(VLOOKUP(L$12,選定!$C$3:$AG$100,3,FALSE),"")</f>
        <v/>
      </c>
      <c r="M16" s="599" t="str">
        <f>IFERROR(VLOOKUP(M$12,選定!$C$3:$AG$100,3,FALSE),"")</f>
        <v/>
      </c>
      <c r="N16" s="599" t="str">
        <f>IFERROR(VLOOKUP(N$12,選定!$C$3:$AG$100,3,FALSE),"")</f>
        <v/>
      </c>
      <c r="O16" s="599" t="str">
        <f>IFERROR(VLOOKUP(O$12,選定!$C$3:$AG$100,3,FALSE),"")</f>
        <v/>
      </c>
      <c r="P16" s="599" t="str">
        <f>IFERROR(VLOOKUP(P$12,選定!$C$3:$AG$100,3,FALSE),"")</f>
        <v/>
      </c>
      <c r="Q16" s="599" t="str">
        <f>IFERROR(VLOOKUP(Q$12,選定!$C$3:$AG$100,3,FALSE),"")</f>
        <v/>
      </c>
      <c r="R16" s="599" t="str">
        <f>IFERROR(VLOOKUP(R$12,選定!$C$3:$AG$100,3,FALSE),"")</f>
        <v/>
      </c>
      <c r="S16" s="599" t="str">
        <f>IFERROR(VLOOKUP(S$12,選定!$C$3:$AG$100,3,FALSE),"")</f>
        <v/>
      </c>
      <c r="T16" s="599" t="str">
        <f>IFERROR(VLOOKUP(T$12,選定!$C$3:$AG$100,3,FALSE),"")</f>
        <v/>
      </c>
      <c r="U16" s="599" t="str">
        <f>IFERROR(VLOOKUP(U$12,選定!$C$3:$AG$100,3,FALSE),"")</f>
        <v/>
      </c>
      <c r="V16" s="599" t="str">
        <f>IFERROR(VLOOKUP(V$12,選定!$C$3:$AG$100,3,FALSE),"")</f>
        <v/>
      </c>
      <c r="W16" s="599" t="str">
        <f>IFERROR(VLOOKUP(W$12,選定!$C$3:$AG$100,3,FALSE),"")</f>
        <v/>
      </c>
      <c r="X16" s="599" t="str">
        <f>IFERROR(VLOOKUP(X$12,選定!$C$3:$AG$100,3,FALSE),"")</f>
        <v/>
      </c>
      <c r="Y16" s="599" t="str">
        <f>IFERROR(VLOOKUP(Y$12,選定!$C$3:$AG$100,3,FALSE),"")</f>
        <v/>
      </c>
      <c r="Z16" s="599" t="str">
        <f>IFERROR(VLOOKUP(Z$12,選定!$C$3:$AG$100,3,FALSE),"")</f>
        <v/>
      </c>
      <c r="AA16" s="599" t="str">
        <f>IFERROR(VLOOKUP(AA$12,選定!$C$3:$AG$100,3,FALSE),"")</f>
        <v/>
      </c>
      <c r="AB16" s="599" t="str">
        <f>IFERROR(VLOOKUP(AB$12,選定!$C$3:$AG$100,3,FALSE),"")</f>
        <v/>
      </c>
      <c r="AC16" s="599" t="str">
        <f>IFERROR(VLOOKUP(AC$12,選定!$C$3:$AG$100,3,FALSE),"")</f>
        <v/>
      </c>
      <c r="AD16" s="599" t="str">
        <f>IFERROR(VLOOKUP(AD$12,選定!$C$3:$AG$100,3,FALSE),"")</f>
        <v/>
      </c>
      <c r="AE16" s="599" t="str">
        <f>IFERROR(VLOOKUP(AE$12,選定!$C$3:$AG$100,3,FALSE),"")</f>
        <v/>
      </c>
    </row>
    <row r="17" spans="1:31" s="585" customFormat="1" ht="15.75" thickTop="1">
      <c r="A17" s="669" t="s">
        <v>487</v>
      </c>
      <c r="B17" s="584" t="str">
        <f>IFERROR(VLOOKUP(B$12,選定!$C$3:$AG$100,4,FALSE),"")</f>
        <v/>
      </c>
      <c r="C17" s="584" t="str">
        <f>IFERROR(VLOOKUP(C$12,選定!$C$3:$AG$100,4,FALSE),"")</f>
        <v/>
      </c>
      <c r="D17" s="584" t="str">
        <f>IFERROR(VLOOKUP(D$12,選定!$C$3:$AG$100,4,FALSE),"")</f>
        <v/>
      </c>
      <c r="E17" s="584" t="str">
        <f>IFERROR(VLOOKUP(E$12,選定!$C$3:$AG$100,4,FALSE),"")</f>
        <v/>
      </c>
      <c r="F17" s="584" t="str">
        <f>IFERROR(VLOOKUP(F$12,選定!$C$3:$AG$100,4,FALSE),"")</f>
        <v/>
      </c>
      <c r="G17" s="584" t="str">
        <f>IFERROR(VLOOKUP(G$12,選定!$C$3:$AG$100,4,FALSE),"")</f>
        <v/>
      </c>
      <c r="H17" s="584" t="str">
        <f>IFERROR(VLOOKUP(H$12,選定!$C$3:$AG$100,4,FALSE),"")</f>
        <v/>
      </c>
      <c r="I17" s="584" t="str">
        <f>IFERROR(VLOOKUP(I$12,選定!$C$3:$AG$100,4,FALSE),"")</f>
        <v/>
      </c>
      <c r="J17" s="584" t="str">
        <f>IFERROR(VLOOKUP(J$12,選定!$C$3:$AG$100,4,FALSE),"")</f>
        <v/>
      </c>
      <c r="K17" s="584" t="str">
        <f>IFERROR(VLOOKUP(K$12,選定!$C$3:$AG$100,4,FALSE),"")</f>
        <v/>
      </c>
      <c r="L17" s="584" t="str">
        <f>IFERROR(VLOOKUP(L$12,選定!$C$3:$AG$100,4,FALSE),"")</f>
        <v/>
      </c>
      <c r="M17" s="584" t="str">
        <f>IFERROR(VLOOKUP(M$12,選定!$C$3:$AG$100,4,FALSE),"")</f>
        <v/>
      </c>
      <c r="N17" s="584" t="str">
        <f>IFERROR(VLOOKUP(N$12,選定!$C$3:$AG$100,4,FALSE),"")</f>
        <v/>
      </c>
      <c r="O17" s="584" t="str">
        <f>IFERROR(VLOOKUP(O$12,選定!$C$3:$AG$100,4,FALSE),"")</f>
        <v/>
      </c>
      <c r="P17" s="584" t="str">
        <f>IFERROR(VLOOKUP(P$12,選定!$C$3:$AG$100,4,FALSE),"")</f>
        <v/>
      </c>
      <c r="Q17" s="584" t="str">
        <f>IFERROR(VLOOKUP(Q$12,選定!$C$3:$AG$100,4,FALSE),"")</f>
        <v/>
      </c>
      <c r="R17" s="584" t="str">
        <f>IFERROR(VLOOKUP(R$12,選定!$C$3:$AG$100,4,FALSE),"")</f>
        <v/>
      </c>
      <c r="S17" s="584" t="str">
        <f>IFERROR(VLOOKUP(S$12,選定!$C$3:$AG$100,4,FALSE),"")</f>
        <v/>
      </c>
      <c r="T17" s="584" t="str">
        <f>IFERROR(VLOOKUP(T$12,選定!$C$3:$AG$100,4,FALSE),"")</f>
        <v/>
      </c>
      <c r="U17" s="584" t="str">
        <f>IFERROR(VLOOKUP(U$12,選定!$C$3:$AG$100,4,FALSE),"")</f>
        <v/>
      </c>
      <c r="V17" s="584" t="str">
        <f>IFERROR(VLOOKUP(V$12,選定!$C$3:$AG$100,4,FALSE),"")</f>
        <v/>
      </c>
      <c r="W17" s="584" t="str">
        <f>IFERROR(VLOOKUP(W$12,選定!$C$3:$AG$100,4,FALSE),"")</f>
        <v/>
      </c>
      <c r="X17" s="584" t="str">
        <f>IFERROR(VLOOKUP(X$12,選定!$C$3:$AG$100,4,FALSE),"")</f>
        <v/>
      </c>
      <c r="Y17" s="584" t="str">
        <f>IFERROR(VLOOKUP(Y$12,選定!$C$3:$AG$100,4,FALSE),"")</f>
        <v/>
      </c>
      <c r="Z17" s="584" t="str">
        <f>IFERROR(VLOOKUP(Z$12,選定!$C$3:$AG$100,4,FALSE),"")</f>
        <v/>
      </c>
      <c r="AA17" s="584" t="str">
        <f>IFERROR(VLOOKUP(AA$12,選定!$C$3:$AG$100,4,FALSE),"")</f>
        <v/>
      </c>
      <c r="AB17" s="584" t="str">
        <f>IFERROR(VLOOKUP(AB$12,選定!$C$3:$AG$100,4,FALSE),"")</f>
        <v/>
      </c>
      <c r="AC17" s="584" t="str">
        <f>IFERROR(VLOOKUP(AC$12,選定!$C$3:$AG$100,4,FALSE),"")</f>
        <v/>
      </c>
      <c r="AD17" s="584" t="str">
        <f>IFERROR(VLOOKUP(AD$12,選定!$C$3:$AG$100,4,FALSE),"")</f>
        <v/>
      </c>
      <c r="AE17" s="584" t="str">
        <f>IFERROR(VLOOKUP(AE$12,選定!$C$3:$AG$100,4,FALSE),"")</f>
        <v/>
      </c>
    </row>
    <row r="18" spans="1:31" s="588" customFormat="1" ht="15">
      <c r="A18" s="575" t="s">
        <v>100</v>
      </c>
      <c r="B18" s="575" t="str">
        <f>IFERROR(VLOOKUP(B$12,選定!$C$3:$AG$100,5,FALSE),"")</f>
        <v/>
      </c>
      <c r="C18" s="575" t="str">
        <f>IFERROR(VLOOKUP(C$12,選定!$C$3:$AG$100,5,FALSE),"")</f>
        <v/>
      </c>
      <c r="D18" s="575" t="str">
        <f>IFERROR(VLOOKUP(D$12,選定!$C$3:$AG$100,5,FALSE),"")</f>
        <v/>
      </c>
      <c r="E18" s="575" t="str">
        <f>IFERROR(VLOOKUP(E$12,選定!$C$3:$AG$100,5,FALSE),"")</f>
        <v/>
      </c>
      <c r="F18" s="575" t="str">
        <f>IFERROR(VLOOKUP(F$12,選定!$C$3:$AG$100,5,FALSE),"")</f>
        <v/>
      </c>
      <c r="G18" s="575" t="str">
        <f>IFERROR(VLOOKUP(G$12,選定!$C$3:$AG$100,5,FALSE),"")</f>
        <v/>
      </c>
      <c r="H18" s="575" t="str">
        <f>IFERROR(VLOOKUP(H$12,選定!$C$3:$AG$100,5,FALSE),"")</f>
        <v/>
      </c>
      <c r="I18" s="575" t="str">
        <f>IFERROR(VLOOKUP(I$12,選定!$C$3:$AG$100,5,FALSE),"")</f>
        <v/>
      </c>
      <c r="J18" s="575" t="str">
        <f>IFERROR(VLOOKUP(J$12,選定!$C$3:$AG$100,5,FALSE),"")</f>
        <v/>
      </c>
      <c r="K18" s="575" t="str">
        <f>IFERROR(VLOOKUP(K$12,選定!$C$3:$AG$100,5,FALSE),"")</f>
        <v/>
      </c>
      <c r="L18" s="575" t="str">
        <f>IFERROR(VLOOKUP(L$12,選定!$C$3:$AG$100,5,FALSE),"")</f>
        <v/>
      </c>
      <c r="M18" s="575" t="str">
        <f>IFERROR(VLOOKUP(M$12,選定!$C$3:$AG$100,5,FALSE),"")</f>
        <v/>
      </c>
      <c r="N18" s="575" t="str">
        <f>IFERROR(VLOOKUP(N$12,選定!$C$3:$AG$100,5,FALSE),"")</f>
        <v/>
      </c>
      <c r="O18" s="575" t="str">
        <f>IFERROR(VLOOKUP(O$12,選定!$C$3:$AG$100,5,FALSE),"")</f>
        <v/>
      </c>
      <c r="P18" s="575" t="str">
        <f>IFERROR(VLOOKUP(P$12,選定!$C$3:$AG$100,5,FALSE),"")</f>
        <v/>
      </c>
      <c r="Q18" s="575" t="str">
        <f>IFERROR(VLOOKUP(Q$12,選定!$C$3:$AG$100,5,FALSE),"")</f>
        <v/>
      </c>
      <c r="R18" s="575" t="str">
        <f>IFERROR(VLOOKUP(R$12,選定!$C$3:$AG$100,5,FALSE),"")</f>
        <v/>
      </c>
      <c r="S18" s="575" t="str">
        <f>IFERROR(VLOOKUP(S$12,選定!$C$3:$AG$100,5,FALSE),"")</f>
        <v/>
      </c>
      <c r="T18" s="575" t="str">
        <f>IFERROR(VLOOKUP(T$12,選定!$C$3:$AG$100,5,FALSE),"")</f>
        <v/>
      </c>
      <c r="U18" s="575" t="str">
        <f>IFERROR(VLOOKUP(U$12,選定!$C$3:$AG$100,5,FALSE),"")</f>
        <v/>
      </c>
      <c r="V18" s="575" t="str">
        <f>IFERROR(VLOOKUP(V$12,選定!$C$3:$AG$100,5,FALSE),"")</f>
        <v/>
      </c>
      <c r="W18" s="575" t="str">
        <f>IFERROR(VLOOKUP(W$12,選定!$C$3:$AG$100,5,FALSE),"")</f>
        <v/>
      </c>
      <c r="X18" s="575" t="str">
        <f>IFERROR(VLOOKUP(X$12,選定!$C$3:$AG$100,5,FALSE),"")</f>
        <v/>
      </c>
      <c r="Y18" s="575" t="str">
        <f>IFERROR(VLOOKUP(Y$12,選定!$C$3:$AG$100,5,FALSE),"")</f>
        <v/>
      </c>
      <c r="Z18" s="575" t="str">
        <f>IFERROR(VLOOKUP(Z$12,選定!$C$3:$AG$100,5,FALSE),"")</f>
        <v/>
      </c>
      <c r="AA18" s="575" t="str">
        <f>IFERROR(VLOOKUP(AA$12,選定!$C$3:$AG$100,5,FALSE),"")</f>
        <v/>
      </c>
      <c r="AB18" s="575" t="str">
        <f>IFERROR(VLOOKUP(AB$12,選定!$C$3:$AG$100,5,FALSE),"")</f>
        <v/>
      </c>
      <c r="AC18" s="575" t="str">
        <f>IFERROR(VLOOKUP(AC$12,選定!$C$3:$AG$100,5,FALSE),"")</f>
        <v/>
      </c>
      <c r="AD18" s="575" t="str">
        <f>IFERROR(VLOOKUP(AD$12,選定!$C$3:$AG$100,5,FALSE),"")</f>
        <v/>
      </c>
      <c r="AE18" s="575" t="str">
        <f>IFERROR(VLOOKUP(AE$12,選定!$C$3:$AG$100,5,FALSE),"")</f>
        <v/>
      </c>
    </row>
    <row r="19" spans="1:31" s="591" customFormat="1" ht="15" hidden="1" outlineLevel="1">
      <c r="A19" s="576" t="s">
        <v>101</v>
      </c>
      <c r="B19" s="576" t="str">
        <f>IFERROR(VLOOKUP(B$12,選定!$C$3:$AG$100,6,FALSE),"")</f>
        <v/>
      </c>
      <c r="C19" s="576" t="str">
        <f>IFERROR(VLOOKUP(C$12,選定!$C$3:$AG$100,6,FALSE),"")</f>
        <v/>
      </c>
      <c r="D19" s="576" t="str">
        <f>IFERROR(VLOOKUP(D$12,選定!$C$3:$AG$100,6,FALSE),"")</f>
        <v/>
      </c>
      <c r="E19" s="576" t="str">
        <f>IFERROR(VLOOKUP(E$12,選定!$C$3:$AG$100,6,FALSE),"")</f>
        <v/>
      </c>
      <c r="F19" s="576" t="str">
        <f>IFERROR(VLOOKUP(F$12,選定!$C$3:$AG$100,6,FALSE),"")</f>
        <v/>
      </c>
      <c r="G19" s="576" t="str">
        <f>IFERROR(VLOOKUP(G$12,選定!$C$3:$AG$100,6,FALSE),"")</f>
        <v/>
      </c>
      <c r="H19" s="576" t="str">
        <f>IFERROR(VLOOKUP(H$12,選定!$C$3:$AG$100,6,FALSE),"")</f>
        <v/>
      </c>
      <c r="I19" s="576" t="str">
        <f>IFERROR(VLOOKUP(I$12,選定!$C$3:$AG$100,6,FALSE),"")</f>
        <v/>
      </c>
      <c r="J19" s="576" t="str">
        <f>IFERROR(VLOOKUP(J$12,選定!$C$3:$AG$100,6,FALSE),"")</f>
        <v/>
      </c>
      <c r="K19" s="576" t="str">
        <f>IFERROR(VLOOKUP(K$12,選定!$C$3:$AG$100,6,FALSE),"")</f>
        <v/>
      </c>
      <c r="L19" s="576" t="str">
        <f>IFERROR(VLOOKUP(L$12,選定!$C$3:$AG$100,6,FALSE),"")</f>
        <v/>
      </c>
      <c r="M19" s="576" t="str">
        <f>IFERROR(VLOOKUP(M$12,選定!$C$3:$AG$100,6,FALSE),"")</f>
        <v/>
      </c>
      <c r="N19" s="576" t="str">
        <f>IFERROR(VLOOKUP(N$12,選定!$C$3:$AG$100,6,FALSE),"")</f>
        <v/>
      </c>
      <c r="O19" s="576" t="str">
        <f>IFERROR(VLOOKUP(O$12,選定!$C$3:$AG$100,6,FALSE),"")</f>
        <v/>
      </c>
      <c r="P19" s="576" t="str">
        <f>IFERROR(VLOOKUP(P$12,選定!$C$3:$AG$100,6,FALSE),"")</f>
        <v/>
      </c>
      <c r="Q19" s="576" t="str">
        <f>IFERROR(VLOOKUP(Q$12,選定!$C$3:$AG$100,6,FALSE),"")</f>
        <v/>
      </c>
      <c r="R19" s="576" t="str">
        <f>IFERROR(VLOOKUP(R$12,選定!$C$3:$AG$100,6,FALSE),"")</f>
        <v/>
      </c>
      <c r="S19" s="576" t="str">
        <f>IFERROR(VLOOKUP(S$12,選定!$C$3:$AG$100,6,FALSE),"")</f>
        <v/>
      </c>
      <c r="T19" s="576" t="str">
        <f>IFERROR(VLOOKUP(T$12,選定!$C$3:$AG$100,6,FALSE),"")</f>
        <v/>
      </c>
      <c r="U19" s="576" t="str">
        <f>IFERROR(VLOOKUP(U$12,選定!$C$3:$AG$100,6,FALSE),"")</f>
        <v/>
      </c>
      <c r="V19" s="576" t="str">
        <f>IFERROR(VLOOKUP(V$12,選定!$C$3:$AG$100,6,FALSE),"")</f>
        <v/>
      </c>
      <c r="W19" s="576" t="str">
        <f>IFERROR(VLOOKUP(W$12,選定!$C$3:$AG$100,6,FALSE),"")</f>
        <v/>
      </c>
      <c r="X19" s="576" t="str">
        <f>IFERROR(VLOOKUP(X$12,選定!$C$3:$AG$100,6,FALSE),"")</f>
        <v/>
      </c>
      <c r="Y19" s="576" t="str">
        <f>IFERROR(VLOOKUP(Y$12,選定!$C$3:$AG$100,6,FALSE),"")</f>
        <v/>
      </c>
      <c r="Z19" s="576" t="str">
        <f>IFERROR(VLOOKUP(Z$12,選定!$C$3:$AG$100,6,FALSE),"")</f>
        <v/>
      </c>
      <c r="AA19" s="576" t="str">
        <f>IFERROR(VLOOKUP(AA$12,選定!$C$3:$AG$100,6,FALSE),"")</f>
        <v/>
      </c>
      <c r="AB19" s="576" t="str">
        <f>IFERROR(VLOOKUP(AB$12,選定!$C$3:$AG$100,6,FALSE),"")</f>
        <v/>
      </c>
      <c r="AC19" s="576" t="str">
        <f>IFERROR(VLOOKUP(AC$12,選定!$C$3:$AG$100,6,FALSE),"")</f>
        <v/>
      </c>
      <c r="AD19" s="576" t="str">
        <f>IFERROR(VLOOKUP(AD$12,選定!$C$3:$AG$100,6,FALSE),"")</f>
        <v/>
      </c>
      <c r="AE19" s="576" t="str">
        <f>IFERROR(VLOOKUP(AE$12,選定!$C$3:$AG$100,6,FALSE),"")</f>
        <v/>
      </c>
    </row>
    <row r="20" spans="1:31" s="83" customFormat="1" ht="15" hidden="1" outlineLevel="1">
      <c r="A20" s="574" t="s">
        <v>102</v>
      </c>
      <c r="B20" s="574" t="str">
        <f>IFERROR(VLOOKUP(B$12,選定!$C$3:$AG$100,7,FALSE),"")</f>
        <v/>
      </c>
      <c r="C20" s="574" t="str">
        <f>IFERROR(VLOOKUP(C$12,選定!$C$3:$AG$100,7,FALSE),"")</f>
        <v/>
      </c>
      <c r="D20" s="574" t="str">
        <f>IFERROR(VLOOKUP(D$12,選定!$C$3:$AG$100,7,FALSE),"")</f>
        <v/>
      </c>
      <c r="E20" s="574" t="str">
        <f>IFERROR(VLOOKUP(E$12,選定!$C$3:$AG$100,7,FALSE),"")</f>
        <v/>
      </c>
      <c r="F20" s="574" t="str">
        <f>IFERROR(VLOOKUP(F$12,選定!$C$3:$AG$100,7,FALSE),"")</f>
        <v/>
      </c>
      <c r="G20" s="574" t="str">
        <f>IFERROR(VLOOKUP(G$12,選定!$C$3:$AG$100,7,FALSE),"")</f>
        <v/>
      </c>
      <c r="H20" s="574" t="str">
        <f>IFERROR(VLOOKUP(H$12,選定!$C$3:$AG$100,7,FALSE),"")</f>
        <v/>
      </c>
      <c r="I20" s="574" t="str">
        <f>IFERROR(VLOOKUP(I$12,選定!$C$3:$AG$100,7,FALSE),"")</f>
        <v/>
      </c>
      <c r="J20" s="574" t="str">
        <f>IFERROR(VLOOKUP(J$12,選定!$C$3:$AG$100,7,FALSE),"")</f>
        <v/>
      </c>
      <c r="K20" s="574" t="str">
        <f>IFERROR(VLOOKUP(K$12,選定!$C$3:$AG$100,7,FALSE),"")</f>
        <v/>
      </c>
      <c r="L20" s="574" t="str">
        <f>IFERROR(VLOOKUP(L$12,選定!$C$3:$AG$100,7,FALSE),"")</f>
        <v/>
      </c>
      <c r="M20" s="574" t="str">
        <f>IFERROR(VLOOKUP(M$12,選定!$C$3:$AG$100,7,FALSE),"")</f>
        <v/>
      </c>
      <c r="N20" s="574" t="str">
        <f>IFERROR(VLOOKUP(N$12,選定!$C$3:$AG$100,7,FALSE),"")</f>
        <v/>
      </c>
      <c r="O20" s="574" t="str">
        <f>IFERROR(VLOOKUP(O$12,選定!$C$3:$AG$100,7,FALSE),"")</f>
        <v/>
      </c>
      <c r="P20" s="574" t="str">
        <f>IFERROR(VLOOKUP(P$12,選定!$C$3:$AG$100,7,FALSE),"")</f>
        <v/>
      </c>
      <c r="Q20" s="574" t="str">
        <f>IFERROR(VLOOKUP(Q$12,選定!$C$3:$AG$100,7,FALSE),"")</f>
        <v/>
      </c>
      <c r="R20" s="574" t="str">
        <f>IFERROR(VLOOKUP(R$12,選定!$C$3:$AG$100,7,FALSE),"")</f>
        <v/>
      </c>
      <c r="S20" s="574" t="str">
        <f>IFERROR(VLOOKUP(S$12,選定!$C$3:$AG$100,7,FALSE),"")</f>
        <v/>
      </c>
      <c r="T20" s="574" t="str">
        <f>IFERROR(VLOOKUP(T$12,選定!$C$3:$AG$100,7,FALSE),"")</f>
        <v/>
      </c>
      <c r="U20" s="574" t="str">
        <f>IFERROR(VLOOKUP(U$12,選定!$C$3:$AG$100,7,FALSE),"")</f>
        <v/>
      </c>
      <c r="V20" s="574" t="str">
        <f>IFERROR(VLOOKUP(V$12,選定!$C$3:$AG$100,7,FALSE),"")</f>
        <v/>
      </c>
      <c r="W20" s="574" t="str">
        <f>IFERROR(VLOOKUP(W$12,選定!$C$3:$AG$100,7,FALSE),"")</f>
        <v/>
      </c>
      <c r="X20" s="574" t="str">
        <f>IFERROR(VLOOKUP(X$12,選定!$C$3:$AG$100,7,FALSE),"")</f>
        <v/>
      </c>
      <c r="Y20" s="574" t="str">
        <f>IFERROR(VLOOKUP(Y$12,選定!$C$3:$AG$100,7,FALSE),"")</f>
        <v/>
      </c>
      <c r="Z20" s="574" t="str">
        <f>IFERROR(VLOOKUP(Z$12,選定!$C$3:$AG$100,7,FALSE),"")</f>
        <v/>
      </c>
      <c r="AA20" s="574" t="str">
        <f>IFERROR(VLOOKUP(AA$12,選定!$C$3:$AG$100,7,FALSE),"")</f>
        <v/>
      </c>
      <c r="AB20" s="574" t="str">
        <f>IFERROR(VLOOKUP(AB$12,選定!$C$3:$AG$100,7,FALSE),"")</f>
        <v/>
      </c>
      <c r="AC20" s="574" t="str">
        <f>IFERROR(VLOOKUP(AC$12,選定!$C$3:$AG$100,7,FALSE),"")</f>
        <v/>
      </c>
      <c r="AD20" s="574" t="str">
        <f>IFERROR(VLOOKUP(AD$12,選定!$C$3:$AG$100,7,FALSE),"")</f>
        <v/>
      </c>
      <c r="AE20" s="574" t="str">
        <f>IFERROR(VLOOKUP(AE$12,選定!$C$3:$AG$100,7,FALSE),"")</f>
        <v/>
      </c>
    </row>
    <row r="21" spans="1:31" s="20" customFormat="1" ht="15" hidden="1" outlineLevel="1">
      <c r="A21" s="566"/>
      <c r="B21" s="566"/>
      <c r="C21" s="566"/>
      <c r="D21" s="566"/>
      <c r="E21" s="566"/>
      <c r="F21" s="566"/>
      <c r="G21" s="566"/>
      <c r="H21" s="566"/>
      <c r="I21" s="566"/>
      <c r="J21" s="566"/>
      <c r="K21" s="566"/>
      <c r="L21" s="566"/>
      <c r="M21" s="566"/>
      <c r="N21" s="566"/>
      <c r="O21" s="566"/>
      <c r="P21" s="566"/>
      <c r="Q21" s="566"/>
      <c r="R21" s="566"/>
      <c r="S21" s="566"/>
      <c r="T21" s="566"/>
      <c r="U21" s="566"/>
      <c r="V21" s="566"/>
      <c r="W21" s="566"/>
      <c r="X21" s="566"/>
      <c r="Y21" s="566"/>
      <c r="Z21" s="566"/>
      <c r="AA21" s="566"/>
      <c r="AB21" s="566"/>
      <c r="AC21" s="566"/>
      <c r="AD21" s="566"/>
      <c r="AE21" s="566"/>
    </row>
    <row r="22" spans="1:31" s="20" customFormat="1" ht="15" collapsed="1">
      <c r="A22" s="566" t="s">
        <v>104</v>
      </c>
      <c r="B22" s="566" t="str">
        <f>IFERROR(VLOOKUP(B$12,選定!$C$3:$AG$100,9,FALSE),"")</f>
        <v/>
      </c>
      <c r="C22" s="566" t="str">
        <f>IFERROR(VLOOKUP(C$12,選定!$C$3:$AG$100,9,FALSE),"")</f>
        <v/>
      </c>
      <c r="D22" s="566" t="str">
        <f>IFERROR(VLOOKUP(D$12,選定!$C$3:$AG$100,9,FALSE),"")</f>
        <v/>
      </c>
      <c r="E22" s="566" t="str">
        <f>IFERROR(VLOOKUP(E$12,選定!$C$3:$AG$100,9,FALSE),"")</f>
        <v/>
      </c>
      <c r="F22" s="566" t="str">
        <f>IFERROR(VLOOKUP(F$12,選定!$C$3:$AG$100,9,FALSE),"")</f>
        <v/>
      </c>
      <c r="G22" s="566" t="str">
        <f>IFERROR(VLOOKUP(G$12,選定!$C$3:$AG$100,9,FALSE),"")</f>
        <v/>
      </c>
      <c r="H22" s="566" t="str">
        <f>IFERROR(VLOOKUP(H$12,選定!$C$3:$AG$100,9,FALSE),"")</f>
        <v/>
      </c>
      <c r="I22" s="566" t="str">
        <f>IFERROR(VLOOKUP(I$12,選定!$C$3:$AG$100,9,FALSE),"")</f>
        <v/>
      </c>
      <c r="J22" s="566" t="str">
        <f>IFERROR(VLOOKUP(J$12,選定!$C$3:$AG$100,9,FALSE),"")</f>
        <v/>
      </c>
      <c r="K22" s="566" t="str">
        <f>IFERROR(VLOOKUP(K$12,選定!$C$3:$AG$100,9,FALSE),"")</f>
        <v/>
      </c>
      <c r="L22" s="566" t="str">
        <f>IFERROR(VLOOKUP(L$12,選定!$C$3:$AG$100,9,FALSE),"")</f>
        <v/>
      </c>
      <c r="M22" s="566" t="str">
        <f>IFERROR(VLOOKUP(M$12,選定!$C$3:$AG$100,9,FALSE),"")</f>
        <v/>
      </c>
      <c r="N22" s="566" t="str">
        <f>IFERROR(VLOOKUP(N$12,選定!$C$3:$AG$100,9,FALSE),"")</f>
        <v/>
      </c>
      <c r="O22" s="566" t="str">
        <f>IFERROR(VLOOKUP(O$12,選定!$C$3:$AG$100,9,FALSE),"")</f>
        <v/>
      </c>
      <c r="P22" s="566" t="str">
        <f>IFERROR(VLOOKUP(P$12,選定!$C$3:$AG$100,9,FALSE),"")</f>
        <v/>
      </c>
      <c r="Q22" s="566" t="str">
        <f>IFERROR(VLOOKUP(Q$12,選定!$C$3:$AG$100,9,FALSE),"")</f>
        <v/>
      </c>
      <c r="R22" s="566" t="str">
        <f>IFERROR(VLOOKUP(R$12,選定!$C$3:$AG$100,9,FALSE),"")</f>
        <v/>
      </c>
      <c r="S22" s="566" t="str">
        <f>IFERROR(VLOOKUP(S$12,選定!$C$3:$AG$100,9,FALSE),"")</f>
        <v/>
      </c>
      <c r="T22" s="566" t="str">
        <f>IFERROR(VLOOKUP(T$12,選定!$C$3:$AG$100,9,FALSE),"")</f>
        <v/>
      </c>
      <c r="U22" s="566" t="str">
        <f>IFERROR(VLOOKUP(U$12,選定!$C$3:$AG$100,9,FALSE),"")</f>
        <v/>
      </c>
      <c r="V22" s="566" t="str">
        <f>IFERROR(VLOOKUP(V$12,選定!$C$3:$AG$100,9,FALSE),"")</f>
        <v/>
      </c>
      <c r="W22" s="566" t="str">
        <f>IFERROR(VLOOKUP(W$12,選定!$C$3:$AG$100,9,FALSE),"")</f>
        <v/>
      </c>
      <c r="X22" s="566" t="str">
        <f>IFERROR(VLOOKUP(X$12,選定!$C$3:$AG$100,9,FALSE),"")</f>
        <v/>
      </c>
      <c r="Y22" s="566" t="str">
        <f>IFERROR(VLOOKUP(Y$12,選定!$C$3:$AG$100,9,FALSE),"")</f>
        <v/>
      </c>
      <c r="Z22" s="566" t="str">
        <f>IFERROR(VLOOKUP(Z$12,選定!$C$3:$AG$100,9,FALSE),"")</f>
        <v/>
      </c>
      <c r="AA22" s="566" t="str">
        <f>IFERROR(VLOOKUP(AA$12,選定!$C$3:$AG$100,9,FALSE),"")</f>
        <v/>
      </c>
      <c r="AB22" s="566" t="str">
        <f>IFERROR(VLOOKUP(AB$12,選定!$C$3:$AG$100,9,FALSE),"")</f>
        <v/>
      </c>
      <c r="AC22" s="566" t="str">
        <f>IFERROR(VLOOKUP(AC$12,選定!$C$3:$AG$100,9,FALSE),"")</f>
        <v/>
      </c>
      <c r="AD22" s="566" t="str">
        <f>IFERROR(VLOOKUP(AD$12,選定!$C$3:$AG$100,9,FALSE),"")</f>
        <v/>
      </c>
      <c r="AE22" s="566" t="str">
        <f>IFERROR(VLOOKUP(AE$12,選定!$C$3:$AG$100,9,FALSE),"")</f>
        <v/>
      </c>
    </row>
    <row r="23" spans="1:31" s="20" customFormat="1" ht="15">
      <c r="A23" s="566" t="s">
        <v>96</v>
      </c>
      <c r="B23" s="566" t="str">
        <f>IFERROR(VLOOKUP(B$12,選定!$C$3:$AG$100,10,FALSE),"")</f>
        <v/>
      </c>
      <c r="C23" s="566" t="str">
        <f>IFERROR(VLOOKUP(C$12,選定!$C$3:$AG$100,10,FALSE),"")</f>
        <v/>
      </c>
      <c r="D23" s="566" t="str">
        <f>IFERROR(VLOOKUP(D$12,選定!$C$3:$AG$100,10,FALSE),"")</f>
        <v/>
      </c>
      <c r="E23" s="566" t="str">
        <f>IFERROR(VLOOKUP(E$12,選定!$C$3:$AG$100,10,FALSE),"")</f>
        <v/>
      </c>
      <c r="F23" s="566" t="str">
        <f>IFERROR(VLOOKUP(F$12,選定!$C$3:$AG$100,10,FALSE),"")</f>
        <v/>
      </c>
      <c r="G23" s="566" t="str">
        <f>IFERROR(VLOOKUP(G$12,選定!$C$3:$AG$100,10,FALSE),"")</f>
        <v/>
      </c>
      <c r="H23" s="566" t="str">
        <f>IFERROR(VLOOKUP(H$12,選定!$C$3:$AG$100,10,FALSE),"")</f>
        <v/>
      </c>
      <c r="I23" s="566" t="str">
        <f>IFERROR(VLOOKUP(I$12,選定!$C$3:$AG$100,10,FALSE),"")</f>
        <v/>
      </c>
      <c r="J23" s="566" t="str">
        <f>IFERROR(VLOOKUP(J$12,選定!$C$3:$AG$100,10,FALSE),"")</f>
        <v/>
      </c>
      <c r="K23" s="566" t="str">
        <f>IFERROR(VLOOKUP(K$12,選定!$C$3:$AG$100,10,FALSE),"")</f>
        <v/>
      </c>
      <c r="L23" s="566" t="str">
        <f>IFERROR(VLOOKUP(L$12,選定!$C$3:$AG$100,10,FALSE),"")</f>
        <v/>
      </c>
      <c r="M23" s="566" t="str">
        <f>IFERROR(VLOOKUP(M$12,選定!$C$3:$AG$100,10,FALSE),"")</f>
        <v/>
      </c>
      <c r="N23" s="566" t="str">
        <f>IFERROR(VLOOKUP(N$12,選定!$C$3:$AG$100,10,FALSE),"")</f>
        <v/>
      </c>
      <c r="O23" s="566" t="str">
        <f>IFERROR(VLOOKUP(O$12,選定!$C$3:$AG$100,10,FALSE),"")</f>
        <v/>
      </c>
      <c r="P23" s="566" t="str">
        <f>IFERROR(VLOOKUP(P$12,選定!$C$3:$AG$100,10,FALSE),"")</f>
        <v/>
      </c>
      <c r="Q23" s="566" t="str">
        <f>IFERROR(VLOOKUP(Q$12,選定!$C$3:$AG$100,10,FALSE),"")</f>
        <v/>
      </c>
      <c r="R23" s="566" t="str">
        <f>IFERROR(VLOOKUP(R$12,選定!$C$3:$AG$100,10,FALSE),"")</f>
        <v/>
      </c>
      <c r="S23" s="566" t="str">
        <f>IFERROR(VLOOKUP(S$12,選定!$C$3:$AG$100,10,FALSE),"")</f>
        <v/>
      </c>
      <c r="T23" s="566" t="str">
        <f>IFERROR(VLOOKUP(T$12,選定!$C$3:$AG$100,10,FALSE),"")</f>
        <v/>
      </c>
      <c r="U23" s="566" t="str">
        <f>IFERROR(VLOOKUP(U$12,選定!$C$3:$AG$100,10,FALSE),"")</f>
        <v/>
      </c>
      <c r="V23" s="566" t="str">
        <f>IFERROR(VLOOKUP(V$12,選定!$C$3:$AG$100,10,FALSE),"")</f>
        <v/>
      </c>
      <c r="W23" s="566" t="str">
        <f>IFERROR(VLOOKUP(W$12,選定!$C$3:$AG$100,10,FALSE),"")</f>
        <v/>
      </c>
      <c r="X23" s="566" t="str">
        <f>IFERROR(VLOOKUP(X$12,選定!$C$3:$AG$100,10,FALSE),"")</f>
        <v/>
      </c>
      <c r="Y23" s="566" t="str">
        <f>IFERROR(VLOOKUP(Y$12,選定!$C$3:$AG$100,10,FALSE),"")</f>
        <v/>
      </c>
      <c r="Z23" s="566" t="str">
        <f>IFERROR(VLOOKUP(Z$12,選定!$C$3:$AG$100,10,FALSE),"")</f>
        <v/>
      </c>
      <c r="AA23" s="566" t="str">
        <f>IFERROR(VLOOKUP(AA$12,選定!$C$3:$AG$100,10,FALSE),"")</f>
        <v/>
      </c>
      <c r="AB23" s="566" t="str">
        <f>IFERROR(VLOOKUP(AB$12,選定!$C$3:$AG$100,10,FALSE),"")</f>
        <v/>
      </c>
      <c r="AC23" s="566" t="str">
        <f>IFERROR(VLOOKUP(AC$12,選定!$C$3:$AG$100,10,FALSE),"")</f>
        <v/>
      </c>
      <c r="AD23" s="566" t="str">
        <f>IFERROR(VLOOKUP(AD$12,選定!$C$3:$AG$100,10,FALSE),"")</f>
        <v/>
      </c>
      <c r="AE23" s="566" t="str">
        <f>IFERROR(VLOOKUP(AE$12,選定!$C$3:$AG$100,10,FALSE),"")</f>
        <v/>
      </c>
    </row>
    <row r="24" spans="1:31" s="20" customFormat="1" ht="15.75" thickBot="1">
      <c r="A24" s="586" t="s">
        <v>488</v>
      </c>
      <c r="B24" s="566" t="str">
        <f>IFERROR(VLOOKUP(B$12,選定!$C$3:$AG$100,11,FALSE),"")</f>
        <v/>
      </c>
      <c r="C24" s="566" t="str">
        <f>IFERROR(VLOOKUP(C$12,選定!$C$3:$AG$100,11,FALSE),"")</f>
        <v/>
      </c>
      <c r="D24" s="566" t="str">
        <f>IFERROR(VLOOKUP(D$12,選定!$C$3:$AG$100,11,FALSE),"")</f>
        <v/>
      </c>
      <c r="E24" s="566" t="str">
        <f>IFERROR(VLOOKUP(E$12,選定!$C$3:$AG$100,11,FALSE),"")</f>
        <v/>
      </c>
      <c r="F24" s="566" t="str">
        <f>IFERROR(VLOOKUP(F$12,選定!$C$3:$AG$100,11,FALSE),"")</f>
        <v/>
      </c>
      <c r="G24" s="566" t="str">
        <f>IFERROR(VLOOKUP(G$12,選定!$C$3:$AG$100,11,FALSE),"")</f>
        <v/>
      </c>
      <c r="H24" s="566" t="str">
        <f>IFERROR(VLOOKUP(H$12,選定!$C$3:$AG$100,11,FALSE),"")</f>
        <v/>
      </c>
      <c r="I24" s="566" t="str">
        <f>IFERROR(VLOOKUP(I$12,選定!$C$3:$AG$100,11,FALSE),"")</f>
        <v/>
      </c>
      <c r="J24" s="566" t="str">
        <f>IFERROR(VLOOKUP(J$12,選定!$C$3:$AG$100,11,FALSE),"")</f>
        <v/>
      </c>
      <c r="K24" s="566" t="str">
        <f>IFERROR(VLOOKUP(K$12,選定!$C$3:$AG$100,11,FALSE),"")</f>
        <v/>
      </c>
      <c r="L24" s="566" t="str">
        <f>IFERROR(VLOOKUP(L$12,選定!$C$3:$AG$100,11,FALSE),"")</f>
        <v/>
      </c>
      <c r="M24" s="566" t="str">
        <f>IFERROR(VLOOKUP(M$12,選定!$C$3:$AG$100,11,FALSE),"")</f>
        <v/>
      </c>
      <c r="N24" s="566" t="str">
        <f>IFERROR(VLOOKUP(N$12,選定!$C$3:$AG$100,11,FALSE),"")</f>
        <v/>
      </c>
      <c r="O24" s="566" t="str">
        <f>IFERROR(VLOOKUP(O$12,選定!$C$3:$AG$100,11,FALSE),"")</f>
        <v/>
      </c>
      <c r="P24" s="566" t="str">
        <f>IFERROR(VLOOKUP(P$12,選定!$C$3:$AG$100,11,FALSE),"")</f>
        <v/>
      </c>
      <c r="Q24" s="566" t="str">
        <f>IFERROR(VLOOKUP(Q$12,選定!$C$3:$AG$100,11,FALSE),"")</f>
        <v/>
      </c>
      <c r="R24" s="566" t="str">
        <f>IFERROR(VLOOKUP(R$12,選定!$C$3:$AG$100,11,FALSE),"")</f>
        <v/>
      </c>
      <c r="S24" s="566" t="str">
        <f>IFERROR(VLOOKUP(S$12,選定!$C$3:$AG$100,11,FALSE),"")</f>
        <v/>
      </c>
      <c r="T24" s="566" t="str">
        <f>IFERROR(VLOOKUP(T$12,選定!$C$3:$AG$100,11,FALSE),"")</f>
        <v/>
      </c>
      <c r="U24" s="566" t="str">
        <f>IFERROR(VLOOKUP(U$12,選定!$C$3:$AG$100,11,FALSE),"")</f>
        <v/>
      </c>
      <c r="V24" s="566" t="str">
        <f>IFERROR(VLOOKUP(V$12,選定!$C$3:$AG$100,11,FALSE),"")</f>
        <v/>
      </c>
      <c r="W24" s="566" t="str">
        <f>IFERROR(VLOOKUP(W$12,選定!$C$3:$AG$100,11,FALSE),"")</f>
        <v/>
      </c>
      <c r="X24" s="566" t="str">
        <f>IFERROR(VLOOKUP(X$12,選定!$C$3:$AG$100,11,FALSE),"")</f>
        <v/>
      </c>
      <c r="Y24" s="566" t="str">
        <f>IFERROR(VLOOKUP(Y$12,選定!$C$3:$AG$100,11,FALSE),"")</f>
        <v/>
      </c>
      <c r="Z24" s="566" t="str">
        <f>IFERROR(VLOOKUP(Z$12,選定!$C$3:$AG$100,11,FALSE),"")</f>
        <v/>
      </c>
      <c r="AA24" s="566" t="str">
        <f>IFERROR(VLOOKUP(AA$12,選定!$C$3:$AG$100,11,FALSE),"")</f>
        <v/>
      </c>
      <c r="AB24" s="566" t="str">
        <f>IFERROR(VLOOKUP(AB$12,選定!$C$3:$AG$100,11,FALSE),"")</f>
        <v/>
      </c>
      <c r="AC24" s="566" t="str">
        <f>IFERROR(VLOOKUP(AC$12,選定!$C$3:$AG$100,11,FALSE),"")</f>
        <v/>
      </c>
      <c r="AD24" s="566" t="str">
        <f>IFERROR(VLOOKUP(AD$12,選定!$C$3:$AG$100,11,FALSE),"")</f>
        <v/>
      </c>
      <c r="AE24" s="566" t="str">
        <f>IFERROR(VLOOKUP(AE$12,選定!$C$3:$AG$100,11,FALSE),"")</f>
        <v/>
      </c>
    </row>
    <row r="25" spans="1:31" s="20" customFormat="1" ht="15.75" hidden="1" thickBot="1">
      <c r="A25" s="600" t="s">
        <v>106</v>
      </c>
      <c r="B25" s="566" t="str">
        <f>IFERROR(VLOOKUP(B$12,選定!$C$3:$AG$100,12,FALSE),"")</f>
        <v/>
      </c>
      <c r="C25" s="566" t="str">
        <f>IFERROR(VLOOKUP(C$12,選定!$C$3:$AG$100,12,FALSE),"")</f>
        <v/>
      </c>
      <c r="D25" s="566" t="str">
        <f>IFERROR(VLOOKUP(D$12,選定!$C$3:$AG$100,12,FALSE),"")</f>
        <v/>
      </c>
      <c r="E25" s="566" t="str">
        <f>IFERROR(VLOOKUP(E$12,選定!$C$3:$AG$100,12,FALSE),"")</f>
        <v/>
      </c>
      <c r="F25" s="566" t="str">
        <f>IFERROR(VLOOKUP(F$12,選定!$C$3:$AG$100,12,FALSE),"")</f>
        <v/>
      </c>
      <c r="G25" s="566" t="str">
        <f>IFERROR(VLOOKUP(G$12,選定!$C$3:$AG$100,12,FALSE),"")</f>
        <v/>
      </c>
      <c r="H25" s="566" t="str">
        <f>IFERROR(VLOOKUP(H$12,選定!$C$3:$AG$100,12,FALSE),"")</f>
        <v/>
      </c>
      <c r="I25" s="566" t="str">
        <f>IFERROR(VLOOKUP(I$12,選定!$C$3:$AG$100,12,FALSE),"")</f>
        <v/>
      </c>
      <c r="J25" s="566" t="str">
        <f>IFERROR(VLOOKUP(J$12,選定!$C$3:$AG$100,12,FALSE),"")</f>
        <v/>
      </c>
      <c r="K25" s="566" t="str">
        <f>IFERROR(VLOOKUP(K$12,選定!$C$3:$AG$100,12,FALSE),"")</f>
        <v/>
      </c>
      <c r="L25" s="566" t="str">
        <f>IFERROR(VLOOKUP(L$12,選定!$C$3:$AG$100,12,FALSE),"")</f>
        <v/>
      </c>
      <c r="M25" s="566" t="str">
        <f>IFERROR(VLOOKUP(M$12,選定!$C$3:$AG$100,12,FALSE),"")</f>
        <v/>
      </c>
      <c r="N25" s="566" t="str">
        <f>IFERROR(VLOOKUP(N$12,選定!$C$3:$AG$100,12,FALSE),"")</f>
        <v/>
      </c>
      <c r="O25" s="566" t="str">
        <f>IFERROR(VLOOKUP(O$12,選定!$C$3:$AG$100,12,FALSE),"")</f>
        <v/>
      </c>
      <c r="P25" s="566" t="str">
        <f>IFERROR(VLOOKUP(P$12,選定!$C$3:$AG$100,12,FALSE),"")</f>
        <v/>
      </c>
      <c r="Q25" s="566" t="str">
        <f>IFERROR(VLOOKUP(Q$12,選定!$C$3:$AG$100,12,FALSE),"")</f>
        <v/>
      </c>
      <c r="R25" s="566" t="str">
        <f>IFERROR(VLOOKUP(R$12,選定!$C$3:$AG$100,12,FALSE),"")</f>
        <v/>
      </c>
      <c r="S25" s="566" t="str">
        <f>IFERROR(VLOOKUP(S$12,選定!$C$3:$AG$100,12,FALSE),"")</f>
        <v/>
      </c>
      <c r="T25" s="566" t="str">
        <f>IFERROR(VLOOKUP(T$12,選定!$C$3:$AG$100,12,FALSE),"")</f>
        <v/>
      </c>
      <c r="U25" s="566" t="str">
        <f>IFERROR(VLOOKUP(U$12,選定!$C$3:$AG$100,12,FALSE),"")</f>
        <v/>
      </c>
      <c r="V25" s="566" t="str">
        <f>IFERROR(VLOOKUP(V$12,選定!$C$3:$AG$100,12,FALSE),"")</f>
        <v/>
      </c>
      <c r="W25" s="566" t="str">
        <f>IFERROR(VLOOKUP(W$12,選定!$C$3:$AG$100,12,FALSE),"")</f>
        <v/>
      </c>
      <c r="X25" s="566" t="str">
        <f>IFERROR(VLOOKUP(X$12,選定!$C$3:$AG$100,12,FALSE),"")</f>
        <v/>
      </c>
      <c r="Y25" s="566" t="str">
        <f>IFERROR(VLOOKUP(Y$12,選定!$C$3:$AG$100,12,FALSE),"")</f>
        <v/>
      </c>
      <c r="Z25" s="566" t="str">
        <f>IFERROR(VLOOKUP(Z$12,選定!$C$3:$AG$100,12,FALSE),"")</f>
        <v/>
      </c>
      <c r="AA25" s="566" t="str">
        <f>IFERROR(VLOOKUP(AA$12,選定!$C$3:$AG$100,12,FALSE),"")</f>
        <v/>
      </c>
      <c r="AB25" s="566" t="str">
        <f>IFERROR(VLOOKUP(AB$12,選定!$C$3:$AG$100,12,FALSE),"")</f>
        <v/>
      </c>
      <c r="AC25" s="566" t="str">
        <f>IFERROR(VLOOKUP(AC$12,選定!$C$3:$AG$100,12,FALSE),"")</f>
        <v/>
      </c>
      <c r="AD25" s="566" t="str">
        <f>IFERROR(VLOOKUP(AD$12,選定!$C$3:$AG$100,12,FALSE),"")</f>
        <v/>
      </c>
      <c r="AE25" s="566" t="str">
        <f>IFERROR(VLOOKUP(AE$12,選定!$C$3:$AG$100,12,FALSE),"")</f>
        <v/>
      </c>
    </row>
    <row r="26" spans="1:31" s="20" customFormat="1" ht="15.75" hidden="1" thickBot="1">
      <c r="A26" s="600" t="s">
        <v>107</v>
      </c>
      <c r="B26" s="566" t="str">
        <f>IFERROR(VLOOKUP(B$12,選定!$C$3:$AG$100,13,FALSE),"")</f>
        <v/>
      </c>
      <c r="C26" s="566" t="str">
        <f>IFERROR(VLOOKUP(C$12,選定!$C$3:$AG$100,13,FALSE),"")</f>
        <v/>
      </c>
      <c r="D26" s="566" t="str">
        <f>IFERROR(VLOOKUP(D$12,選定!$C$3:$AG$100,13,FALSE),"")</f>
        <v/>
      </c>
      <c r="E26" s="566" t="str">
        <f>IFERROR(VLOOKUP(E$12,選定!$C$3:$AG$100,13,FALSE),"")</f>
        <v/>
      </c>
      <c r="F26" s="566" t="str">
        <f>IFERROR(VLOOKUP(F$12,選定!$C$3:$AG$100,13,FALSE),"")</f>
        <v/>
      </c>
      <c r="G26" s="566" t="str">
        <f>IFERROR(VLOOKUP(G$12,選定!$C$3:$AG$100,13,FALSE),"")</f>
        <v/>
      </c>
      <c r="H26" s="566" t="str">
        <f>IFERROR(VLOOKUP(H$12,選定!$C$3:$AG$100,13,FALSE),"")</f>
        <v/>
      </c>
      <c r="I26" s="566" t="str">
        <f>IFERROR(VLOOKUP(I$12,選定!$C$3:$AG$100,13,FALSE),"")</f>
        <v/>
      </c>
      <c r="J26" s="566" t="str">
        <f>IFERROR(VLOOKUP(J$12,選定!$C$3:$AG$100,13,FALSE),"")</f>
        <v/>
      </c>
      <c r="K26" s="566" t="str">
        <f>IFERROR(VLOOKUP(K$12,選定!$C$3:$AG$100,13,FALSE),"")</f>
        <v/>
      </c>
      <c r="L26" s="566" t="str">
        <f>IFERROR(VLOOKUP(L$12,選定!$C$3:$AG$100,13,FALSE),"")</f>
        <v/>
      </c>
      <c r="M26" s="566" t="str">
        <f>IFERROR(VLOOKUP(M$12,選定!$C$3:$AG$100,13,FALSE),"")</f>
        <v/>
      </c>
      <c r="N26" s="566" t="str">
        <f>IFERROR(VLOOKUP(N$12,選定!$C$3:$AG$100,13,FALSE),"")</f>
        <v/>
      </c>
      <c r="O26" s="566" t="str">
        <f>IFERROR(VLOOKUP(O$12,選定!$C$3:$AG$100,13,FALSE),"")</f>
        <v/>
      </c>
      <c r="P26" s="566" t="str">
        <f>IFERROR(VLOOKUP(P$12,選定!$C$3:$AG$100,13,FALSE),"")</f>
        <v/>
      </c>
      <c r="Q26" s="566" t="str">
        <f>IFERROR(VLOOKUP(Q$12,選定!$C$3:$AG$100,13,FALSE),"")</f>
        <v/>
      </c>
      <c r="R26" s="566" t="str">
        <f>IFERROR(VLOOKUP(R$12,選定!$C$3:$AG$100,13,FALSE),"")</f>
        <v/>
      </c>
      <c r="S26" s="566" t="str">
        <f>IFERROR(VLOOKUP(S$12,選定!$C$3:$AG$100,13,FALSE),"")</f>
        <v/>
      </c>
      <c r="T26" s="566" t="str">
        <f>IFERROR(VLOOKUP(T$12,選定!$C$3:$AG$100,13,FALSE),"")</f>
        <v/>
      </c>
      <c r="U26" s="566" t="str">
        <f>IFERROR(VLOOKUP(U$12,選定!$C$3:$AG$100,13,FALSE),"")</f>
        <v/>
      </c>
      <c r="V26" s="566" t="str">
        <f>IFERROR(VLOOKUP(V$12,選定!$C$3:$AG$100,13,FALSE),"")</f>
        <v/>
      </c>
      <c r="W26" s="566" t="str">
        <f>IFERROR(VLOOKUP(W$12,選定!$C$3:$AG$100,13,FALSE),"")</f>
        <v/>
      </c>
      <c r="X26" s="566" t="str">
        <f>IFERROR(VLOOKUP(X$12,選定!$C$3:$AG$100,13,FALSE),"")</f>
        <v/>
      </c>
      <c r="Y26" s="566" t="str">
        <f>IFERROR(VLOOKUP(Y$12,選定!$C$3:$AG$100,13,FALSE),"")</f>
        <v/>
      </c>
      <c r="Z26" s="566" t="str">
        <f>IFERROR(VLOOKUP(Z$12,選定!$C$3:$AG$100,13,FALSE),"")</f>
        <v/>
      </c>
      <c r="AA26" s="566" t="str">
        <f>IFERROR(VLOOKUP(AA$12,選定!$C$3:$AG$100,13,FALSE),"")</f>
        <v/>
      </c>
      <c r="AB26" s="566" t="str">
        <f>IFERROR(VLOOKUP(AB$12,選定!$C$3:$AG$100,13,FALSE),"")</f>
        <v/>
      </c>
      <c r="AC26" s="566" t="str">
        <f>IFERROR(VLOOKUP(AC$12,選定!$C$3:$AG$100,13,FALSE),"")</f>
        <v/>
      </c>
      <c r="AD26" s="566" t="str">
        <f>IFERROR(VLOOKUP(AD$12,選定!$C$3:$AG$100,13,FALSE),"")</f>
        <v/>
      </c>
      <c r="AE26" s="566" t="str">
        <f>IFERROR(VLOOKUP(AE$12,選定!$C$3:$AG$100,13,FALSE),"")</f>
        <v/>
      </c>
    </row>
    <row r="27" spans="1:31" s="83" customFormat="1" ht="15.75" hidden="1" thickBot="1">
      <c r="A27" s="603" t="s">
        <v>108</v>
      </c>
      <c r="B27" s="574" t="str">
        <f>IFERROR(VLOOKUP(B$12,選定!$C$3:$AG$100,14,FALSE),"")</f>
        <v/>
      </c>
      <c r="C27" s="574" t="str">
        <f>IFERROR(VLOOKUP(C$12,選定!$C$3:$AG$100,14,FALSE),"")</f>
        <v/>
      </c>
      <c r="D27" s="574" t="str">
        <f>IFERROR(VLOOKUP(D$12,選定!$C$3:$AG$100,14,FALSE),"")</f>
        <v/>
      </c>
      <c r="E27" s="574" t="str">
        <f>IFERROR(VLOOKUP(E$12,選定!$C$3:$AG$100,14,FALSE),"")</f>
        <v/>
      </c>
      <c r="F27" s="574" t="str">
        <f>IFERROR(VLOOKUP(F$12,選定!$C$3:$AG$100,14,FALSE),"")</f>
        <v/>
      </c>
      <c r="G27" s="574" t="str">
        <f>IFERROR(VLOOKUP(G$12,選定!$C$3:$AG$100,14,FALSE),"")</f>
        <v/>
      </c>
      <c r="H27" s="574" t="str">
        <f>IFERROR(VLOOKUP(H$12,選定!$C$3:$AG$100,14,FALSE),"")</f>
        <v/>
      </c>
      <c r="I27" s="574" t="str">
        <f>IFERROR(VLOOKUP(I$12,選定!$C$3:$AG$100,14,FALSE),"")</f>
        <v/>
      </c>
      <c r="J27" s="574" t="str">
        <f>IFERROR(VLOOKUP(J$12,選定!$C$3:$AG$100,14,FALSE),"")</f>
        <v/>
      </c>
      <c r="K27" s="574" t="str">
        <f>IFERROR(VLOOKUP(K$12,選定!$C$3:$AG$100,14,FALSE),"")</f>
        <v/>
      </c>
      <c r="L27" s="574" t="str">
        <f>IFERROR(VLOOKUP(L$12,選定!$C$3:$AG$100,14,FALSE),"")</f>
        <v/>
      </c>
      <c r="M27" s="574" t="str">
        <f>IFERROR(VLOOKUP(M$12,選定!$C$3:$AG$100,14,FALSE),"")</f>
        <v/>
      </c>
      <c r="N27" s="574" t="str">
        <f>IFERROR(VLOOKUP(N$12,選定!$C$3:$AG$100,14,FALSE),"")</f>
        <v/>
      </c>
      <c r="O27" s="574" t="str">
        <f>IFERROR(VLOOKUP(O$12,選定!$C$3:$AG$100,14,FALSE),"")</f>
        <v/>
      </c>
      <c r="P27" s="574" t="str">
        <f>IFERROR(VLOOKUP(P$12,選定!$C$3:$AG$100,14,FALSE),"")</f>
        <v/>
      </c>
      <c r="Q27" s="574" t="str">
        <f>IFERROR(VLOOKUP(Q$12,選定!$C$3:$AG$100,14,FALSE),"")</f>
        <v/>
      </c>
      <c r="R27" s="574" t="str">
        <f>IFERROR(VLOOKUP(R$12,選定!$C$3:$AG$100,14,FALSE),"")</f>
        <v/>
      </c>
      <c r="S27" s="574" t="str">
        <f>IFERROR(VLOOKUP(S$12,選定!$C$3:$AG$100,14,FALSE),"")</f>
        <v/>
      </c>
      <c r="T27" s="574" t="str">
        <f>IFERROR(VLOOKUP(T$12,選定!$C$3:$AG$100,14,FALSE),"")</f>
        <v/>
      </c>
      <c r="U27" s="574" t="str">
        <f>IFERROR(VLOOKUP(U$12,選定!$C$3:$AG$100,14,FALSE),"")</f>
        <v/>
      </c>
      <c r="V27" s="574" t="str">
        <f>IFERROR(VLOOKUP(V$12,選定!$C$3:$AG$100,14,FALSE),"")</f>
        <v/>
      </c>
      <c r="W27" s="574" t="str">
        <f>IFERROR(VLOOKUP(W$12,選定!$C$3:$AG$100,14,FALSE),"")</f>
        <v/>
      </c>
      <c r="X27" s="574" t="str">
        <f>IFERROR(VLOOKUP(X$12,選定!$C$3:$AG$100,14,FALSE),"")</f>
        <v/>
      </c>
      <c r="Y27" s="574" t="str">
        <f>IFERROR(VLOOKUP(Y$12,選定!$C$3:$AG$100,14,FALSE),"")</f>
        <v/>
      </c>
      <c r="Z27" s="574" t="str">
        <f>IFERROR(VLOOKUP(Z$12,選定!$C$3:$AG$100,14,FALSE),"")</f>
        <v/>
      </c>
      <c r="AA27" s="574" t="str">
        <f>IFERROR(VLOOKUP(AA$12,選定!$C$3:$AG$100,14,FALSE),"")</f>
        <v/>
      </c>
      <c r="AB27" s="574" t="str">
        <f>IFERROR(VLOOKUP(AB$12,選定!$C$3:$AG$100,14,FALSE),"")</f>
        <v/>
      </c>
      <c r="AC27" s="574" t="str">
        <f>IFERROR(VLOOKUP(AC$12,選定!$C$3:$AG$100,14,FALSE),"")</f>
        <v/>
      </c>
      <c r="AD27" s="574" t="str">
        <f>IFERROR(VLOOKUP(AD$12,選定!$C$3:$AG$100,14,FALSE),"")</f>
        <v/>
      </c>
      <c r="AE27" s="574" t="str">
        <f>IFERROR(VLOOKUP(AE$12,選定!$C$3:$AG$100,14,FALSE),"")</f>
        <v/>
      </c>
    </row>
    <row r="28" spans="1:31" s="20" customFormat="1" ht="15.75" hidden="1" thickBot="1">
      <c r="A28" s="600"/>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c r="AA28" s="586"/>
      <c r="AB28" s="586"/>
      <c r="AC28" s="586"/>
      <c r="AD28" s="586"/>
      <c r="AE28" s="586"/>
    </row>
    <row r="29" spans="1:31" s="20" customFormat="1" ht="15.75" hidden="1" thickBot="1">
      <c r="A29" s="600" t="s">
        <v>110</v>
      </c>
      <c r="B29" s="586" t="str">
        <f>IFERROR(VLOOKUP(B$12,選定!$C$3:$AG$100,16,FALSE),"")</f>
        <v/>
      </c>
      <c r="C29" s="586" t="str">
        <f>IFERROR(VLOOKUP(C$12,選定!$C$3:$AG$100,16,FALSE),"")</f>
        <v/>
      </c>
      <c r="D29" s="586" t="str">
        <f>IFERROR(VLOOKUP(D$12,選定!$C$3:$AG$100,16,FALSE),"")</f>
        <v/>
      </c>
      <c r="E29" s="586" t="str">
        <f>IFERROR(VLOOKUP(E$12,選定!$C$3:$AG$100,16,FALSE),"")</f>
        <v/>
      </c>
      <c r="F29" s="586" t="str">
        <f>IFERROR(VLOOKUP(F$12,選定!$C$3:$AG$100,16,FALSE),"")</f>
        <v/>
      </c>
      <c r="G29" s="586" t="str">
        <f>IFERROR(VLOOKUP(G$12,選定!$C$3:$AG$100,16,FALSE),"")</f>
        <v/>
      </c>
      <c r="H29" s="586" t="str">
        <f>IFERROR(VLOOKUP(H$12,選定!$C$3:$AG$100,16,FALSE),"")</f>
        <v/>
      </c>
      <c r="I29" s="586" t="str">
        <f>IFERROR(VLOOKUP(I$12,選定!$C$3:$AG$100,16,FALSE),"")</f>
        <v/>
      </c>
      <c r="J29" s="586" t="str">
        <f>IFERROR(VLOOKUP(J$12,選定!$C$3:$AG$100,16,FALSE),"")</f>
        <v/>
      </c>
      <c r="K29" s="586" t="str">
        <f>IFERROR(VLOOKUP(K$12,選定!$C$3:$AG$100,16,FALSE),"")</f>
        <v/>
      </c>
      <c r="L29" s="586" t="str">
        <f>IFERROR(VLOOKUP(L$12,選定!$C$3:$AG$100,16,FALSE),"")</f>
        <v/>
      </c>
      <c r="M29" s="586" t="str">
        <f>IFERROR(VLOOKUP(M$12,選定!$C$3:$AG$100,16,FALSE),"")</f>
        <v/>
      </c>
      <c r="N29" s="586" t="str">
        <f>IFERROR(VLOOKUP(N$12,選定!$C$3:$AG$100,16,FALSE),"")</f>
        <v/>
      </c>
      <c r="O29" s="586" t="str">
        <f>IFERROR(VLOOKUP(O$12,選定!$C$3:$AG$100,16,FALSE),"")</f>
        <v/>
      </c>
      <c r="P29" s="586" t="str">
        <f>IFERROR(VLOOKUP(P$12,選定!$C$3:$AG$100,16,FALSE),"")</f>
        <v/>
      </c>
      <c r="Q29" s="586" t="str">
        <f>IFERROR(VLOOKUP(Q$12,選定!$C$3:$AG$100,16,FALSE),"")</f>
        <v/>
      </c>
      <c r="R29" s="586" t="str">
        <f>IFERROR(VLOOKUP(R$12,選定!$C$3:$AG$100,16,FALSE),"")</f>
        <v/>
      </c>
      <c r="S29" s="586" t="str">
        <f>IFERROR(VLOOKUP(S$12,選定!$C$3:$AG$100,16,FALSE),"")</f>
        <v/>
      </c>
      <c r="T29" s="586" t="str">
        <f>IFERROR(VLOOKUP(T$12,選定!$C$3:$AG$100,16,FALSE),"")</f>
        <v/>
      </c>
      <c r="U29" s="586" t="str">
        <f>IFERROR(VLOOKUP(U$12,選定!$C$3:$AG$100,16,FALSE),"")</f>
        <v/>
      </c>
      <c r="V29" s="586" t="str">
        <f>IFERROR(VLOOKUP(V$12,選定!$C$3:$AG$100,16,FALSE),"")</f>
        <v/>
      </c>
      <c r="W29" s="586" t="str">
        <f>IFERROR(VLOOKUP(W$12,選定!$C$3:$AG$100,16,FALSE),"")</f>
        <v/>
      </c>
      <c r="X29" s="586" t="str">
        <f>IFERROR(VLOOKUP(X$12,選定!$C$3:$AG$100,16,FALSE),"")</f>
        <v/>
      </c>
      <c r="Y29" s="586" t="str">
        <f>IFERROR(VLOOKUP(Y$12,選定!$C$3:$AG$100,16,FALSE),"")</f>
        <v/>
      </c>
      <c r="Z29" s="586" t="str">
        <f>IFERROR(VLOOKUP(Z$12,選定!$C$3:$AG$100,16,FALSE),"")</f>
        <v/>
      </c>
      <c r="AA29" s="586" t="str">
        <f>IFERROR(VLOOKUP(AA$12,選定!$C$3:$AG$100,16,FALSE),"")</f>
        <v/>
      </c>
      <c r="AB29" s="586" t="str">
        <f>IFERROR(VLOOKUP(AB$12,選定!$C$3:$AG$100,16,FALSE),"")</f>
        <v/>
      </c>
      <c r="AC29" s="586" t="str">
        <f>IFERROR(VLOOKUP(AC$12,選定!$C$3:$AG$100,16,FALSE),"")</f>
        <v/>
      </c>
      <c r="AD29" s="586" t="str">
        <f>IFERROR(VLOOKUP(AD$12,選定!$C$3:$AG$100,16,FALSE),"")</f>
        <v/>
      </c>
      <c r="AE29" s="586" t="str">
        <f>IFERROR(VLOOKUP(AE$12,選定!$C$3:$AG$100,16,FALSE),"")</f>
        <v/>
      </c>
    </row>
    <row r="30" spans="1:31" s="83" customFormat="1" ht="15.75" hidden="1" thickBot="1">
      <c r="A30" s="603" t="s">
        <v>111</v>
      </c>
      <c r="B30" s="593" t="str">
        <f>IFERROR(VLOOKUP(B$12,選定!$C$3:$AG$100,17,FALSE),"")</f>
        <v/>
      </c>
      <c r="C30" s="593" t="str">
        <f>IFERROR(VLOOKUP(C$12,選定!$C$3:$AG$100,17,FALSE),"")</f>
        <v/>
      </c>
      <c r="D30" s="593" t="str">
        <f>IFERROR(VLOOKUP(D$12,選定!$C$3:$AG$100,17,FALSE),"")</f>
        <v/>
      </c>
      <c r="E30" s="593" t="str">
        <f>IFERROR(VLOOKUP(E$12,選定!$C$3:$AG$100,17,FALSE),"")</f>
        <v/>
      </c>
      <c r="F30" s="593" t="str">
        <f>IFERROR(VLOOKUP(F$12,選定!$C$3:$AG$100,17,FALSE),"")</f>
        <v/>
      </c>
      <c r="G30" s="593" t="str">
        <f>IFERROR(VLOOKUP(G$12,選定!$C$3:$AG$100,17,FALSE),"")</f>
        <v/>
      </c>
      <c r="H30" s="593" t="str">
        <f>IFERROR(VLOOKUP(H$12,選定!$C$3:$AG$100,17,FALSE),"")</f>
        <v/>
      </c>
      <c r="I30" s="593" t="str">
        <f>IFERROR(VLOOKUP(I$12,選定!$C$3:$AG$100,17,FALSE),"")</f>
        <v/>
      </c>
      <c r="J30" s="593" t="str">
        <f>IFERROR(VLOOKUP(J$12,選定!$C$3:$AG$100,17,FALSE),"")</f>
        <v/>
      </c>
      <c r="K30" s="593" t="str">
        <f>IFERROR(VLOOKUP(K$12,選定!$C$3:$AG$100,17,FALSE),"")</f>
        <v/>
      </c>
      <c r="L30" s="593" t="str">
        <f>IFERROR(VLOOKUP(L$12,選定!$C$3:$AG$100,17,FALSE),"")</f>
        <v/>
      </c>
      <c r="M30" s="593" t="str">
        <f>IFERROR(VLOOKUP(M$12,選定!$C$3:$AG$100,17,FALSE),"")</f>
        <v/>
      </c>
      <c r="N30" s="593" t="str">
        <f>IFERROR(VLOOKUP(N$12,選定!$C$3:$AG$100,17,FALSE),"")</f>
        <v/>
      </c>
      <c r="O30" s="593" t="str">
        <f>IFERROR(VLOOKUP(O$12,選定!$C$3:$AG$100,17,FALSE),"")</f>
        <v/>
      </c>
      <c r="P30" s="593" t="str">
        <f>IFERROR(VLOOKUP(P$12,選定!$C$3:$AG$100,17,FALSE),"")</f>
        <v/>
      </c>
      <c r="Q30" s="593" t="str">
        <f>IFERROR(VLOOKUP(Q$12,選定!$C$3:$AG$100,17,FALSE),"")</f>
        <v/>
      </c>
      <c r="R30" s="593" t="str">
        <f>IFERROR(VLOOKUP(R$12,選定!$C$3:$AG$100,17,FALSE),"")</f>
        <v/>
      </c>
      <c r="S30" s="593" t="str">
        <f>IFERROR(VLOOKUP(S$12,選定!$C$3:$AG$100,17,FALSE),"")</f>
        <v/>
      </c>
      <c r="T30" s="593" t="str">
        <f>IFERROR(VLOOKUP(T$12,選定!$C$3:$AG$100,17,FALSE),"")</f>
        <v/>
      </c>
      <c r="U30" s="593" t="str">
        <f>IFERROR(VLOOKUP(U$12,選定!$C$3:$AG$100,17,FALSE),"")</f>
        <v/>
      </c>
      <c r="V30" s="593" t="str">
        <f>IFERROR(VLOOKUP(V$12,選定!$C$3:$AG$100,17,FALSE),"")</f>
        <v/>
      </c>
      <c r="W30" s="593" t="str">
        <f>IFERROR(VLOOKUP(W$12,選定!$C$3:$AG$100,17,FALSE),"")</f>
        <v/>
      </c>
      <c r="X30" s="593" t="str">
        <f>IFERROR(VLOOKUP(X$12,選定!$C$3:$AG$100,17,FALSE),"")</f>
        <v/>
      </c>
      <c r="Y30" s="593" t="str">
        <f>IFERROR(VLOOKUP(Y$12,選定!$C$3:$AG$100,17,FALSE),"")</f>
        <v/>
      </c>
      <c r="Z30" s="593" t="str">
        <f>IFERROR(VLOOKUP(Z$12,選定!$C$3:$AG$100,17,FALSE),"")</f>
        <v/>
      </c>
      <c r="AA30" s="593" t="str">
        <f>IFERROR(VLOOKUP(AA$12,選定!$C$3:$AG$100,17,FALSE),"")</f>
        <v/>
      </c>
      <c r="AB30" s="593" t="str">
        <f>IFERROR(VLOOKUP(AB$12,選定!$C$3:$AG$100,17,FALSE),"")</f>
        <v/>
      </c>
      <c r="AC30" s="593" t="str">
        <f>IFERROR(VLOOKUP(AC$12,選定!$C$3:$AG$100,17,FALSE),"")</f>
        <v/>
      </c>
      <c r="AD30" s="593" t="str">
        <f>IFERROR(VLOOKUP(AD$12,選定!$C$3:$AG$100,17,FALSE),"")</f>
        <v/>
      </c>
      <c r="AE30" s="593" t="str">
        <f>IFERROR(VLOOKUP(AE$12,選定!$C$3:$AG$100,17,FALSE),"")</f>
        <v/>
      </c>
    </row>
    <row r="31" spans="1:31" s="20" customFormat="1" ht="15.75" hidden="1" thickBot="1">
      <c r="A31" s="600"/>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c r="AA31" s="586"/>
      <c r="AB31" s="586"/>
      <c r="AC31" s="586"/>
      <c r="AD31" s="586"/>
      <c r="AE31" s="586"/>
    </row>
    <row r="32" spans="1:31" s="20" customFormat="1" ht="15.75" hidden="1" thickBot="1">
      <c r="A32" s="600" t="s">
        <v>113</v>
      </c>
      <c r="B32" s="586" t="str">
        <f>IFERROR(VLOOKUP(B$12,選定!$C$3:$AG$100,19,FALSE),"")</f>
        <v/>
      </c>
      <c r="C32" s="586" t="str">
        <f>IFERROR(VLOOKUP(C$12,選定!$C$3:$AG$100,19,FALSE),"")</f>
        <v/>
      </c>
      <c r="D32" s="586" t="str">
        <f>IFERROR(VLOOKUP(D$12,選定!$C$3:$AG$100,19,FALSE),"")</f>
        <v/>
      </c>
      <c r="E32" s="586" t="str">
        <f>IFERROR(VLOOKUP(E$12,選定!$C$3:$AG$100,19,FALSE),"")</f>
        <v/>
      </c>
      <c r="F32" s="586" t="str">
        <f>IFERROR(VLOOKUP(F$12,選定!$C$3:$AG$100,19,FALSE),"")</f>
        <v/>
      </c>
      <c r="G32" s="586" t="str">
        <f>IFERROR(VLOOKUP(G$12,選定!$C$3:$AG$100,19,FALSE),"")</f>
        <v/>
      </c>
      <c r="H32" s="586" t="str">
        <f>IFERROR(VLOOKUP(H$12,選定!$C$3:$AG$100,19,FALSE),"")</f>
        <v/>
      </c>
      <c r="I32" s="586" t="str">
        <f>IFERROR(VLOOKUP(I$12,選定!$C$3:$AG$100,19,FALSE),"")</f>
        <v/>
      </c>
      <c r="J32" s="586" t="str">
        <f>IFERROR(VLOOKUP(J$12,選定!$C$3:$AG$100,19,FALSE),"")</f>
        <v/>
      </c>
      <c r="K32" s="586" t="str">
        <f>IFERROR(VLOOKUP(K$12,選定!$C$3:$AG$100,19,FALSE),"")</f>
        <v/>
      </c>
      <c r="L32" s="586" t="str">
        <f>IFERROR(VLOOKUP(L$12,選定!$C$3:$AG$100,19,FALSE),"")</f>
        <v/>
      </c>
      <c r="M32" s="586" t="str">
        <f>IFERROR(VLOOKUP(M$12,選定!$C$3:$AG$100,19,FALSE),"")</f>
        <v/>
      </c>
      <c r="N32" s="586" t="str">
        <f>IFERROR(VLOOKUP(N$12,選定!$C$3:$AG$100,19,FALSE),"")</f>
        <v/>
      </c>
      <c r="O32" s="586" t="str">
        <f>IFERROR(VLOOKUP(O$12,選定!$C$3:$AG$100,19,FALSE),"")</f>
        <v/>
      </c>
      <c r="P32" s="586" t="str">
        <f>IFERROR(VLOOKUP(P$12,選定!$C$3:$AG$100,19,FALSE),"")</f>
        <v/>
      </c>
      <c r="Q32" s="586" t="str">
        <f>IFERROR(VLOOKUP(Q$12,選定!$C$3:$AG$100,19,FALSE),"")</f>
        <v/>
      </c>
      <c r="R32" s="586" t="str">
        <f>IFERROR(VLOOKUP(R$12,選定!$C$3:$AG$100,19,FALSE),"")</f>
        <v/>
      </c>
      <c r="S32" s="586" t="str">
        <f>IFERROR(VLOOKUP(S$12,選定!$C$3:$AG$100,19,FALSE),"")</f>
        <v/>
      </c>
      <c r="T32" s="586" t="str">
        <f>IFERROR(VLOOKUP(T$12,選定!$C$3:$AG$100,19,FALSE),"")</f>
        <v/>
      </c>
      <c r="U32" s="586" t="str">
        <f>IFERROR(VLOOKUP(U$12,選定!$C$3:$AG$100,19,FALSE),"")</f>
        <v/>
      </c>
      <c r="V32" s="586" t="str">
        <f>IFERROR(VLOOKUP(V$12,選定!$C$3:$AG$100,19,FALSE),"")</f>
        <v/>
      </c>
      <c r="W32" s="586" t="str">
        <f>IFERROR(VLOOKUP(W$12,選定!$C$3:$AG$100,19,FALSE),"")</f>
        <v/>
      </c>
      <c r="X32" s="586" t="str">
        <f>IFERROR(VLOOKUP(X$12,選定!$C$3:$AG$100,19,FALSE),"")</f>
        <v/>
      </c>
      <c r="Y32" s="586" t="str">
        <f>IFERROR(VLOOKUP(Y$12,選定!$C$3:$AG$100,19,FALSE),"")</f>
        <v/>
      </c>
      <c r="Z32" s="586" t="str">
        <f>IFERROR(VLOOKUP(Z$12,選定!$C$3:$AG$100,19,FALSE),"")</f>
        <v/>
      </c>
      <c r="AA32" s="586" t="str">
        <f>IFERROR(VLOOKUP(AA$12,選定!$C$3:$AG$100,19,FALSE),"")</f>
        <v/>
      </c>
      <c r="AB32" s="586" t="str">
        <f>IFERROR(VLOOKUP(AB$12,選定!$C$3:$AG$100,19,FALSE),"")</f>
        <v/>
      </c>
      <c r="AC32" s="586" t="str">
        <f>IFERROR(VLOOKUP(AC$12,選定!$C$3:$AG$100,19,FALSE),"")</f>
        <v/>
      </c>
      <c r="AD32" s="586" t="str">
        <f>IFERROR(VLOOKUP(AD$12,選定!$C$3:$AG$100,19,FALSE),"")</f>
        <v/>
      </c>
      <c r="AE32" s="586" t="str">
        <f>IFERROR(VLOOKUP(AE$12,選定!$C$3:$AG$100,19,FALSE),"")</f>
        <v/>
      </c>
    </row>
    <row r="33" spans="1:31" s="83" customFormat="1" ht="15.75" hidden="1" thickBot="1">
      <c r="A33" s="603" t="s">
        <v>114</v>
      </c>
      <c r="B33" s="593" t="str">
        <f>IFERROR(VLOOKUP(B$12,選定!$C$3:$AG$100,20,FALSE),"")</f>
        <v/>
      </c>
      <c r="C33" s="593" t="str">
        <f>IFERROR(VLOOKUP(C$12,選定!$C$3:$AG$100,20,FALSE),"")</f>
        <v/>
      </c>
      <c r="D33" s="593" t="str">
        <f>IFERROR(VLOOKUP(D$12,選定!$C$3:$AG$100,20,FALSE),"")</f>
        <v/>
      </c>
      <c r="E33" s="593" t="str">
        <f>IFERROR(VLOOKUP(E$12,選定!$C$3:$AG$100,20,FALSE),"")</f>
        <v/>
      </c>
      <c r="F33" s="593" t="str">
        <f>IFERROR(VLOOKUP(F$12,選定!$C$3:$AG$100,20,FALSE),"")</f>
        <v/>
      </c>
      <c r="G33" s="593" t="str">
        <f>IFERROR(VLOOKUP(G$12,選定!$C$3:$AG$100,20,FALSE),"")</f>
        <v/>
      </c>
      <c r="H33" s="593" t="str">
        <f>IFERROR(VLOOKUP(H$12,選定!$C$3:$AG$100,20,FALSE),"")</f>
        <v/>
      </c>
      <c r="I33" s="593" t="str">
        <f>IFERROR(VLOOKUP(I$12,選定!$C$3:$AG$100,20,FALSE),"")</f>
        <v/>
      </c>
      <c r="J33" s="593" t="str">
        <f>IFERROR(VLOOKUP(J$12,選定!$C$3:$AG$100,20,FALSE),"")</f>
        <v/>
      </c>
      <c r="K33" s="593" t="str">
        <f>IFERROR(VLOOKUP(K$12,選定!$C$3:$AG$100,20,FALSE),"")</f>
        <v/>
      </c>
      <c r="L33" s="593" t="str">
        <f>IFERROR(VLOOKUP(L$12,選定!$C$3:$AG$100,20,FALSE),"")</f>
        <v/>
      </c>
      <c r="M33" s="593" t="str">
        <f>IFERROR(VLOOKUP(M$12,選定!$C$3:$AG$100,20,FALSE),"")</f>
        <v/>
      </c>
      <c r="N33" s="593" t="str">
        <f>IFERROR(VLOOKUP(N$12,選定!$C$3:$AG$100,20,FALSE),"")</f>
        <v/>
      </c>
      <c r="O33" s="593" t="str">
        <f>IFERROR(VLOOKUP(O$12,選定!$C$3:$AG$100,20,FALSE),"")</f>
        <v/>
      </c>
      <c r="P33" s="593" t="str">
        <f>IFERROR(VLOOKUP(P$12,選定!$C$3:$AG$100,20,FALSE),"")</f>
        <v/>
      </c>
      <c r="Q33" s="593" t="str">
        <f>IFERROR(VLOOKUP(Q$12,選定!$C$3:$AG$100,20,FALSE),"")</f>
        <v/>
      </c>
      <c r="R33" s="593" t="str">
        <f>IFERROR(VLOOKUP(R$12,選定!$C$3:$AG$100,20,FALSE),"")</f>
        <v/>
      </c>
      <c r="S33" s="593" t="str">
        <f>IFERROR(VLOOKUP(S$12,選定!$C$3:$AG$100,20,FALSE),"")</f>
        <v/>
      </c>
      <c r="T33" s="593" t="str">
        <f>IFERROR(VLOOKUP(T$12,選定!$C$3:$AG$100,20,FALSE),"")</f>
        <v/>
      </c>
      <c r="U33" s="593" t="str">
        <f>IFERROR(VLOOKUP(U$12,選定!$C$3:$AG$100,20,FALSE),"")</f>
        <v/>
      </c>
      <c r="V33" s="593" t="str">
        <f>IFERROR(VLOOKUP(V$12,選定!$C$3:$AG$100,20,FALSE),"")</f>
        <v/>
      </c>
      <c r="W33" s="593" t="str">
        <f>IFERROR(VLOOKUP(W$12,選定!$C$3:$AG$100,20,FALSE),"")</f>
        <v/>
      </c>
      <c r="X33" s="593" t="str">
        <f>IFERROR(VLOOKUP(X$12,選定!$C$3:$AG$100,20,FALSE),"")</f>
        <v/>
      </c>
      <c r="Y33" s="593" t="str">
        <f>IFERROR(VLOOKUP(Y$12,選定!$C$3:$AG$100,20,FALSE),"")</f>
        <v/>
      </c>
      <c r="Z33" s="593" t="str">
        <f>IFERROR(VLOOKUP(Z$12,選定!$C$3:$AG$100,20,FALSE),"")</f>
        <v/>
      </c>
      <c r="AA33" s="593" t="str">
        <f>IFERROR(VLOOKUP(AA$12,選定!$C$3:$AG$100,20,FALSE),"")</f>
        <v/>
      </c>
      <c r="AB33" s="593" t="str">
        <f>IFERROR(VLOOKUP(AB$12,選定!$C$3:$AG$100,20,FALSE),"")</f>
        <v/>
      </c>
      <c r="AC33" s="593" t="str">
        <f>IFERROR(VLOOKUP(AC$12,選定!$C$3:$AG$100,20,FALSE),"")</f>
        <v/>
      </c>
      <c r="AD33" s="593" t="str">
        <f>IFERROR(VLOOKUP(AD$12,選定!$C$3:$AG$100,20,FALSE),"")</f>
        <v/>
      </c>
      <c r="AE33" s="593" t="str">
        <f>IFERROR(VLOOKUP(AE$12,選定!$C$3:$AG$100,20,FALSE),"")</f>
        <v/>
      </c>
    </row>
    <row r="34" spans="1:31" s="20" customFormat="1" ht="15.75" hidden="1" thickBot="1">
      <c r="A34" s="600"/>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c r="AA34" s="586"/>
      <c r="AB34" s="586"/>
      <c r="AC34" s="586"/>
      <c r="AD34" s="586"/>
      <c r="AE34" s="586"/>
    </row>
    <row r="35" spans="1:31" s="590" customFormat="1" ht="15.75" hidden="1" thickBot="1">
      <c r="A35" s="601" t="s">
        <v>117</v>
      </c>
      <c r="B35" s="589" t="str">
        <f>IFERROR(VLOOKUP(B$12,選定!$C$3:$AG$100,22,FALSE),"")</f>
        <v/>
      </c>
      <c r="C35" s="589" t="str">
        <f>IFERROR(VLOOKUP(C$12,選定!$C$3:$AG$100,22,FALSE),"")</f>
        <v/>
      </c>
      <c r="D35" s="589" t="str">
        <f>IFERROR(VLOOKUP(D$12,選定!$C$3:$AG$100,22,FALSE),"")</f>
        <v/>
      </c>
      <c r="E35" s="589" t="str">
        <f>IFERROR(VLOOKUP(E$12,選定!$C$3:$AG$100,22,FALSE),"")</f>
        <v/>
      </c>
      <c r="F35" s="589" t="str">
        <f>IFERROR(VLOOKUP(F$12,選定!$C$3:$AG$100,22,FALSE),"")</f>
        <v/>
      </c>
      <c r="G35" s="589" t="str">
        <f>IFERROR(VLOOKUP(G$12,選定!$C$3:$AG$100,22,FALSE),"")</f>
        <v/>
      </c>
      <c r="H35" s="589" t="str">
        <f>IFERROR(VLOOKUP(H$12,選定!$C$3:$AG$100,22,FALSE),"")</f>
        <v/>
      </c>
      <c r="I35" s="589" t="str">
        <f>IFERROR(VLOOKUP(I$12,選定!$C$3:$AG$100,22,FALSE),"")</f>
        <v/>
      </c>
      <c r="J35" s="589" t="str">
        <f>IFERROR(VLOOKUP(J$12,選定!$C$3:$AG$100,22,FALSE),"")</f>
        <v/>
      </c>
      <c r="K35" s="589" t="str">
        <f>IFERROR(VLOOKUP(K$12,選定!$C$3:$AG$100,22,FALSE),"")</f>
        <v/>
      </c>
      <c r="L35" s="589" t="str">
        <f>IFERROR(VLOOKUP(L$12,選定!$C$3:$AG$100,22,FALSE),"")</f>
        <v/>
      </c>
      <c r="M35" s="589" t="str">
        <f>IFERROR(VLOOKUP(M$12,選定!$C$3:$AG$100,22,FALSE),"")</f>
        <v/>
      </c>
      <c r="N35" s="589" t="str">
        <f>IFERROR(VLOOKUP(N$12,選定!$C$3:$AG$100,22,FALSE),"")</f>
        <v/>
      </c>
      <c r="O35" s="589" t="str">
        <f>IFERROR(VLOOKUP(O$12,選定!$C$3:$AG$100,22,FALSE),"")</f>
        <v/>
      </c>
      <c r="P35" s="589" t="str">
        <f>IFERROR(VLOOKUP(P$12,選定!$C$3:$AG$100,22,FALSE),"")</f>
        <v/>
      </c>
      <c r="Q35" s="589" t="str">
        <f>IFERROR(VLOOKUP(Q$12,選定!$C$3:$AG$100,22,FALSE),"")</f>
        <v/>
      </c>
      <c r="R35" s="589" t="str">
        <f>IFERROR(VLOOKUP(R$12,選定!$C$3:$AG$100,22,FALSE),"")</f>
        <v/>
      </c>
      <c r="S35" s="589" t="str">
        <f>IFERROR(VLOOKUP(S$12,選定!$C$3:$AG$100,22,FALSE),"")</f>
        <v/>
      </c>
      <c r="T35" s="589" t="str">
        <f>IFERROR(VLOOKUP(T$12,選定!$C$3:$AG$100,22,FALSE),"")</f>
        <v/>
      </c>
      <c r="U35" s="589" t="str">
        <f>IFERROR(VLOOKUP(U$12,選定!$C$3:$AG$100,22,FALSE),"")</f>
        <v/>
      </c>
      <c r="V35" s="589" t="str">
        <f>IFERROR(VLOOKUP(V$12,選定!$C$3:$AG$100,22,FALSE),"")</f>
        <v/>
      </c>
      <c r="W35" s="589" t="str">
        <f>IFERROR(VLOOKUP(W$12,選定!$C$3:$AG$100,22,FALSE),"")</f>
        <v/>
      </c>
      <c r="X35" s="589" t="str">
        <f>IFERROR(VLOOKUP(X$12,選定!$C$3:$AG$100,22,FALSE),"")</f>
        <v/>
      </c>
      <c r="Y35" s="589" t="str">
        <f>IFERROR(VLOOKUP(Y$12,選定!$C$3:$AG$100,22,FALSE),"")</f>
        <v/>
      </c>
      <c r="Z35" s="589" t="str">
        <f>IFERROR(VLOOKUP(Z$12,選定!$C$3:$AG$100,22,FALSE),"")</f>
        <v/>
      </c>
      <c r="AA35" s="589" t="str">
        <f>IFERROR(VLOOKUP(AA$12,選定!$C$3:$AG$100,22,FALSE),"")</f>
        <v/>
      </c>
      <c r="AB35" s="589" t="str">
        <f>IFERROR(VLOOKUP(AB$12,選定!$C$3:$AG$100,22,FALSE),"")</f>
        <v/>
      </c>
      <c r="AC35" s="589" t="str">
        <f>IFERROR(VLOOKUP(AC$12,選定!$C$3:$AG$100,22,FALSE),"")</f>
        <v/>
      </c>
      <c r="AD35" s="589" t="str">
        <f>IFERROR(VLOOKUP(AD$12,選定!$C$3:$AG$100,22,FALSE),"")</f>
        <v/>
      </c>
      <c r="AE35" s="589" t="str">
        <f>IFERROR(VLOOKUP(AE$12,選定!$C$3:$AG$100,22,FALSE),"")</f>
        <v/>
      </c>
    </row>
    <row r="36" spans="1:31" s="591" customFormat="1" ht="15.75" hidden="1" thickBot="1">
      <c r="A36" s="602" t="s">
        <v>118</v>
      </c>
      <c r="B36" s="592" t="str">
        <f>IFERROR(VLOOKUP(B$12,選定!$C$3:$AG$100,23,FALSE),"")</f>
        <v/>
      </c>
      <c r="C36" s="592" t="str">
        <f>IFERROR(VLOOKUP(C$12,選定!$C$3:$AG$100,23,FALSE),"")</f>
        <v/>
      </c>
      <c r="D36" s="592" t="str">
        <f>IFERROR(VLOOKUP(D$12,選定!$C$3:$AG$100,23,FALSE),"")</f>
        <v/>
      </c>
      <c r="E36" s="592" t="str">
        <f>IFERROR(VLOOKUP(E$12,選定!$C$3:$AG$100,23,FALSE),"")</f>
        <v/>
      </c>
      <c r="F36" s="592" t="str">
        <f>IFERROR(VLOOKUP(F$12,選定!$C$3:$AG$100,23,FALSE),"")</f>
        <v/>
      </c>
      <c r="G36" s="592" t="str">
        <f>IFERROR(VLOOKUP(G$12,選定!$C$3:$AG$100,23,FALSE),"")</f>
        <v/>
      </c>
      <c r="H36" s="592" t="str">
        <f>IFERROR(VLOOKUP(H$12,選定!$C$3:$AG$100,23,FALSE),"")</f>
        <v/>
      </c>
      <c r="I36" s="592" t="str">
        <f>IFERROR(VLOOKUP(I$12,選定!$C$3:$AG$100,23,FALSE),"")</f>
        <v/>
      </c>
      <c r="J36" s="592" t="str">
        <f>IFERROR(VLOOKUP(J$12,選定!$C$3:$AG$100,23,FALSE),"")</f>
        <v/>
      </c>
      <c r="K36" s="592" t="str">
        <f>IFERROR(VLOOKUP(K$12,選定!$C$3:$AG$100,23,FALSE),"")</f>
        <v/>
      </c>
      <c r="L36" s="592" t="str">
        <f>IFERROR(VLOOKUP(L$12,選定!$C$3:$AG$100,23,FALSE),"")</f>
        <v/>
      </c>
      <c r="M36" s="592" t="str">
        <f>IFERROR(VLOOKUP(M$12,選定!$C$3:$AG$100,23,FALSE),"")</f>
        <v/>
      </c>
      <c r="N36" s="592" t="str">
        <f>IFERROR(VLOOKUP(N$12,選定!$C$3:$AG$100,23,FALSE),"")</f>
        <v/>
      </c>
      <c r="O36" s="592" t="str">
        <f>IFERROR(VLOOKUP(O$12,選定!$C$3:$AG$100,23,FALSE),"")</f>
        <v/>
      </c>
      <c r="P36" s="592" t="str">
        <f>IFERROR(VLOOKUP(P$12,選定!$C$3:$AG$100,23,FALSE),"")</f>
        <v/>
      </c>
      <c r="Q36" s="592" t="str">
        <f>IFERROR(VLOOKUP(Q$12,選定!$C$3:$AG$100,23,FALSE),"")</f>
        <v/>
      </c>
      <c r="R36" s="592" t="str">
        <f>IFERROR(VLOOKUP(R$12,選定!$C$3:$AG$100,23,FALSE),"")</f>
        <v/>
      </c>
      <c r="S36" s="592" t="str">
        <f>IFERROR(VLOOKUP(S$12,選定!$C$3:$AG$100,23,FALSE),"")</f>
        <v/>
      </c>
      <c r="T36" s="592" t="str">
        <f>IFERROR(VLOOKUP(T$12,選定!$C$3:$AG$100,23,FALSE),"")</f>
        <v/>
      </c>
      <c r="U36" s="592" t="str">
        <f>IFERROR(VLOOKUP(U$12,選定!$C$3:$AG$100,23,FALSE),"")</f>
        <v/>
      </c>
      <c r="V36" s="592" t="str">
        <f>IFERROR(VLOOKUP(V$12,選定!$C$3:$AG$100,23,FALSE),"")</f>
        <v/>
      </c>
      <c r="W36" s="592" t="str">
        <f>IFERROR(VLOOKUP(W$12,選定!$C$3:$AG$100,23,FALSE),"")</f>
        <v/>
      </c>
      <c r="X36" s="592" t="str">
        <f>IFERROR(VLOOKUP(X$12,選定!$C$3:$AG$100,23,FALSE),"")</f>
        <v/>
      </c>
      <c r="Y36" s="592" t="str">
        <f>IFERROR(VLOOKUP(Y$12,選定!$C$3:$AG$100,23,FALSE),"")</f>
        <v/>
      </c>
      <c r="Z36" s="592" t="str">
        <f>IFERROR(VLOOKUP(Z$12,選定!$C$3:$AG$100,23,FALSE),"")</f>
        <v/>
      </c>
      <c r="AA36" s="592" t="str">
        <f>IFERROR(VLOOKUP(AA$12,選定!$C$3:$AG$100,23,FALSE),"")</f>
        <v/>
      </c>
      <c r="AB36" s="592" t="str">
        <f>IFERROR(VLOOKUP(AB$12,選定!$C$3:$AG$100,23,FALSE),"")</f>
        <v/>
      </c>
      <c r="AC36" s="592" t="str">
        <f>IFERROR(VLOOKUP(AC$12,選定!$C$3:$AG$100,23,FALSE),"")</f>
        <v/>
      </c>
      <c r="AD36" s="592" t="str">
        <f>IFERROR(VLOOKUP(AD$12,選定!$C$3:$AG$100,23,FALSE),"")</f>
        <v/>
      </c>
      <c r="AE36" s="592" t="str">
        <f>IFERROR(VLOOKUP(AE$12,選定!$C$3:$AG$100,23,FALSE),"")</f>
        <v/>
      </c>
    </row>
    <row r="37" spans="1:31" s="20" customFormat="1" ht="15.75" hidden="1" thickBot="1">
      <c r="A37" s="600" t="s">
        <v>119</v>
      </c>
      <c r="B37" s="586" t="str">
        <f>IFERROR(VLOOKUP(B$12,選定!$C$3:$AG$100,24,FALSE),"")</f>
        <v/>
      </c>
      <c r="C37" s="586" t="str">
        <f>IFERROR(VLOOKUP(C$12,選定!$C$3:$AG$100,24,FALSE),"")</f>
        <v/>
      </c>
      <c r="D37" s="586" t="str">
        <f>IFERROR(VLOOKUP(D$12,選定!$C$3:$AG$100,24,FALSE),"")</f>
        <v/>
      </c>
      <c r="E37" s="586" t="str">
        <f>IFERROR(VLOOKUP(E$12,選定!$C$3:$AG$100,24,FALSE),"")</f>
        <v/>
      </c>
      <c r="F37" s="586" t="str">
        <f>IFERROR(VLOOKUP(F$12,選定!$C$3:$AG$100,24,FALSE),"")</f>
        <v/>
      </c>
      <c r="G37" s="586" t="str">
        <f>IFERROR(VLOOKUP(G$12,選定!$C$3:$AG$100,24,FALSE),"")</f>
        <v/>
      </c>
      <c r="H37" s="586" t="str">
        <f>IFERROR(VLOOKUP(H$12,選定!$C$3:$AG$100,24,FALSE),"")</f>
        <v/>
      </c>
      <c r="I37" s="586" t="str">
        <f>IFERROR(VLOOKUP(I$12,選定!$C$3:$AG$100,24,FALSE),"")</f>
        <v/>
      </c>
      <c r="J37" s="586" t="str">
        <f>IFERROR(VLOOKUP(J$12,選定!$C$3:$AG$100,24,FALSE),"")</f>
        <v/>
      </c>
      <c r="K37" s="586" t="str">
        <f>IFERROR(VLOOKUP(K$12,選定!$C$3:$AG$100,24,FALSE),"")</f>
        <v/>
      </c>
      <c r="L37" s="586" t="str">
        <f>IFERROR(VLOOKUP(L$12,選定!$C$3:$AG$100,24,FALSE),"")</f>
        <v/>
      </c>
      <c r="M37" s="586" t="str">
        <f>IFERROR(VLOOKUP(M$12,選定!$C$3:$AG$100,24,FALSE),"")</f>
        <v/>
      </c>
      <c r="N37" s="586" t="str">
        <f>IFERROR(VLOOKUP(N$12,選定!$C$3:$AG$100,24,FALSE),"")</f>
        <v/>
      </c>
      <c r="O37" s="586" t="str">
        <f>IFERROR(VLOOKUP(O$12,選定!$C$3:$AG$100,24,FALSE),"")</f>
        <v/>
      </c>
      <c r="P37" s="586" t="str">
        <f>IFERROR(VLOOKUP(P$12,選定!$C$3:$AG$100,24,FALSE),"")</f>
        <v/>
      </c>
      <c r="Q37" s="586" t="str">
        <f>IFERROR(VLOOKUP(Q$12,選定!$C$3:$AG$100,24,FALSE),"")</f>
        <v/>
      </c>
      <c r="R37" s="586" t="str">
        <f>IFERROR(VLOOKUP(R$12,選定!$C$3:$AG$100,24,FALSE),"")</f>
        <v/>
      </c>
      <c r="S37" s="586" t="str">
        <f>IFERROR(VLOOKUP(S$12,選定!$C$3:$AG$100,24,FALSE),"")</f>
        <v/>
      </c>
      <c r="T37" s="586" t="str">
        <f>IFERROR(VLOOKUP(T$12,選定!$C$3:$AG$100,24,FALSE),"")</f>
        <v/>
      </c>
      <c r="U37" s="586" t="str">
        <f>IFERROR(VLOOKUP(U$12,選定!$C$3:$AG$100,24,FALSE),"")</f>
        <v/>
      </c>
      <c r="V37" s="586" t="str">
        <f>IFERROR(VLOOKUP(V$12,選定!$C$3:$AG$100,24,FALSE),"")</f>
        <v/>
      </c>
      <c r="W37" s="586" t="str">
        <f>IFERROR(VLOOKUP(W$12,選定!$C$3:$AG$100,24,FALSE),"")</f>
        <v/>
      </c>
      <c r="X37" s="586" t="str">
        <f>IFERROR(VLOOKUP(X$12,選定!$C$3:$AG$100,24,FALSE),"")</f>
        <v/>
      </c>
      <c r="Y37" s="586" t="str">
        <f>IFERROR(VLOOKUP(Y$12,選定!$C$3:$AG$100,24,FALSE),"")</f>
        <v/>
      </c>
      <c r="Z37" s="586" t="str">
        <f>IFERROR(VLOOKUP(Z$12,選定!$C$3:$AG$100,24,FALSE),"")</f>
        <v/>
      </c>
      <c r="AA37" s="586" t="str">
        <f>IFERROR(VLOOKUP(AA$12,選定!$C$3:$AG$100,24,FALSE),"")</f>
        <v/>
      </c>
      <c r="AB37" s="586" t="str">
        <f>IFERROR(VLOOKUP(AB$12,選定!$C$3:$AG$100,24,FALSE),"")</f>
        <v/>
      </c>
      <c r="AC37" s="586" t="str">
        <f>IFERROR(VLOOKUP(AC$12,選定!$C$3:$AG$100,24,FALSE),"")</f>
        <v/>
      </c>
      <c r="AD37" s="586" t="str">
        <f>IFERROR(VLOOKUP(AD$12,選定!$C$3:$AG$100,24,FALSE),"")</f>
        <v/>
      </c>
      <c r="AE37" s="586" t="str">
        <f>IFERROR(VLOOKUP(AE$12,選定!$C$3:$AG$100,24,FALSE),"")</f>
        <v/>
      </c>
    </row>
    <row r="38" spans="1:31" s="20" customFormat="1" ht="15.75" thickTop="1">
      <c r="A38" s="669" t="s">
        <v>120</v>
      </c>
      <c r="B38" s="606" t="str">
        <f>IFERROR(VLOOKUP(B$12,選定!$C$3:$AG$100,27,FALSE),"")</f>
        <v/>
      </c>
      <c r="C38" s="606" t="str">
        <f>IFERROR(VLOOKUP(C$12,選定!$C$3:$AG$100,27,FALSE),"")</f>
        <v/>
      </c>
      <c r="D38" s="606" t="str">
        <f>IFERROR(VLOOKUP(D$12,選定!$C$3:$AG$100,27,FALSE),"")</f>
        <v/>
      </c>
      <c r="E38" s="606" t="str">
        <f>IFERROR(VLOOKUP(E$12,選定!$C$3:$AG$100,27,FALSE),"")</f>
        <v/>
      </c>
      <c r="F38" s="606" t="str">
        <f>IFERROR(VLOOKUP(F$12,選定!$C$3:$AG$100,27,FALSE),"")</f>
        <v/>
      </c>
      <c r="G38" s="606" t="str">
        <f>IFERROR(VLOOKUP(G$12,選定!$C$3:$AG$100,27,FALSE),"")</f>
        <v/>
      </c>
      <c r="H38" s="606" t="str">
        <f>IFERROR(VLOOKUP(H$12,選定!$C$3:$AG$100,27,FALSE),"")</f>
        <v/>
      </c>
      <c r="I38" s="606" t="str">
        <f>IFERROR(VLOOKUP(I$12,選定!$C$3:$AG$100,27,FALSE),"")</f>
        <v/>
      </c>
      <c r="J38" s="606" t="str">
        <f>IFERROR(VLOOKUP(J$12,選定!$C$3:$AG$100,27,FALSE),"")</f>
        <v/>
      </c>
      <c r="K38" s="606" t="str">
        <f>IFERROR(VLOOKUP(K$12,選定!$C$3:$AG$100,27,FALSE),"")</f>
        <v/>
      </c>
      <c r="L38" s="606" t="str">
        <f>IFERROR(VLOOKUP(L$12,選定!$C$3:$AG$100,27,FALSE),"")</f>
        <v/>
      </c>
      <c r="M38" s="606" t="str">
        <f>IFERROR(VLOOKUP(M$12,選定!$C$3:$AG$100,27,FALSE),"")</f>
        <v/>
      </c>
      <c r="N38" s="606" t="str">
        <f>IFERROR(VLOOKUP(N$12,選定!$C$3:$AG$100,27,FALSE),"")</f>
        <v/>
      </c>
      <c r="O38" s="606" t="str">
        <f>IFERROR(VLOOKUP(O$12,選定!$C$3:$AG$100,27,FALSE),"")</f>
        <v/>
      </c>
      <c r="P38" s="606" t="str">
        <f>IFERROR(VLOOKUP(P$12,選定!$C$3:$AG$100,27,FALSE),"")</f>
        <v/>
      </c>
      <c r="Q38" s="606" t="str">
        <f>IFERROR(VLOOKUP(Q$12,選定!$C$3:$AG$100,27,FALSE),"")</f>
        <v/>
      </c>
      <c r="R38" s="606" t="str">
        <f>IFERROR(VLOOKUP(R$12,選定!$C$3:$AG$100,27,FALSE),"")</f>
        <v/>
      </c>
      <c r="S38" s="606" t="str">
        <f>IFERROR(VLOOKUP(S$12,選定!$C$3:$AG$100,27,FALSE),"")</f>
        <v/>
      </c>
      <c r="T38" s="606" t="str">
        <f>IFERROR(VLOOKUP(T$12,選定!$C$3:$AG$100,27,FALSE),"")</f>
        <v/>
      </c>
      <c r="U38" s="606" t="str">
        <f>IFERROR(VLOOKUP(U$12,選定!$C$3:$AG$100,27,FALSE),"")</f>
        <v/>
      </c>
      <c r="V38" s="606" t="str">
        <f>IFERROR(VLOOKUP(V$12,選定!$C$3:$AG$100,27,FALSE),"")</f>
        <v/>
      </c>
      <c r="W38" s="606" t="str">
        <f>IFERROR(VLOOKUP(W$12,選定!$C$3:$AG$100,27,FALSE),"")</f>
        <v/>
      </c>
      <c r="X38" s="606" t="str">
        <f>IFERROR(VLOOKUP(X$12,選定!$C$3:$AG$100,27,FALSE),"")</f>
        <v/>
      </c>
      <c r="Y38" s="606" t="str">
        <f>IFERROR(VLOOKUP(Y$12,選定!$C$3:$AG$100,27,FALSE),"")</f>
        <v/>
      </c>
      <c r="Z38" s="606" t="str">
        <f>IFERROR(VLOOKUP(Z$12,選定!$C$3:$AG$100,27,FALSE),"")</f>
        <v/>
      </c>
      <c r="AA38" s="606" t="str">
        <f>IFERROR(VLOOKUP(AA$12,選定!$C$3:$AG$100,27,FALSE),"")</f>
        <v/>
      </c>
      <c r="AB38" s="606" t="str">
        <f>IFERROR(VLOOKUP(AB$12,選定!$C$3:$AG$100,27,FALSE),"")</f>
        <v/>
      </c>
      <c r="AC38" s="606" t="str">
        <f>IFERROR(VLOOKUP(AC$12,選定!$C$3:$AG$100,27,FALSE),"")</f>
        <v/>
      </c>
      <c r="AD38" s="606" t="str">
        <f>IFERROR(VLOOKUP(AD$12,選定!$C$3:$AG$100,27,FALSE),"")</f>
        <v/>
      </c>
      <c r="AE38" s="606" t="str">
        <f>IFERROR(VLOOKUP(AE$12,選定!$C$3:$AG$100,27,FALSE),"")</f>
        <v/>
      </c>
    </row>
    <row r="39" spans="1:31" s="20" customFormat="1" ht="15">
      <c r="A39" s="586" t="s">
        <v>121</v>
      </c>
      <c r="B39" s="586" t="str">
        <f>IFERROR(VLOOKUP(B$12,選定!$C$3:$AG$100,28,FALSE),"")</f>
        <v/>
      </c>
      <c r="C39" s="586" t="str">
        <f>IFERROR(VLOOKUP(C$12,選定!$C$3:$AG$100,28,FALSE),"")</f>
        <v/>
      </c>
      <c r="D39" s="586" t="str">
        <f>IFERROR(VLOOKUP(D$12,選定!$C$3:$AG$100,28,FALSE),"")</f>
        <v/>
      </c>
      <c r="E39" s="586" t="str">
        <f>IFERROR(VLOOKUP(E$12,選定!$C$3:$AG$100,28,FALSE),"")</f>
        <v/>
      </c>
      <c r="F39" s="586" t="str">
        <f>IFERROR(VLOOKUP(F$12,選定!$C$3:$AG$100,28,FALSE),"")</f>
        <v/>
      </c>
      <c r="G39" s="586" t="str">
        <f>IFERROR(VLOOKUP(G$12,選定!$C$3:$AG$100,28,FALSE),"")</f>
        <v/>
      </c>
      <c r="H39" s="586" t="str">
        <f>IFERROR(VLOOKUP(H$12,選定!$C$3:$AG$100,28,FALSE),"")</f>
        <v/>
      </c>
      <c r="I39" s="586" t="str">
        <f>IFERROR(VLOOKUP(I$12,選定!$C$3:$AG$100,28,FALSE),"")</f>
        <v/>
      </c>
      <c r="J39" s="586" t="str">
        <f>IFERROR(VLOOKUP(J$12,選定!$C$3:$AG$100,28,FALSE),"")</f>
        <v/>
      </c>
      <c r="K39" s="586" t="str">
        <f>IFERROR(VLOOKUP(K$12,選定!$C$3:$AG$100,28,FALSE),"")</f>
        <v/>
      </c>
      <c r="L39" s="586" t="str">
        <f>IFERROR(VLOOKUP(L$12,選定!$C$3:$AG$100,28,FALSE),"")</f>
        <v/>
      </c>
      <c r="M39" s="586" t="str">
        <f>IFERROR(VLOOKUP(M$12,選定!$C$3:$AG$100,28,FALSE),"")</f>
        <v/>
      </c>
      <c r="N39" s="586" t="str">
        <f>IFERROR(VLOOKUP(N$12,選定!$C$3:$AG$100,28,FALSE),"")</f>
        <v/>
      </c>
      <c r="O39" s="586" t="str">
        <f>IFERROR(VLOOKUP(O$12,選定!$C$3:$AG$100,28,FALSE),"")</f>
        <v/>
      </c>
      <c r="P39" s="586" t="str">
        <f>IFERROR(VLOOKUP(P$12,選定!$C$3:$AG$100,28,FALSE),"")</f>
        <v/>
      </c>
      <c r="Q39" s="586" t="str">
        <f>IFERROR(VLOOKUP(Q$12,選定!$C$3:$AG$100,28,FALSE),"")</f>
        <v/>
      </c>
      <c r="R39" s="586" t="str">
        <f>IFERROR(VLOOKUP(R$12,選定!$C$3:$AG$100,28,FALSE),"")</f>
        <v/>
      </c>
      <c r="S39" s="586" t="str">
        <f>IFERROR(VLOOKUP(S$12,選定!$C$3:$AG$100,28,FALSE),"")</f>
        <v/>
      </c>
      <c r="T39" s="586" t="str">
        <f>IFERROR(VLOOKUP(T$12,選定!$C$3:$AG$100,28,FALSE),"")</f>
        <v/>
      </c>
      <c r="U39" s="586" t="str">
        <f>IFERROR(VLOOKUP(U$12,選定!$C$3:$AG$100,28,FALSE),"")</f>
        <v/>
      </c>
      <c r="V39" s="586" t="str">
        <f>IFERROR(VLOOKUP(V$12,選定!$C$3:$AG$100,28,FALSE),"")</f>
        <v/>
      </c>
      <c r="W39" s="586" t="str">
        <f>IFERROR(VLOOKUP(W$12,選定!$C$3:$AG$100,28,FALSE),"")</f>
        <v/>
      </c>
      <c r="X39" s="586" t="str">
        <f>IFERROR(VLOOKUP(X$12,選定!$C$3:$AG$100,28,FALSE),"")</f>
        <v/>
      </c>
      <c r="Y39" s="586" t="str">
        <f>IFERROR(VLOOKUP(Y$12,選定!$C$3:$AG$100,28,FALSE),"")</f>
        <v/>
      </c>
      <c r="Z39" s="586" t="str">
        <f>IFERROR(VLOOKUP(Z$12,選定!$C$3:$AG$100,28,FALSE),"")</f>
        <v/>
      </c>
      <c r="AA39" s="586" t="str">
        <f>IFERROR(VLOOKUP(AA$12,選定!$C$3:$AG$100,28,FALSE),"")</f>
        <v/>
      </c>
      <c r="AB39" s="586" t="str">
        <f>IFERROR(VLOOKUP(AB$12,選定!$C$3:$AG$100,28,FALSE),"")</f>
        <v/>
      </c>
      <c r="AC39" s="586" t="str">
        <f>IFERROR(VLOOKUP(AC$12,選定!$C$3:$AG$100,28,FALSE),"")</f>
        <v/>
      </c>
      <c r="AD39" s="586" t="str">
        <f>IFERROR(VLOOKUP(AD$12,選定!$C$3:$AG$100,28,FALSE),"")</f>
        <v/>
      </c>
      <c r="AE39" s="586" t="str">
        <f>IFERROR(VLOOKUP(AE$12,選定!$C$3:$AG$100,28,FALSE),"")</f>
        <v/>
      </c>
    </row>
    <row r="40" spans="1:31" s="582" customFormat="1" ht="15" hidden="1">
      <c r="A40" s="604" t="s">
        <v>122</v>
      </c>
      <c r="B40" s="594" t="str">
        <f>IFERROR(VLOOKUP(B$12,選定!$C$3:$AG$100,27,FALSE),"")</f>
        <v/>
      </c>
      <c r="C40" s="594" t="str">
        <f>IFERROR(VLOOKUP(C$12,選定!$C$3:$AG$100,27,FALSE),"")</f>
        <v/>
      </c>
      <c r="D40" s="594" t="str">
        <f>IFERROR(VLOOKUP(D$12,選定!$C$3:$AG$100,27,FALSE),"")</f>
        <v/>
      </c>
      <c r="E40" s="594" t="str">
        <f>IFERROR(VLOOKUP(E$12,選定!$C$3:$AG$100,27,FALSE),"")</f>
        <v/>
      </c>
      <c r="F40" s="594" t="str">
        <f>IFERROR(VLOOKUP(F$12,選定!$C$3:$AG$100,27,FALSE),"")</f>
        <v/>
      </c>
      <c r="G40" s="594" t="str">
        <f>IFERROR(VLOOKUP(G$12,選定!$C$3:$AG$100,27,FALSE),"")</f>
        <v/>
      </c>
      <c r="H40" s="594" t="str">
        <f>IFERROR(VLOOKUP(H$12,選定!$C$3:$AG$100,27,FALSE),"")</f>
        <v/>
      </c>
      <c r="I40" s="594" t="str">
        <f>IFERROR(VLOOKUP(I$12,選定!$C$3:$AG$100,27,FALSE),"")</f>
        <v/>
      </c>
      <c r="J40" s="594" t="str">
        <f>IFERROR(VLOOKUP(J$12,選定!$C$3:$AG$100,27,FALSE),"")</f>
        <v/>
      </c>
      <c r="K40" s="594" t="str">
        <f>IFERROR(VLOOKUP(K$12,選定!$C$3:$AG$100,27,FALSE),"")</f>
        <v/>
      </c>
      <c r="L40" s="594" t="str">
        <f>IFERROR(VLOOKUP(L$12,選定!$C$3:$AG$100,27,FALSE),"")</f>
        <v/>
      </c>
      <c r="M40" s="594" t="str">
        <f>IFERROR(VLOOKUP(M$12,選定!$C$3:$AG$100,27,FALSE),"")</f>
        <v/>
      </c>
      <c r="N40" s="594" t="str">
        <f>IFERROR(VLOOKUP(N$12,選定!$C$3:$AG$100,27,FALSE),"")</f>
        <v/>
      </c>
      <c r="O40" s="594" t="str">
        <f>IFERROR(VLOOKUP(O$12,選定!$C$3:$AG$100,27,FALSE),"")</f>
        <v/>
      </c>
      <c r="P40" s="594" t="str">
        <f>IFERROR(VLOOKUP(P$12,選定!$C$3:$AG$100,27,FALSE),"")</f>
        <v/>
      </c>
      <c r="Q40" s="594" t="str">
        <f>IFERROR(VLOOKUP(Q$12,選定!$C$3:$AG$100,27,FALSE),"")</f>
        <v/>
      </c>
      <c r="R40" s="594" t="str">
        <f>IFERROR(VLOOKUP(R$12,選定!$C$3:$AG$100,27,FALSE),"")</f>
        <v/>
      </c>
      <c r="S40" s="594" t="str">
        <f>IFERROR(VLOOKUP(S$12,選定!$C$3:$AG$100,27,FALSE),"")</f>
        <v/>
      </c>
      <c r="T40" s="594" t="str">
        <f>IFERROR(VLOOKUP(T$12,選定!$C$3:$AG$100,27,FALSE),"")</f>
        <v/>
      </c>
      <c r="U40" s="594" t="str">
        <f>IFERROR(VLOOKUP(U$12,選定!$C$3:$AG$100,27,FALSE),"")</f>
        <v/>
      </c>
      <c r="V40" s="594" t="str">
        <f>IFERROR(VLOOKUP(V$12,選定!$C$3:$AG$100,27,FALSE),"")</f>
        <v/>
      </c>
      <c r="W40" s="594" t="str">
        <f>IFERROR(VLOOKUP(W$12,選定!$C$3:$AG$100,27,FALSE),"")</f>
        <v/>
      </c>
      <c r="X40" s="594" t="str">
        <f>IFERROR(VLOOKUP(X$12,選定!$C$3:$AG$100,27,FALSE),"")</f>
        <v/>
      </c>
      <c r="Y40" s="594" t="str">
        <f>IFERROR(VLOOKUP(Y$12,選定!$C$3:$AG$100,27,FALSE),"")</f>
        <v/>
      </c>
      <c r="Z40" s="594" t="str">
        <f>IFERROR(VLOOKUP(Z$12,選定!$C$3:$AG$100,27,FALSE),"")</f>
        <v/>
      </c>
      <c r="AA40" s="594" t="str">
        <f>IFERROR(VLOOKUP(AA$12,選定!$C$3:$AG$100,27,FALSE),"")</f>
        <v/>
      </c>
      <c r="AB40" s="594" t="str">
        <f>IFERROR(VLOOKUP(AB$12,選定!$C$3:$AG$100,27,FALSE),"")</f>
        <v/>
      </c>
      <c r="AC40" s="594" t="str">
        <f>IFERROR(VLOOKUP(AC$12,選定!$C$3:$AG$100,27,FALSE),"")</f>
        <v/>
      </c>
      <c r="AD40" s="594" t="str">
        <f>IFERROR(VLOOKUP(AD$12,選定!$C$3:$AG$100,27,FALSE),"")</f>
        <v/>
      </c>
      <c r="AE40" s="594" t="str">
        <f>IFERROR(VLOOKUP(AE$12,選定!$C$3:$AG$100,27,FALSE),"")</f>
        <v/>
      </c>
    </row>
    <row r="41" spans="1:31" s="20" customFormat="1" ht="15" hidden="1">
      <c r="A41" s="600" t="s">
        <v>123</v>
      </c>
      <c r="B41" s="586" t="str">
        <f>IFERROR(VLOOKUP(B$12,選定!$C$3:$AG$100,28,FALSE),"")</f>
        <v/>
      </c>
      <c r="C41" s="586" t="str">
        <f>IFERROR(VLOOKUP(C$12,選定!$C$3:$AG$100,28,FALSE),"")</f>
        <v/>
      </c>
      <c r="D41" s="586" t="str">
        <f>IFERROR(VLOOKUP(D$12,選定!$C$3:$AG$100,28,FALSE),"")</f>
        <v/>
      </c>
      <c r="E41" s="586" t="str">
        <f>IFERROR(VLOOKUP(E$12,選定!$C$3:$AG$100,28,FALSE),"")</f>
        <v/>
      </c>
      <c r="F41" s="586" t="str">
        <f>IFERROR(VLOOKUP(F$12,選定!$C$3:$AG$100,28,FALSE),"")</f>
        <v/>
      </c>
      <c r="G41" s="586" t="str">
        <f>IFERROR(VLOOKUP(G$12,選定!$C$3:$AG$100,28,FALSE),"")</f>
        <v/>
      </c>
      <c r="H41" s="586" t="str">
        <f>IFERROR(VLOOKUP(H$12,選定!$C$3:$AG$100,28,FALSE),"")</f>
        <v/>
      </c>
      <c r="I41" s="586" t="str">
        <f>IFERROR(VLOOKUP(I$12,選定!$C$3:$AG$100,28,FALSE),"")</f>
        <v/>
      </c>
      <c r="J41" s="586" t="str">
        <f>IFERROR(VLOOKUP(J$12,選定!$C$3:$AG$100,28,FALSE),"")</f>
        <v/>
      </c>
      <c r="K41" s="586" t="str">
        <f>IFERROR(VLOOKUP(K$12,選定!$C$3:$AG$100,28,FALSE),"")</f>
        <v/>
      </c>
      <c r="L41" s="586" t="str">
        <f>IFERROR(VLOOKUP(L$12,選定!$C$3:$AG$100,28,FALSE),"")</f>
        <v/>
      </c>
      <c r="M41" s="586" t="str">
        <f>IFERROR(VLOOKUP(M$12,選定!$C$3:$AG$100,28,FALSE),"")</f>
        <v/>
      </c>
      <c r="N41" s="586" t="str">
        <f>IFERROR(VLOOKUP(N$12,選定!$C$3:$AG$100,28,FALSE),"")</f>
        <v/>
      </c>
      <c r="O41" s="586" t="str">
        <f>IFERROR(VLOOKUP(O$12,選定!$C$3:$AG$100,28,FALSE),"")</f>
        <v/>
      </c>
      <c r="P41" s="586" t="str">
        <f>IFERROR(VLOOKUP(P$12,選定!$C$3:$AG$100,28,FALSE),"")</f>
        <v/>
      </c>
      <c r="Q41" s="586" t="str">
        <f>IFERROR(VLOOKUP(Q$12,選定!$C$3:$AG$100,28,FALSE),"")</f>
        <v/>
      </c>
      <c r="R41" s="586" t="str">
        <f>IFERROR(VLOOKUP(R$12,選定!$C$3:$AG$100,28,FALSE),"")</f>
        <v/>
      </c>
      <c r="S41" s="586" t="str">
        <f>IFERROR(VLOOKUP(S$12,選定!$C$3:$AG$100,28,FALSE),"")</f>
        <v/>
      </c>
      <c r="T41" s="586" t="str">
        <f>IFERROR(VLOOKUP(T$12,選定!$C$3:$AG$100,28,FALSE),"")</f>
        <v/>
      </c>
      <c r="U41" s="586" t="str">
        <f>IFERROR(VLOOKUP(U$12,選定!$C$3:$AG$100,28,FALSE),"")</f>
        <v/>
      </c>
      <c r="V41" s="586" t="str">
        <f>IFERROR(VLOOKUP(V$12,選定!$C$3:$AG$100,28,FALSE),"")</f>
        <v/>
      </c>
      <c r="W41" s="586" t="str">
        <f>IFERROR(VLOOKUP(W$12,選定!$C$3:$AG$100,28,FALSE),"")</f>
        <v/>
      </c>
      <c r="X41" s="586" t="str">
        <f>IFERROR(VLOOKUP(X$12,選定!$C$3:$AG$100,28,FALSE),"")</f>
        <v/>
      </c>
      <c r="Y41" s="586" t="str">
        <f>IFERROR(VLOOKUP(Y$12,選定!$C$3:$AG$100,28,FALSE),"")</f>
        <v/>
      </c>
      <c r="Z41" s="586" t="str">
        <f>IFERROR(VLOOKUP(Z$12,選定!$C$3:$AG$100,28,FALSE),"")</f>
        <v/>
      </c>
      <c r="AA41" s="586" t="str">
        <f>IFERROR(VLOOKUP(AA$12,選定!$C$3:$AG$100,28,FALSE),"")</f>
        <v/>
      </c>
      <c r="AB41" s="586" t="str">
        <f>IFERROR(VLOOKUP(AB$12,選定!$C$3:$AG$100,28,FALSE),"")</f>
        <v/>
      </c>
      <c r="AC41" s="586" t="str">
        <f>IFERROR(VLOOKUP(AC$12,選定!$C$3:$AG$100,28,FALSE),"")</f>
        <v/>
      </c>
      <c r="AD41" s="586" t="str">
        <f>IFERROR(VLOOKUP(AD$12,選定!$C$3:$AG$100,28,FALSE),"")</f>
        <v/>
      </c>
      <c r="AE41" s="586" t="str">
        <f>IFERROR(VLOOKUP(AE$12,選定!$C$3:$AG$100,28,FALSE),"")</f>
        <v/>
      </c>
    </row>
    <row r="42" spans="1:31" s="20" customFormat="1" ht="15">
      <c r="A42" s="1455" t="s">
        <v>489</v>
      </c>
      <c r="B42" s="577"/>
      <c r="C42" s="577"/>
      <c r="D42" s="577"/>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row>
    <row r="43" spans="1:31" s="20" customFormat="1" ht="15">
      <c r="A43" s="1456"/>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c r="AC43" s="578"/>
      <c r="AD43" s="578"/>
      <c r="AE43" s="578"/>
    </row>
    <row r="44" spans="1:31" s="20" customFormat="1" ht="18" customHeight="1">
      <c r="A44" s="1457"/>
      <c r="B44" s="579"/>
      <c r="C44" s="579"/>
      <c r="D44" s="579"/>
      <c r="E44" s="579"/>
      <c r="F44" s="579"/>
      <c r="G44" s="579"/>
      <c r="H44" s="580"/>
      <c r="I44" s="579"/>
      <c r="J44" s="579"/>
      <c r="K44" s="579"/>
      <c r="L44" s="579"/>
      <c r="M44" s="579"/>
      <c r="N44" s="579"/>
      <c r="O44" s="580"/>
      <c r="P44" s="579"/>
      <c r="Q44" s="579"/>
      <c r="R44" s="579"/>
      <c r="S44" s="579"/>
      <c r="T44" s="579"/>
      <c r="U44" s="579"/>
      <c r="V44" s="580"/>
      <c r="W44" s="579"/>
      <c r="X44" s="579"/>
      <c r="Y44" s="579"/>
      <c r="Z44" s="579"/>
      <c r="AA44" s="579"/>
      <c r="AB44" s="579"/>
      <c r="AC44" s="580"/>
      <c r="AD44" s="579"/>
      <c r="AE44" s="579"/>
    </row>
    <row r="45" spans="1:31" s="710" customFormat="1" ht="15">
      <c r="A45" s="709"/>
      <c r="H45" s="711">
        <v>10</v>
      </c>
      <c r="O45" s="709"/>
      <c r="P45" s="711" t="s">
        <v>490</v>
      </c>
      <c r="V45" s="709"/>
      <c r="X45" s="711" t="s">
        <v>491</v>
      </c>
      <c r="AC45" s="709"/>
      <c r="AE45" s="711" t="s">
        <v>492</v>
      </c>
    </row>
    <row r="46" spans="1:31">
      <c r="A46" s="1452" t="s">
        <v>493</v>
      </c>
      <c r="B46" s="363"/>
      <c r="C46" s="363"/>
      <c r="D46" s="363"/>
      <c r="E46" s="363"/>
      <c r="F46" s="363"/>
      <c r="G46" s="363"/>
      <c r="H46" s="363"/>
      <c r="I46" s="363"/>
      <c r="J46" s="363"/>
      <c r="K46" s="363"/>
      <c r="L46" s="363"/>
      <c r="M46" s="363"/>
      <c r="N46" s="363"/>
      <c r="O46" s="363"/>
      <c r="P46" s="363"/>
      <c r="Q46" s="363"/>
      <c r="R46" s="363"/>
      <c r="S46" s="363"/>
      <c r="T46" s="363"/>
      <c r="U46" s="363"/>
      <c r="V46" s="363"/>
      <c r="W46" s="363"/>
      <c r="X46" s="363"/>
      <c r="Y46" s="363"/>
      <c r="Z46" s="363"/>
      <c r="AA46" s="363"/>
      <c r="AB46" s="363"/>
      <c r="AC46" s="363"/>
      <c r="AD46" s="363"/>
      <c r="AE46" s="363"/>
    </row>
    <row r="47" spans="1:31">
      <c r="A47" s="1453"/>
      <c r="B47" s="364"/>
      <c r="C47" s="364"/>
      <c r="D47" s="364"/>
      <c r="E47" s="364"/>
      <c r="F47" s="364"/>
      <c r="G47" s="364"/>
      <c r="H47" s="364"/>
      <c r="I47" s="364"/>
      <c r="J47" s="364"/>
      <c r="K47" s="364"/>
      <c r="L47" s="364"/>
      <c r="M47" s="364"/>
      <c r="N47" s="364"/>
      <c r="O47" s="364"/>
      <c r="P47" s="364"/>
      <c r="Q47" s="364"/>
      <c r="R47" s="364"/>
      <c r="S47" s="364"/>
      <c r="T47" s="364"/>
      <c r="U47" s="364"/>
      <c r="V47" s="364"/>
      <c r="W47" s="364"/>
      <c r="X47" s="364"/>
      <c r="Y47" s="364"/>
      <c r="Z47" s="364"/>
      <c r="AA47" s="364"/>
      <c r="AB47" s="364"/>
      <c r="AC47" s="364"/>
      <c r="AD47" s="364"/>
      <c r="AE47" s="364"/>
    </row>
    <row r="48" spans="1:31">
      <c r="A48" s="1453"/>
      <c r="B48"/>
      <c r="C48" s="364"/>
      <c r="D48"/>
      <c r="E48" s="364"/>
      <c r="F48"/>
      <c r="G48" s="364"/>
      <c r="H48" s="364"/>
      <c r="I48" s="364"/>
      <c r="J48" s="364"/>
      <c r="K48" s="364"/>
      <c r="L48" s="364"/>
      <c r="M48" s="364"/>
      <c r="N48" s="364"/>
      <c r="O48" s="364"/>
      <c r="P48" s="364"/>
      <c r="Q48" s="364"/>
      <c r="R48" s="364"/>
      <c r="S48" s="364"/>
      <c r="T48" s="364"/>
      <c r="U48" s="364"/>
      <c r="V48" s="364"/>
      <c r="W48" s="364"/>
      <c r="X48" s="364"/>
      <c r="Y48" s="364"/>
      <c r="Z48" s="364"/>
      <c r="AA48" s="364"/>
      <c r="AB48" s="364"/>
      <c r="AC48" s="364"/>
      <c r="AD48" s="364"/>
      <c r="AE48" s="364"/>
    </row>
    <row r="49" spans="1:31">
      <c r="A49" s="1453"/>
      <c r="B49" s="364"/>
      <c r="C49" s="364"/>
      <c r="D49" s="364"/>
      <c r="E49" s="364"/>
      <c r="F49" s="364"/>
      <c r="G49" s="364"/>
      <c r="H49"/>
      <c r="I49" s="364"/>
      <c r="J49" s="364"/>
      <c r="K49" s="364"/>
      <c r="L49" s="364"/>
      <c r="M49" s="364"/>
      <c r="N49" s="364"/>
      <c r="O49" s="364"/>
      <c r="P49" s="364"/>
      <c r="Q49" s="364"/>
      <c r="R49" s="364"/>
      <c r="S49" s="364"/>
      <c r="T49" s="364"/>
      <c r="U49" s="364"/>
      <c r="V49" s="364"/>
      <c r="W49" s="364"/>
      <c r="X49" s="364"/>
      <c r="Y49" s="364"/>
      <c r="Z49" s="364"/>
      <c r="AA49" s="364"/>
      <c r="AB49" s="364"/>
      <c r="AC49" s="364"/>
      <c r="AD49" s="364"/>
      <c r="AE49" s="364"/>
    </row>
    <row r="50" spans="1:31" ht="19.5" thickBot="1">
      <c r="A50" s="1454"/>
      <c r="B50" s="365"/>
      <c r="C50" s="365"/>
      <c r="D50" s="365"/>
      <c r="E50" s="365"/>
      <c r="F50" s="365"/>
      <c r="G50" s="365"/>
      <c r="H50" s="365"/>
      <c r="I50" s="365"/>
      <c r="J50" s="365"/>
      <c r="K50" s="365"/>
      <c r="L50" s="365"/>
      <c r="M50" s="365"/>
      <c r="N50" s="365"/>
      <c r="O50" s="365"/>
      <c r="P50" s="365"/>
      <c r="Q50" s="365"/>
      <c r="R50" s="365"/>
      <c r="S50" s="365"/>
      <c r="T50" s="365"/>
      <c r="U50" s="365"/>
      <c r="V50" s="365"/>
      <c r="W50" s="365"/>
      <c r="X50" s="365"/>
      <c r="Y50" s="365"/>
      <c r="Z50" s="365"/>
      <c r="AA50" s="365"/>
      <c r="AB50" s="365"/>
      <c r="AC50" s="365"/>
      <c r="AD50" s="365"/>
      <c r="AE50" s="365"/>
    </row>
    <row r="51" spans="1:31" ht="19.5" thickBot="1"/>
    <row r="52" spans="1:31" s="251" customFormat="1" ht="18.399999999999999" customHeight="1" thickTop="1">
      <c r="B52" s="251" t="s">
        <v>494</v>
      </c>
      <c r="C52" s="251" t="s">
        <v>495</v>
      </c>
      <c r="E52" s="1448" t="s">
        <v>496</v>
      </c>
      <c r="F52" s="1449"/>
      <c r="G52" s="517"/>
      <c r="H52" s="517"/>
      <c r="I52" s="517"/>
      <c r="J52" s="517"/>
      <c r="K52" s="517"/>
      <c r="L52" s="517"/>
      <c r="M52" s="517"/>
      <c r="N52" s="517"/>
      <c r="O52" s="517"/>
      <c r="P52" s="518"/>
    </row>
    <row r="53" spans="1:31" s="251" customFormat="1">
      <c r="B53" s="251" t="s">
        <v>497</v>
      </c>
      <c r="C53" s="251" t="s">
        <v>498</v>
      </c>
      <c r="E53" s="1450"/>
      <c r="F53" s="1451"/>
      <c r="P53" s="520"/>
    </row>
    <row r="54" spans="1:31" s="251" customFormat="1">
      <c r="B54" s="251" t="s">
        <v>499</v>
      </c>
      <c r="C54" s="251" t="s">
        <v>500</v>
      </c>
      <c r="E54" s="519"/>
      <c r="P54" s="520"/>
    </row>
    <row r="55" spans="1:31">
      <c r="E55" s="521"/>
      <c r="P55" s="522"/>
    </row>
    <row r="56" spans="1:31">
      <c r="E56" s="521"/>
      <c r="P56" s="522"/>
    </row>
    <row r="57" spans="1:31">
      <c r="E57" s="521"/>
      <c r="P57" s="522"/>
    </row>
    <row r="58" spans="1:31">
      <c r="E58" s="521"/>
      <c r="P58" s="522"/>
    </row>
    <row r="59" spans="1:31">
      <c r="E59" s="521"/>
      <c r="P59" s="522"/>
    </row>
    <row r="60" spans="1:31">
      <c r="E60" s="521"/>
      <c r="P60" s="522"/>
    </row>
    <row r="61" spans="1:31">
      <c r="E61" s="521"/>
      <c r="P61" s="522"/>
    </row>
    <row r="62" spans="1:31">
      <c r="E62" s="521"/>
      <c r="P62" s="522"/>
    </row>
    <row r="63" spans="1:31">
      <c r="E63" s="521"/>
      <c r="P63" s="522"/>
    </row>
    <row r="64" spans="1:31">
      <c r="E64" s="521"/>
      <c r="P64" s="522"/>
    </row>
    <row r="65" spans="1:28">
      <c r="E65" s="521"/>
      <c r="P65" s="522"/>
    </row>
    <row r="66" spans="1:28">
      <c r="E66" s="521"/>
      <c r="P66" s="522"/>
    </row>
    <row r="67" spans="1:28">
      <c r="E67" s="521"/>
      <c r="P67" s="522"/>
    </row>
    <row r="68" spans="1:28">
      <c r="E68" s="521"/>
      <c r="P68" s="522"/>
    </row>
    <row r="69" spans="1:28">
      <c r="E69" s="521"/>
      <c r="P69" s="522"/>
    </row>
    <row r="70" spans="1:28">
      <c r="E70" s="521"/>
      <c r="P70" s="522"/>
    </row>
    <row r="71" spans="1:28">
      <c r="E71" s="521"/>
      <c r="P71" s="522"/>
    </row>
    <row r="72" spans="1:28">
      <c r="E72" s="521"/>
      <c r="P72" s="522"/>
    </row>
    <row r="73" spans="1:28">
      <c r="E73" s="521"/>
      <c r="P73" s="522"/>
    </row>
    <row r="74" spans="1:28" ht="19.5" thickBot="1">
      <c r="E74" s="523"/>
      <c r="F74" s="524"/>
      <c r="G74" s="524"/>
      <c r="H74" s="525"/>
      <c r="I74" s="524"/>
      <c r="J74" s="524"/>
      <c r="K74" s="524"/>
      <c r="L74" s="524"/>
      <c r="M74" s="524"/>
      <c r="N74" s="524"/>
      <c r="O74" s="525"/>
      <c r="P74" s="526"/>
    </row>
    <row r="75" spans="1:28" ht="19.5" thickTop="1"/>
    <row r="80" spans="1:28">
      <c r="A80" s="5" t="s">
        <v>97</v>
      </c>
      <c r="B80" s="4" t="s">
        <v>98</v>
      </c>
      <c r="C80" s="4" t="s">
        <v>99</v>
      </c>
      <c r="D80" s="4" t="s">
        <v>100</v>
      </c>
      <c r="E80" s="4" t="s">
        <v>101</v>
      </c>
      <c r="F80" s="4" t="s">
        <v>102</v>
      </c>
      <c r="G80" s="4" t="s">
        <v>103</v>
      </c>
      <c r="H80" s="5" t="s">
        <v>104</v>
      </c>
      <c r="I80" s="4" t="s">
        <v>96</v>
      </c>
      <c r="J80" s="4" t="s">
        <v>488</v>
      </c>
      <c r="K80" s="4" t="s">
        <v>106</v>
      </c>
      <c r="L80" s="4" t="s">
        <v>107</v>
      </c>
      <c r="M80" s="4" t="s">
        <v>108</v>
      </c>
      <c r="N80" s="4" t="s">
        <v>109</v>
      </c>
      <c r="O80" s="5" t="s">
        <v>110</v>
      </c>
      <c r="P80" s="4" t="s">
        <v>111</v>
      </c>
      <c r="Q80" s="4" t="s">
        <v>112</v>
      </c>
      <c r="R80" s="4" t="s">
        <v>113</v>
      </c>
      <c r="S80" s="4" t="s">
        <v>114</v>
      </c>
      <c r="T80" s="4" t="s">
        <v>115</v>
      </c>
      <c r="U80" s="4" t="s">
        <v>117</v>
      </c>
      <c r="V80" s="5" t="s">
        <v>118</v>
      </c>
      <c r="W80" s="4" t="s">
        <v>119</v>
      </c>
      <c r="X80" s="4" t="s">
        <v>120</v>
      </c>
      <c r="Y80" s="4" t="s">
        <v>121</v>
      </c>
      <c r="Z80" s="4" t="s">
        <v>122</v>
      </c>
      <c r="AA80" s="4" t="s">
        <v>123</v>
      </c>
      <c r="AB80" s="4"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75" defaultRowHeight="16.149999999999999" customHeight="1"/>
  <cols>
    <col min="1" max="1" width="4.125" style="616" customWidth="1"/>
    <col min="2" max="2" width="11.75" style="616" customWidth="1"/>
    <col min="3" max="3" width="8.25" style="616" bestFit="1" customWidth="1"/>
    <col min="4" max="4" width="18.125" style="616" customWidth="1"/>
    <col min="5" max="5" width="9.625" style="616" bestFit="1" customWidth="1"/>
    <col min="6" max="6" width="18.125" style="616" customWidth="1"/>
    <col min="7" max="7" width="2.75" style="616" bestFit="1" customWidth="1"/>
    <col min="8" max="8" width="4.25" style="616" customWidth="1"/>
    <col min="9" max="9" width="11.75" style="616" customWidth="1"/>
    <col min="10" max="10" width="8.25" style="616" bestFit="1" customWidth="1"/>
    <col min="11" max="11" width="18.125" style="616" customWidth="1"/>
    <col min="12" max="12" width="9.625" style="616" bestFit="1" customWidth="1"/>
    <col min="13" max="13" width="18.125" style="616" customWidth="1"/>
    <col min="14" max="16384" width="8.75" style="616"/>
  </cols>
  <sheetData>
    <row r="1" spans="1:13" ht="16.149999999999999" customHeight="1">
      <c r="A1" s="1469" t="s">
        <v>501</v>
      </c>
      <c r="B1" s="1469"/>
      <c r="C1" s="1469"/>
      <c r="D1" s="1469"/>
      <c r="E1" s="1469"/>
      <c r="F1" s="1469"/>
      <c r="G1" s="1469"/>
      <c r="H1" s="1469"/>
      <c r="I1" s="1469"/>
      <c r="J1" s="1469"/>
      <c r="K1" s="1469"/>
      <c r="L1" s="1469"/>
      <c r="M1" s="1469"/>
    </row>
    <row r="2" spans="1:13" ht="16.149999999999999" customHeight="1">
      <c r="A2" s="1469"/>
      <c r="B2" s="1469"/>
      <c r="C2" s="1469"/>
      <c r="D2" s="1469"/>
      <c r="E2" s="1469"/>
      <c r="F2" s="1469"/>
      <c r="G2" s="1469"/>
      <c r="H2" s="1469"/>
      <c r="I2" s="1469"/>
      <c r="J2" s="1469"/>
      <c r="K2" s="1469"/>
      <c r="L2" s="1469"/>
      <c r="M2" s="1469"/>
    </row>
    <row r="3" spans="1:13" ht="16.149999999999999" customHeight="1" thickBot="1"/>
    <row r="4" spans="1:13" ht="16.149999999999999" customHeight="1">
      <c r="A4" s="1463">
        <v>1</v>
      </c>
      <c r="B4" s="1466" t="s">
        <v>479</v>
      </c>
      <c r="C4" s="640" t="s">
        <v>502</v>
      </c>
      <c r="D4" s="641" t="str">
        <f>☆入力!B49</f>
        <v/>
      </c>
      <c r="E4" s="640" t="s">
        <v>226</v>
      </c>
      <c r="F4" s="642">
        <f>☆入力!C49</f>
        <v>0</v>
      </c>
      <c r="G4" s="617"/>
      <c r="H4" s="1463">
        <v>7</v>
      </c>
      <c r="I4" s="1466" t="s">
        <v>479</v>
      </c>
      <c r="J4" s="640" t="s">
        <v>502</v>
      </c>
      <c r="K4" s="641" t="str">
        <f>☆入力!B55</f>
        <v/>
      </c>
      <c r="L4" s="640" t="s">
        <v>226</v>
      </c>
      <c r="M4" s="642">
        <f>☆入力!C55</f>
        <v>0</v>
      </c>
    </row>
    <row r="5" spans="1:13" ht="16.149999999999999" customHeight="1">
      <c r="A5" s="1464"/>
      <c r="B5" s="1467"/>
      <c r="C5" s="637" t="s">
        <v>315</v>
      </c>
      <c r="D5" s="638">
        <f>☆入力!D49</f>
        <v>0</v>
      </c>
      <c r="E5" s="637" t="s">
        <v>211</v>
      </c>
      <c r="F5" s="643">
        <f>☆入力!L49</f>
        <v>0</v>
      </c>
      <c r="G5" s="617"/>
      <c r="H5" s="1464"/>
      <c r="I5" s="1467"/>
      <c r="J5" s="637" t="s">
        <v>315</v>
      </c>
      <c r="K5" s="638">
        <f>☆入力!D55</f>
        <v>0</v>
      </c>
      <c r="L5" s="637" t="s">
        <v>211</v>
      </c>
      <c r="M5" s="643">
        <f>☆入力!L55</f>
        <v>0</v>
      </c>
    </row>
    <row r="6" spans="1:13" ht="16.149999999999999" customHeight="1">
      <c r="A6" s="1464"/>
      <c r="B6" s="1467"/>
      <c r="C6" s="639" t="s">
        <v>263</v>
      </c>
      <c r="D6" s="1458">
        <f>☆入力!W49</f>
        <v>0</v>
      </c>
      <c r="E6" s="1458"/>
      <c r="F6" s="1459"/>
      <c r="G6" s="617"/>
      <c r="H6" s="1464"/>
      <c r="I6" s="1467"/>
      <c r="J6" s="639" t="s">
        <v>263</v>
      </c>
      <c r="K6" s="1458">
        <f>☆入力!W55</f>
        <v>0</v>
      </c>
      <c r="L6" s="1458"/>
      <c r="M6" s="1459"/>
    </row>
    <row r="7" spans="1:13" ht="16.149999999999999" customHeight="1" thickBot="1">
      <c r="A7" s="1465"/>
      <c r="B7" s="1468"/>
      <c r="C7" s="644" t="s">
        <v>264</v>
      </c>
      <c r="D7" s="1460">
        <f>☆入力!AC49</f>
        <v>0</v>
      </c>
      <c r="E7" s="1461"/>
      <c r="F7" s="1462"/>
      <c r="G7" s="617"/>
      <c r="H7" s="1465"/>
      <c r="I7" s="1468"/>
      <c r="J7" s="644" t="s">
        <v>264</v>
      </c>
      <c r="K7" s="1460">
        <f>☆入力!AC55</f>
        <v>0</v>
      </c>
      <c r="L7" s="1461"/>
      <c r="M7" s="1462"/>
    </row>
    <row r="8" spans="1:13" ht="16.149999999999999" customHeight="1">
      <c r="A8" s="1463">
        <v>2</v>
      </c>
      <c r="B8" s="1466" t="s">
        <v>479</v>
      </c>
      <c r="C8" s="640" t="s">
        <v>502</v>
      </c>
      <c r="D8" s="641" t="str">
        <f>☆入力!B50</f>
        <v/>
      </c>
      <c r="E8" s="640" t="s">
        <v>226</v>
      </c>
      <c r="F8" s="642">
        <f>☆入力!C50</f>
        <v>0</v>
      </c>
      <c r="G8" s="617"/>
      <c r="H8" s="1463">
        <v>8</v>
      </c>
      <c r="I8" s="1466" t="s">
        <v>479</v>
      </c>
      <c r="J8" s="640" t="s">
        <v>502</v>
      </c>
      <c r="K8" s="641" t="str">
        <f>☆入力!B56</f>
        <v/>
      </c>
      <c r="L8" s="640" t="s">
        <v>226</v>
      </c>
      <c r="M8" s="642">
        <f>☆入力!C56</f>
        <v>0</v>
      </c>
    </row>
    <row r="9" spans="1:13" ht="16.149999999999999" customHeight="1">
      <c r="A9" s="1464"/>
      <c r="B9" s="1467"/>
      <c r="C9" s="637" t="s">
        <v>315</v>
      </c>
      <c r="D9" s="638">
        <f>☆入力!D50</f>
        <v>0</v>
      </c>
      <c r="E9" s="637" t="s">
        <v>211</v>
      </c>
      <c r="F9" s="643">
        <f>☆入力!L50</f>
        <v>0</v>
      </c>
      <c r="G9" s="617"/>
      <c r="H9" s="1464"/>
      <c r="I9" s="1467"/>
      <c r="J9" s="637" t="s">
        <v>315</v>
      </c>
      <c r="K9" s="638">
        <f>☆入力!D56</f>
        <v>0</v>
      </c>
      <c r="L9" s="637" t="s">
        <v>211</v>
      </c>
      <c r="M9" s="643">
        <f>☆入力!L56</f>
        <v>0</v>
      </c>
    </row>
    <row r="10" spans="1:13" ht="16.149999999999999" customHeight="1">
      <c r="A10" s="1464"/>
      <c r="B10" s="1467"/>
      <c r="C10" s="639" t="s">
        <v>263</v>
      </c>
      <c r="D10" s="1458">
        <f>☆入力!W50</f>
        <v>0</v>
      </c>
      <c r="E10" s="1458"/>
      <c r="F10" s="1459"/>
      <c r="G10" s="617"/>
      <c r="H10" s="1464"/>
      <c r="I10" s="1467"/>
      <c r="J10" s="639" t="s">
        <v>263</v>
      </c>
      <c r="K10" s="1458">
        <f>☆入力!W56</f>
        <v>0</v>
      </c>
      <c r="L10" s="1458"/>
      <c r="M10" s="1459"/>
    </row>
    <row r="11" spans="1:13" ht="16.149999999999999" customHeight="1" thickBot="1">
      <c r="A11" s="1465"/>
      <c r="B11" s="1468"/>
      <c r="C11" s="644" t="s">
        <v>264</v>
      </c>
      <c r="D11" s="1460">
        <f>☆入力!AC50</f>
        <v>0</v>
      </c>
      <c r="E11" s="1461"/>
      <c r="F11" s="1462"/>
      <c r="G11" s="617"/>
      <c r="H11" s="1465"/>
      <c r="I11" s="1468"/>
      <c r="J11" s="644" t="s">
        <v>264</v>
      </c>
      <c r="K11" s="1460">
        <f>☆入力!AC56</f>
        <v>0</v>
      </c>
      <c r="L11" s="1461"/>
      <c r="M11" s="1462"/>
    </row>
    <row r="12" spans="1:13" ht="16.149999999999999" customHeight="1">
      <c r="A12" s="1463">
        <v>3</v>
      </c>
      <c r="B12" s="1466" t="s">
        <v>479</v>
      </c>
      <c r="C12" s="640" t="s">
        <v>502</v>
      </c>
      <c r="D12" s="641" t="str">
        <f>☆入力!B51</f>
        <v/>
      </c>
      <c r="E12" s="640" t="s">
        <v>226</v>
      </c>
      <c r="F12" s="642">
        <f>☆入力!C51</f>
        <v>0</v>
      </c>
      <c r="G12" s="617"/>
      <c r="H12" s="1463">
        <v>9</v>
      </c>
      <c r="I12" s="1466" t="s">
        <v>479</v>
      </c>
      <c r="J12" s="640" t="s">
        <v>502</v>
      </c>
      <c r="K12" s="641" t="str">
        <f>☆入力!B57</f>
        <v/>
      </c>
      <c r="L12" s="640" t="s">
        <v>226</v>
      </c>
      <c r="M12" s="642">
        <f>☆入力!C57</f>
        <v>0</v>
      </c>
    </row>
    <row r="13" spans="1:13" ht="16.149999999999999" customHeight="1">
      <c r="A13" s="1464"/>
      <c r="B13" s="1467"/>
      <c r="C13" s="637" t="s">
        <v>315</v>
      </c>
      <c r="D13" s="638">
        <f>☆入力!D51</f>
        <v>0</v>
      </c>
      <c r="E13" s="637" t="s">
        <v>211</v>
      </c>
      <c r="F13" s="643">
        <f>☆入力!L51</f>
        <v>0</v>
      </c>
      <c r="G13" s="617"/>
      <c r="H13" s="1464"/>
      <c r="I13" s="1467"/>
      <c r="J13" s="637" t="s">
        <v>315</v>
      </c>
      <c r="K13" s="638">
        <f>☆入力!D57</f>
        <v>0</v>
      </c>
      <c r="L13" s="637" t="s">
        <v>211</v>
      </c>
      <c r="M13" s="643">
        <f>☆入力!L57</f>
        <v>0</v>
      </c>
    </row>
    <row r="14" spans="1:13" ht="16.149999999999999" customHeight="1">
      <c r="A14" s="1464"/>
      <c r="B14" s="1467"/>
      <c r="C14" s="639" t="s">
        <v>263</v>
      </c>
      <c r="D14" s="1458">
        <f>☆入力!W51</f>
        <v>0</v>
      </c>
      <c r="E14" s="1458"/>
      <c r="F14" s="1459"/>
      <c r="G14" s="617"/>
      <c r="H14" s="1464"/>
      <c r="I14" s="1467"/>
      <c r="J14" s="639" t="s">
        <v>263</v>
      </c>
      <c r="K14" s="1458">
        <f>☆入力!W57</f>
        <v>0</v>
      </c>
      <c r="L14" s="1458"/>
      <c r="M14" s="1459"/>
    </row>
    <row r="15" spans="1:13" ht="16.149999999999999" customHeight="1" thickBot="1">
      <c r="A15" s="1465"/>
      <c r="B15" s="1468"/>
      <c r="C15" s="644" t="s">
        <v>264</v>
      </c>
      <c r="D15" s="1460">
        <f>☆入力!AC51</f>
        <v>0</v>
      </c>
      <c r="E15" s="1461"/>
      <c r="F15" s="1462"/>
      <c r="G15" s="617"/>
      <c r="H15" s="1465"/>
      <c r="I15" s="1468"/>
      <c r="J15" s="644" t="s">
        <v>264</v>
      </c>
      <c r="K15" s="1460">
        <f>☆入力!AC57</f>
        <v>0</v>
      </c>
      <c r="L15" s="1461"/>
      <c r="M15" s="1462"/>
    </row>
    <row r="16" spans="1:13" ht="16.149999999999999" customHeight="1">
      <c r="A16" s="1463">
        <v>4</v>
      </c>
      <c r="B16" s="1466" t="s">
        <v>479</v>
      </c>
      <c r="C16" s="640" t="s">
        <v>502</v>
      </c>
      <c r="D16" s="641" t="str">
        <f>☆入力!B52</f>
        <v/>
      </c>
      <c r="E16" s="640" t="s">
        <v>226</v>
      </c>
      <c r="F16" s="642">
        <f>☆入力!C52</f>
        <v>0</v>
      </c>
      <c r="G16" s="617"/>
      <c r="H16" s="1463">
        <v>10</v>
      </c>
      <c r="I16" s="1466" t="s">
        <v>479</v>
      </c>
      <c r="J16" s="640" t="s">
        <v>502</v>
      </c>
      <c r="K16" s="641" t="str">
        <f>☆入力!B58</f>
        <v/>
      </c>
      <c r="L16" s="640" t="s">
        <v>226</v>
      </c>
      <c r="M16" s="642">
        <f>☆入力!C58</f>
        <v>0</v>
      </c>
    </row>
    <row r="17" spans="1:13" ht="16.149999999999999" customHeight="1">
      <c r="A17" s="1464"/>
      <c r="B17" s="1467"/>
      <c r="C17" s="637" t="s">
        <v>315</v>
      </c>
      <c r="D17" s="638">
        <f>☆入力!D52</f>
        <v>0</v>
      </c>
      <c r="E17" s="637" t="s">
        <v>211</v>
      </c>
      <c r="F17" s="643">
        <f>☆入力!L52</f>
        <v>0</v>
      </c>
      <c r="G17" s="617"/>
      <c r="H17" s="1464"/>
      <c r="I17" s="1467"/>
      <c r="J17" s="637" t="s">
        <v>315</v>
      </c>
      <c r="K17" s="638">
        <f>☆入力!D58</f>
        <v>0</v>
      </c>
      <c r="L17" s="637" t="s">
        <v>211</v>
      </c>
      <c r="M17" s="643">
        <f>☆入力!L58</f>
        <v>0</v>
      </c>
    </row>
    <row r="18" spans="1:13" ht="16.149999999999999" customHeight="1">
      <c r="A18" s="1464"/>
      <c r="B18" s="1467"/>
      <c r="C18" s="639" t="s">
        <v>263</v>
      </c>
      <c r="D18" s="1458">
        <f>☆入力!W52</f>
        <v>0</v>
      </c>
      <c r="E18" s="1458"/>
      <c r="F18" s="1459"/>
      <c r="G18" s="617"/>
      <c r="H18" s="1464"/>
      <c r="I18" s="1467"/>
      <c r="J18" s="639" t="s">
        <v>263</v>
      </c>
      <c r="K18" s="1458">
        <f>☆入力!W58</f>
        <v>0</v>
      </c>
      <c r="L18" s="1458"/>
      <c r="M18" s="1459"/>
    </row>
    <row r="19" spans="1:13" ht="16.149999999999999" customHeight="1" thickBot="1">
      <c r="A19" s="1465"/>
      <c r="B19" s="1468"/>
      <c r="C19" s="644" t="s">
        <v>264</v>
      </c>
      <c r="D19" s="1460">
        <f>☆入力!AC52</f>
        <v>0</v>
      </c>
      <c r="E19" s="1461"/>
      <c r="F19" s="1462"/>
      <c r="G19" s="617"/>
      <c r="H19" s="1465"/>
      <c r="I19" s="1468"/>
      <c r="J19" s="644" t="s">
        <v>264</v>
      </c>
      <c r="K19" s="1460">
        <f>☆入力!AC58</f>
        <v>0</v>
      </c>
      <c r="L19" s="1461"/>
      <c r="M19" s="1462"/>
    </row>
    <row r="20" spans="1:13" ht="16.149999999999999" customHeight="1">
      <c r="A20" s="1463">
        <v>5</v>
      </c>
      <c r="B20" s="1466" t="s">
        <v>479</v>
      </c>
      <c r="C20" s="640" t="s">
        <v>502</v>
      </c>
      <c r="D20" s="641" t="str">
        <f>☆入力!B53</f>
        <v/>
      </c>
      <c r="E20" s="640" t="s">
        <v>226</v>
      </c>
      <c r="F20" s="642">
        <f>☆入力!C53</f>
        <v>0</v>
      </c>
      <c r="G20" s="617"/>
      <c r="H20" s="1463">
        <v>11</v>
      </c>
      <c r="I20" s="1466" t="s">
        <v>479</v>
      </c>
      <c r="J20" s="640" t="s">
        <v>502</v>
      </c>
      <c r="K20" s="641" t="str">
        <f>☆入力!B59</f>
        <v/>
      </c>
      <c r="L20" s="640" t="s">
        <v>226</v>
      </c>
      <c r="M20" s="642">
        <f>☆入力!C59</f>
        <v>0</v>
      </c>
    </row>
    <row r="21" spans="1:13" ht="16.149999999999999" customHeight="1">
      <c r="A21" s="1464"/>
      <c r="B21" s="1467"/>
      <c r="C21" s="637" t="s">
        <v>315</v>
      </c>
      <c r="D21" s="638">
        <f>☆入力!D53</f>
        <v>0</v>
      </c>
      <c r="E21" s="637" t="s">
        <v>211</v>
      </c>
      <c r="F21" s="643">
        <f>☆入力!L53</f>
        <v>0</v>
      </c>
      <c r="G21" s="617"/>
      <c r="H21" s="1464"/>
      <c r="I21" s="1467"/>
      <c r="J21" s="637" t="s">
        <v>315</v>
      </c>
      <c r="K21" s="638">
        <f>☆入力!D59</f>
        <v>0</v>
      </c>
      <c r="L21" s="637" t="s">
        <v>211</v>
      </c>
      <c r="M21" s="643">
        <f>☆入力!L59</f>
        <v>0</v>
      </c>
    </row>
    <row r="22" spans="1:13" ht="16.149999999999999" customHeight="1">
      <c r="A22" s="1464"/>
      <c r="B22" s="1467"/>
      <c r="C22" s="639" t="s">
        <v>263</v>
      </c>
      <c r="D22" s="1458">
        <f>☆入力!W53</f>
        <v>0</v>
      </c>
      <c r="E22" s="1458"/>
      <c r="F22" s="1459"/>
      <c r="G22" s="617"/>
      <c r="H22" s="1464"/>
      <c r="I22" s="1467"/>
      <c r="J22" s="639" t="s">
        <v>263</v>
      </c>
      <c r="K22" s="1458">
        <f>☆入力!W59</f>
        <v>0</v>
      </c>
      <c r="L22" s="1458"/>
      <c r="M22" s="1459"/>
    </row>
    <row r="23" spans="1:13" ht="16.149999999999999" customHeight="1" thickBot="1">
      <c r="A23" s="1465"/>
      <c r="B23" s="1468"/>
      <c r="C23" s="644" t="s">
        <v>264</v>
      </c>
      <c r="D23" s="1470">
        <f>☆入力!AC53</f>
        <v>0</v>
      </c>
      <c r="E23" s="1461"/>
      <c r="F23" s="1462"/>
      <c r="G23" s="617"/>
      <c r="H23" s="1465"/>
      <c r="I23" s="1468"/>
      <c r="J23" s="644" t="s">
        <v>264</v>
      </c>
      <c r="K23" s="1460">
        <f>☆入力!AC59</f>
        <v>0</v>
      </c>
      <c r="L23" s="1461"/>
      <c r="M23" s="1462"/>
    </row>
    <row r="24" spans="1:13" ht="16.149999999999999" customHeight="1">
      <c r="A24" s="1463">
        <v>6</v>
      </c>
      <c r="B24" s="1466" t="s">
        <v>479</v>
      </c>
      <c r="C24" s="640" t="s">
        <v>502</v>
      </c>
      <c r="D24" s="641" t="str">
        <f>☆入力!B54</f>
        <v/>
      </c>
      <c r="E24" s="640" t="s">
        <v>226</v>
      </c>
      <c r="F24" s="642">
        <f>☆入力!C54</f>
        <v>0</v>
      </c>
      <c r="G24" s="617"/>
      <c r="H24" s="1463">
        <v>12</v>
      </c>
      <c r="I24" s="1466" t="s">
        <v>479</v>
      </c>
      <c r="J24" s="640" t="s">
        <v>502</v>
      </c>
      <c r="K24" s="641" t="str">
        <f>☆入力!B60</f>
        <v/>
      </c>
      <c r="L24" s="640" t="s">
        <v>226</v>
      </c>
      <c r="M24" s="642">
        <f>☆入力!C60</f>
        <v>0</v>
      </c>
    </row>
    <row r="25" spans="1:13" ht="16.149999999999999" customHeight="1">
      <c r="A25" s="1464"/>
      <c r="B25" s="1467"/>
      <c r="C25" s="637" t="s">
        <v>315</v>
      </c>
      <c r="D25" s="638">
        <f>☆入力!D54</f>
        <v>0</v>
      </c>
      <c r="E25" s="637" t="s">
        <v>211</v>
      </c>
      <c r="F25" s="643">
        <f>☆入力!L54</f>
        <v>0</v>
      </c>
      <c r="G25" s="617"/>
      <c r="H25" s="1464"/>
      <c r="I25" s="1467"/>
      <c r="J25" s="637" t="s">
        <v>315</v>
      </c>
      <c r="K25" s="638">
        <f>☆入力!D60</f>
        <v>0</v>
      </c>
      <c r="L25" s="637" t="s">
        <v>211</v>
      </c>
      <c r="M25" s="643">
        <f>☆入力!L60</f>
        <v>0</v>
      </c>
    </row>
    <row r="26" spans="1:13" ht="16.149999999999999" customHeight="1">
      <c r="A26" s="1464"/>
      <c r="B26" s="1467"/>
      <c r="C26" s="639" t="s">
        <v>263</v>
      </c>
      <c r="D26" s="1458">
        <f>☆入力!W54</f>
        <v>0</v>
      </c>
      <c r="E26" s="1458"/>
      <c r="F26" s="1459"/>
      <c r="G26" s="617"/>
      <c r="H26" s="1464"/>
      <c r="I26" s="1467"/>
      <c r="J26" s="639" t="s">
        <v>263</v>
      </c>
      <c r="K26" s="1458">
        <f>☆入力!W60</f>
        <v>0</v>
      </c>
      <c r="L26" s="1458"/>
      <c r="M26" s="1459"/>
    </row>
    <row r="27" spans="1:13" ht="16.149999999999999" customHeight="1" thickBot="1">
      <c r="A27" s="1465"/>
      <c r="B27" s="1468"/>
      <c r="C27" s="644" t="s">
        <v>264</v>
      </c>
      <c r="D27" s="1470">
        <f>☆入力!AC54</f>
        <v>0</v>
      </c>
      <c r="E27" s="1461"/>
      <c r="F27" s="1462"/>
      <c r="G27" s="617"/>
      <c r="H27" s="1465"/>
      <c r="I27" s="1468"/>
      <c r="J27" s="644" t="s">
        <v>264</v>
      </c>
      <c r="K27" s="1460">
        <f>☆入力!AC60</f>
        <v>0</v>
      </c>
      <c r="L27" s="1461"/>
      <c r="M27" s="1462"/>
    </row>
    <row r="28" spans="1:13" ht="16.149999999999999" customHeight="1">
      <c r="A28" s="617"/>
      <c r="B28" s="620"/>
      <c r="C28" s="619"/>
      <c r="D28" s="617"/>
      <c r="E28" s="619"/>
      <c r="F28" s="617"/>
      <c r="G28" s="617"/>
      <c r="H28" s="617"/>
      <c r="I28" s="620"/>
      <c r="J28" s="619"/>
      <c r="K28" s="617"/>
      <c r="L28" s="619"/>
      <c r="M28" s="617">
        <v>11</v>
      </c>
    </row>
    <row r="29" spans="1:13" s="3" customFormat="1" ht="16.149999999999999" customHeight="1" thickBot="1">
      <c r="A29" s="645" t="s">
        <v>503</v>
      </c>
      <c r="B29" s="633"/>
      <c r="C29" s="633"/>
      <c r="D29" s="634"/>
      <c r="E29" s="634"/>
      <c r="F29" s="634"/>
      <c r="G29" s="82"/>
      <c r="H29" s="82"/>
      <c r="I29" s="635"/>
      <c r="J29" s="636"/>
      <c r="K29" s="634"/>
      <c r="L29" s="634"/>
      <c r="M29" s="634"/>
    </row>
    <row r="30" spans="1:13" ht="16.149999999999999" customHeight="1" thickTop="1">
      <c r="A30" s="366"/>
      <c r="B30" s="366"/>
      <c r="C30" s="366"/>
      <c r="D30" s="617"/>
      <c r="E30" s="619"/>
      <c r="F30" s="617"/>
      <c r="G30" s="617"/>
      <c r="H30" s="617"/>
      <c r="I30" s="620"/>
      <c r="J30" s="619"/>
      <c r="K30" s="617"/>
      <c r="L30" s="619"/>
      <c r="M30" s="617"/>
    </row>
    <row r="31" spans="1:13" s="628" customFormat="1" ht="16.149999999999999" customHeight="1" thickTop="1">
      <c r="A31" s="631"/>
      <c r="B31" s="631" t="s">
        <v>306</v>
      </c>
      <c r="C31" s="631"/>
      <c r="D31" s="625"/>
      <c r="E31" s="627"/>
      <c r="F31" s="625"/>
      <c r="G31" s="625"/>
      <c r="H31" s="625"/>
      <c r="I31" s="626"/>
      <c r="J31" s="627"/>
      <c r="K31" s="625"/>
      <c r="L31" s="627"/>
      <c r="M31" s="625"/>
    </row>
    <row r="32" spans="1:13" s="628" customFormat="1" ht="16.149999999999999" customHeight="1">
      <c r="A32" s="631"/>
      <c r="B32" s="631" t="s">
        <v>307</v>
      </c>
      <c r="C32" s="631"/>
      <c r="D32" s="629"/>
      <c r="E32" s="629"/>
      <c r="F32" s="629"/>
      <c r="G32" s="625"/>
      <c r="H32" s="625"/>
      <c r="I32" s="626"/>
      <c r="J32" s="630"/>
      <c r="K32" s="629"/>
      <c r="L32" s="629"/>
      <c r="M32" s="629"/>
    </row>
    <row r="33" spans="1:13" ht="16.149999999999999" customHeight="1">
      <c r="A33" s="632"/>
      <c r="B33" s="1471" t="s">
        <v>308</v>
      </c>
      <c r="C33" s="1471"/>
      <c r="D33" s="1471"/>
      <c r="E33" s="1471"/>
      <c r="F33" s="1471"/>
      <c r="G33" s="1471"/>
      <c r="H33" s="1471"/>
    </row>
    <row r="34" spans="1:13" ht="16.149999999999999" customHeight="1">
      <c r="A34" s="618"/>
      <c r="B34" s="1471"/>
      <c r="C34" s="1471"/>
      <c r="D34" s="1471"/>
      <c r="E34" s="1471"/>
      <c r="F34" s="1471"/>
      <c r="G34" s="1471"/>
      <c r="H34" s="1471"/>
      <c r="M34" s="616">
        <v>10</v>
      </c>
    </row>
  </sheetData>
  <mergeCells count="50">
    <mergeCell ref="B33:H34"/>
    <mergeCell ref="D11:F11"/>
    <mergeCell ref="D15:F15"/>
    <mergeCell ref="D19:F19"/>
    <mergeCell ref="D27:F27"/>
    <mergeCell ref="K7:M7"/>
    <mergeCell ref="K11:M11"/>
    <mergeCell ref="K15:M15"/>
    <mergeCell ref="K19:M19"/>
    <mergeCell ref="K23:M23"/>
    <mergeCell ref="K27:M27"/>
    <mergeCell ref="D23:F23"/>
    <mergeCell ref="I16:I19"/>
    <mergeCell ref="H20:H23"/>
    <mergeCell ref="I20:I23"/>
    <mergeCell ref="H24:H27"/>
    <mergeCell ref="I24:I27"/>
    <mergeCell ref="D26:F26"/>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I8:I11"/>
    <mergeCell ref="H12:H15"/>
    <mergeCell ref="I12:I15"/>
    <mergeCell ref="H16:H19"/>
    <mergeCell ref="D22:F22"/>
    <mergeCell ref="A24:A27"/>
    <mergeCell ref="B24:B27"/>
    <mergeCell ref="D14:F14"/>
    <mergeCell ref="D18:F18"/>
    <mergeCell ref="A16:A19"/>
    <mergeCell ref="B16:B19"/>
    <mergeCell ref="D6:F6"/>
    <mergeCell ref="D10:F10"/>
    <mergeCell ref="D7:F7"/>
    <mergeCell ref="A20:A23"/>
    <mergeCell ref="B20:B23"/>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80" zoomScaleNormal="80" workbookViewId="0">
      <selection activeCell="N3" sqref="N3"/>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3"/>
      <c r="H2" s="245" t="s">
        <v>504</v>
      </c>
      <c r="I2" s="242"/>
      <c r="J2" s="244" t="s">
        <v>505</v>
      </c>
      <c r="K2" s="241"/>
    </row>
    <row r="3" spans="1:18" ht="16.5" customHeight="1">
      <c r="B3" s="1485" t="s">
        <v>506</v>
      </c>
      <c r="C3" s="1485"/>
      <c r="D3" s="224">
        <f ca="1">☆入力!AL14*(100%-☆入力!AR11)</f>
        <v>0</v>
      </c>
      <c r="M3" s="344" t="s">
        <v>507</v>
      </c>
      <c r="N3" s="510" t="s">
        <v>508</v>
      </c>
      <c r="O3" s="511"/>
      <c r="P3" s="511"/>
      <c r="Q3" s="511"/>
      <c r="R3" s="512"/>
    </row>
    <row r="4" spans="1:18" ht="16.5" customHeight="1" thickBot="1">
      <c r="B4" s="225"/>
      <c r="C4" s="225"/>
      <c r="D4" s="225"/>
      <c r="H4" s="223" t="s">
        <v>509</v>
      </c>
      <c r="M4" s="345" t="s">
        <v>510</v>
      </c>
      <c r="N4" s="513" t="s">
        <v>511</v>
      </c>
      <c r="O4" s="514"/>
      <c r="P4" s="514"/>
      <c r="Q4" s="514"/>
      <c r="R4" s="515"/>
    </row>
    <row r="5" spans="1:18" ht="16.5" customHeight="1" thickBot="1">
      <c r="B5" s="1485" t="s">
        <v>512</v>
      </c>
      <c r="C5" s="1486"/>
      <c r="D5" s="229">
        <v>0</v>
      </c>
      <c r="E5" s="223" t="s">
        <v>513</v>
      </c>
      <c r="H5" s="718">
        <v>10</v>
      </c>
      <c r="I5" s="223" t="s">
        <v>514</v>
      </c>
      <c r="M5" s="345" t="s">
        <v>515</v>
      </c>
      <c r="N5" s="513" t="s">
        <v>516</v>
      </c>
      <c r="O5" s="514"/>
      <c r="P5" s="514"/>
      <c r="Q5" s="514"/>
      <c r="R5" s="515"/>
    </row>
    <row r="6" spans="1:18" ht="16.5" customHeight="1">
      <c r="C6" s="225"/>
      <c r="D6" s="225"/>
      <c r="F6" s="226"/>
      <c r="K6" s="226"/>
      <c r="M6" s="345" t="s">
        <v>517</v>
      </c>
      <c r="N6" s="513" t="s">
        <v>518</v>
      </c>
      <c r="O6" s="514"/>
      <c r="P6" s="514"/>
      <c r="Q6" s="514"/>
      <c r="R6" s="515"/>
    </row>
    <row r="7" spans="1:18" ht="16.5" customHeight="1" thickBot="1">
      <c r="C7" s="225"/>
      <c r="D7" s="225"/>
      <c r="K7" s="226"/>
      <c r="M7" s="346" t="s">
        <v>519</v>
      </c>
      <c r="N7" s="1474"/>
      <c r="O7" s="1475"/>
      <c r="P7" s="1475"/>
      <c r="Q7" s="1475"/>
      <c r="R7" s="1476"/>
    </row>
    <row r="8" spans="1:18" ht="16.5" customHeight="1" thickBot="1">
      <c r="B8" s="1487" t="s">
        <v>520</v>
      </c>
      <c r="C8" s="1488"/>
      <c r="D8" s="240">
        <v>2000</v>
      </c>
      <c r="K8" s="226"/>
    </row>
    <row r="9" spans="1:18" ht="16.5" customHeight="1">
      <c r="B9" s="223" t="s">
        <v>521</v>
      </c>
      <c r="C9" s="225"/>
      <c r="D9" s="225"/>
    </row>
    <row r="10" spans="1:18" ht="16.5" customHeight="1">
      <c r="D10" s="225"/>
    </row>
    <row r="11" spans="1:18" ht="16.5" customHeight="1">
      <c r="F11" s="227"/>
    </row>
    <row r="12" spans="1:18" ht="16.5" customHeight="1">
      <c r="B12" s="228" t="s">
        <v>522</v>
      </c>
      <c r="C12" s="247">
        <f ca="1">D3+D5</f>
        <v>0</v>
      </c>
      <c r="D12" s="481" t="s">
        <v>523</v>
      </c>
      <c r="E12" s="248" t="str">
        <f ca="1">IFERROR(C12/☆入力!AH14,"0")</f>
        <v>0</v>
      </c>
      <c r="F12" s="481" t="s">
        <v>524</v>
      </c>
      <c r="G12" s="249" t="str">
        <f ca="1">☆入力!AN12</f>
        <v>0</v>
      </c>
    </row>
    <row r="14" spans="1:18" ht="16.5" customHeight="1">
      <c r="B14" s="223" t="s">
        <v>489</v>
      </c>
    </row>
    <row r="15" spans="1:18" ht="16.5" customHeight="1">
      <c r="B15" s="1489"/>
      <c r="C15" s="1490"/>
      <c r="D15" s="1490"/>
      <c r="E15" s="1490"/>
      <c r="F15" s="1490"/>
      <c r="G15" s="1490"/>
      <c r="H15" s="1490"/>
      <c r="I15" s="1490"/>
      <c r="J15" s="1490"/>
      <c r="K15" s="1491"/>
    </row>
    <row r="16" spans="1:18" ht="16.5" customHeight="1">
      <c r="B16" s="1477"/>
      <c r="C16" s="1478"/>
      <c r="D16" s="1478"/>
      <c r="E16" s="1478"/>
      <c r="F16" s="1478"/>
      <c r="G16" s="1478"/>
      <c r="H16" s="1478"/>
      <c r="I16" s="1478"/>
      <c r="J16" s="1478"/>
      <c r="K16" s="1479"/>
    </row>
    <row r="17" spans="2:11" ht="16.5" customHeight="1">
      <c r="B17" s="1477"/>
      <c r="C17" s="1478"/>
      <c r="D17" s="1478"/>
      <c r="E17" s="1478"/>
      <c r="F17" s="1478"/>
      <c r="G17" s="1478"/>
      <c r="H17" s="1478"/>
      <c r="I17" s="1478"/>
      <c r="J17" s="1478"/>
      <c r="K17" s="1479"/>
    </row>
    <row r="18" spans="2:11" ht="16.5" customHeight="1">
      <c r="B18" s="1477"/>
      <c r="C18" s="1478"/>
      <c r="D18" s="1478"/>
      <c r="E18" s="1478"/>
      <c r="F18" s="1478"/>
      <c r="G18" s="1478"/>
      <c r="H18" s="1478"/>
      <c r="I18" s="1478"/>
      <c r="J18" s="1478"/>
      <c r="K18" s="1479"/>
    </row>
    <row r="19" spans="2:11" ht="16.5" customHeight="1">
      <c r="B19" s="1477"/>
      <c r="C19" s="1478"/>
      <c r="D19" s="1478"/>
      <c r="E19" s="1478"/>
      <c r="F19" s="1478"/>
      <c r="G19" s="1478"/>
      <c r="H19" s="1478"/>
      <c r="I19" s="1478"/>
      <c r="J19" s="1478"/>
      <c r="K19" s="1479"/>
    </row>
    <row r="20" spans="2:11" ht="16.5" customHeight="1">
      <c r="B20" s="1480"/>
      <c r="C20" s="1481"/>
      <c r="D20" s="1481"/>
      <c r="E20" s="1481"/>
      <c r="F20" s="1481"/>
      <c r="G20" s="1481"/>
      <c r="H20" s="1481"/>
      <c r="I20" s="1481"/>
      <c r="J20" s="1481"/>
      <c r="K20" s="1482"/>
    </row>
    <row r="24" spans="2:11" ht="16.5" customHeight="1">
      <c r="B24" s="239" t="s">
        <v>525</v>
      </c>
      <c r="C24" s="238"/>
    </row>
    <row r="25" spans="2:11" ht="16.5" customHeight="1">
      <c r="B25" s="719" t="s">
        <v>526</v>
      </c>
      <c r="C25" s="1550" t="s">
        <v>527</v>
      </c>
      <c r="D25" s="1550"/>
      <c r="E25" s="1550"/>
      <c r="F25" s="1550"/>
      <c r="G25" s="1550"/>
      <c r="H25" s="1550"/>
      <c r="I25" s="1550"/>
      <c r="J25" s="1550"/>
      <c r="K25" s="1551"/>
    </row>
    <row r="26" spans="2:11" ht="16.5" customHeight="1">
      <c r="B26" s="720" t="s">
        <v>528</v>
      </c>
      <c r="C26" s="1550" t="s">
        <v>529</v>
      </c>
      <c r="D26" s="1550"/>
      <c r="E26" s="1550"/>
      <c r="F26" s="1550"/>
      <c r="G26" s="1550"/>
      <c r="H26" s="1550"/>
      <c r="I26" s="1550"/>
      <c r="J26" s="1550"/>
      <c r="K26" s="1551"/>
    </row>
    <row r="27" spans="2:11" ht="16.5" customHeight="1">
      <c r="B27" s="720" t="s">
        <v>530</v>
      </c>
      <c r="C27" s="1550" t="s">
        <v>531</v>
      </c>
      <c r="D27" s="1550"/>
      <c r="E27" s="1550"/>
      <c r="F27" s="1550"/>
      <c r="G27" s="1550"/>
      <c r="H27" s="1550"/>
      <c r="I27" s="1550"/>
      <c r="J27" s="1550"/>
      <c r="K27" s="1551"/>
    </row>
    <row r="28" spans="2:11" ht="16.5" customHeight="1">
      <c r="B28" s="720" t="s">
        <v>532</v>
      </c>
      <c r="C28" s="1550" t="s">
        <v>533</v>
      </c>
      <c r="D28" s="1550"/>
      <c r="E28" s="1550"/>
      <c r="F28" s="1550"/>
      <c r="G28" s="1550"/>
      <c r="H28" s="1550"/>
      <c r="I28" s="1550"/>
      <c r="J28" s="1550"/>
      <c r="K28" s="1551"/>
    </row>
    <row r="29" spans="2:11" ht="16.5" customHeight="1">
      <c r="B29" s="721" t="s">
        <v>534</v>
      </c>
      <c r="C29" s="1552" t="s">
        <v>535</v>
      </c>
      <c r="D29" s="1552"/>
      <c r="E29" s="1552"/>
      <c r="F29" s="1552"/>
      <c r="G29" s="1552"/>
      <c r="H29" s="1552"/>
      <c r="I29" s="1552"/>
      <c r="J29" s="1552"/>
      <c r="K29" s="1553"/>
    </row>
    <row r="30" spans="2:11" ht="16.5" customHeight="1">
      <c r="B30" s="721" t="s">
        <v>536</v>
      </c>
      <c r="C30" s="1552" t="s">
        <v>537</v>
      </c>
      <c r="D30" s="1552"/>
      <c r="E30" s="1552"/>
      <c r="F30" s="1552"/>
      <c r="G30" s="1552"/>
      <c r="H30" s="1552"/>
      <c r="I30" s="1552"/>
      <c r="J30" s="1552"/>
      <c r="K30" s="1553"/>
    </row>
    <row r="31" spans="2:11" ht="16.5" customHeight="1">
      <c r="B31" s="722" t="s">
        <v>538</v>
      </c>
      <c r="C31" s="1554" t="s">
        <v>539</v>
      </c>
      <c r="D31" s="1554"/>
      <c r="E31" s="1554"/>
      <c r="F31" s="1554"/>
      <c r="G31" s="1554"/>
      <c r="H31" s="1554"/>
      <c r="I31" s="1554"/>
      <c r="J31" s="1554"/>
      <c r="K31" s="1555"/>
    </row>
    <row r="32" spans="2:11" ht="16.5" customHeight="1">
      <c r="B32" s="234"/>
      <c r="C32" s="1492"/>
      <c r="D32" s="1492"/>
      <c r="E32" s="1492"/>
      <c r="F32" s="1492"/>
      <c r="G32" s="1492"/>
      <c r="H32" s="1492"/>
      <c r="I32" s="1492"/>
      <c r="J32" s="1492"/>
      <c r="K32" s="1492"/>
    </row>
    <row r="33" spans="2:11" ht="16.5" hidden="1" customHeight="1">
      <c r="B33" s="723" t="s">
        <v>540</v>
      </c>
      <c r="C33" s="1550" t="s">
        <v>541</v>
      </c>
      <c r="D33" s="1550"/>
      <c r="E33" s="1550"/>
      <c r="F33" s="1550"/>
      <c r="G33" s="1550"/>
      <c r="H33" s="1550"/>
      <c r="I33" s="1550"/>
      <c r="J33" s="1550"/>
      <c r="K33" s="1551"/>
    </row>
    <row r="34" spans="2:11" ht="16.5" customHeight="1">
      <c r="B34" s="724" t="s">
        <v>542</v>
      </c>
      <c r="C34" s="1552" t="s">
        <v>543</v>
      </c>
      <c r="D34" s="1552"/>
      <c r="E34" s="1552"/>
      <c r="F34" s="1552"/>
      <c r="G34" s="1552"/>
      <c r="H34" s="1552"/>
      <c r="I34" s="1552"/>
      <c r="J34" s="1552"/>
      <c r="K34" s="1553"/>
    </row>
    <row r="35" spans="2:11" ht="16.5" hidden="1" customHeight="1">
      <c r="B35" s="482" t="s">
        <v>544</v>
      </c>
      <c r="C35" s="1552" t="s">
        <v>545</v>
      </c>
      <c r="D35" s="1552"/>
      <c r="E35" s="1552"/>
      <c r="F35" s="1552"/>
      <c r="G35" s="1552"/>
      <c r="H35" s="1552"/>
      <c r="I35" s="1552"/>
      <c r="J35" s="1552"/>
      <c r="K35" s="1553"/>
    </row>
    <row r="36" spans="2:11" ht="16.5" hidden="1" customHeight="1">
      <c r="B36" s="1556" t="s">
        <v>546</v>
      </c>
      <c r="C36" s="1552" t="s">
        <v>547</v>
      </c>
      <c r="D36" s="1552"/>
      <c r="E36" s="1552"/>
      <c r="F36" s="1552"/>
      <c r="G36" s="1552"/>
      <c r="H36" s="1552"/>
      <c r="I36" s="1552"/>
      <c r="J36" s="1552"/>
      <c r="K36" s="1553"/>
    </row>
    <row r="37" spans="2:11" ht="16.5" hidden="1" customHeight="1">
      <c r="B37" s="1556"/>
      <c r="C37" s="1552" t="s">
        <v>548</v>
      </c>
      <c r="D37" s="1552"/>
      <c r="E37" s="1552"/>
      <c r="F37" s="1552"/>
      <c r="G37" s="1552"/>
      <c r="H37" s="1552"/>
      <c r="I37" s="1552"/>
      <c r="J37" s="1552"/>
      <c r="K37" s="1553"/>
    </row>
    <row r="38" spans="2:11" ht="16.5" hidden="1" customHeight="1">
      <c r="B38" s="250" t="s">
        <v>549</v>
      </c>
      <c r="C38" s="1483" t="s">
        <v>550</v>
      </c>
      <c r="D38" s="1483"/>
      <c r="E38" s="1483"/>
      <c r="F38" s="1483"/>
      <c r="G38" s="1483"/>
      <c r="H38" s="1483"/>
      <c r="I38" s="1483"/>
      <c r="J38" s="1483"/>
      <c r="K38" s="1484"/>
    </row>
    <row r="39" spans="2:11" ht="16.5" customHeight="1">
      <c r="B39" s="234"/>
      <c r="C39" s="1492"/>
      <c r="D39" s="1492"/>
      <c r="E39" s="1492"/>
      <c r="F39" s="1492"/>
      <c r="G39" s="1492"/>
      <c r="H39" s="1492"/>
      <c r="I39" s="1492"/>
      <c r="J39" s="1492"/>
      <c r="K39" s="1492"/>
    </row>
    <row r="40" spans="2:11" ht="16.5" customHeight="1">
      <c r="B40" s="236" t="s">
        <v>551</v>
      </c>
      <c r="C40" s="1550" t="s">
        <v>552</v>
      </c>
      <c r="D40" s="1550"/>
      <c r="E40" s="1550"/>
      <c r="F40" s="1550"/>
      <c r="G40" s="1550"/>
      <c r="H40" s="1550"/>
      <c r="I40" s="1550"/>
      <c r="J40" s="1550"/>
      <c r="K40" s="1551"/>
    </row>
    <row r="41" spans="2:11" ht="16.5" hidden="1" customHeight="1">
      <c r="B41" s="237" t="s">
        <v>553</v>
      </c>
      <c r="C41" s="1550" t="s">
        <v>554</v>
      </c>
      <c r="D41" s="1550"/>
      <c r="E41" s="1550"/>
      <c r="F41" s="1550"/>
      <c r="G41" s="1550"/>
      <c r="H41" s="1550"/>
      <c r="I41" s="1550"/>
      <c r="J41" s="1550"/>
      <c r="K41" s="1551"/>
    </row>
    <row r="42" spans="2:11" ht="16.5" hidden="1" customHeight="1">
      <c r="B42" s="235"/>
      <c r="C42" s="1492"/>
      <c r="D42" s="1492"/>
      <c r="E42" s="1492"/>
      <c r="F42" s="1492"/>
      <c r="G42" s="1492"/>
      <c r="H42" s="1492"/>
      <c r="I42" s="1492"/>
      <c r="J42" s="1492"/>
      <c r="K42" s="1492"/>
    </row>
    <row r="43" spans="2:11" ht="16.5" hidden="1" customHeight="1">
      <c r="B43" s="236" t="s">
        <v>555</v>
      </c>
      <c r="C43" s="1550" t="s">
        <v>556</v>
      </c>
      <c r="D43" s="1550"/>
      <c r="E43" s="1550"/>
      <c r="F43" s="1550"/>
      <c r="G43" s="1550"/>
      <c r="H43" s="1550"/>
      <c r="I43" s="1550"/>
      <c r="J43" s="1550"/>
      <c r="K43" s="1551"/>
    </row>
    <row r="44" spans="2:11" ht="16.5" hidden="1" customHeight="1">
      <c r="B44" s="237" t="s">
        <v>557</v>
      </c>
      <c r="C44" s="1554" t="s">
        <v>558</v>
      </c>
      <c r="D44" s="1554"/>
      <c r="E44" s="1554"/>
      <c r="F44" s="1554"/>
      <c r="G44" s="1554"/>
      <c r="H44" s="1554"/>
      <c r="I44" s="1554"/>
      <c r="J44" s="1554"/>
      <c r="K44" s="1555"/>
    </row>
    <row r="45" spans="2:11" ht="16.5" customHeight="1">
      <c r="B45" s="233"/>
    </row>
    <row r="46" spans="2:11" ht="16.5" customHeight="1">
      <c r="B46" s="246" t="s">
        <v>559</v>
      </c>
      <c r="C46" s="1472" t="s">
        <v>560</v>
      </c>
      <c r="D46" s="1472"/>
      <c r="E46" s="1472"/>
      <c r="F46" s="1472"/>
      <c r="G46" s="1472"/>
      <c r="H46" s="1472"/>
      <c r="I46" s="1472"/>
      <c r="J46" s="1472"/>
      <c r="K46" s="1473"/>
    </row>
    <row r="47" spans="2:11" ht="16.5" customHeight="1">
      <c r="B47" s="725" t="s">
        <v>561</v>
      </c>
      <c r="C47" s="1472" t="s">
        <v>562</v>
      </c>
      <c r="D47" s="1472"/>
      <c r="E47" s="1472"/>
      <c r="F47" s="1472"/>
      <c r="G47" s="1472"/>
      <c r="H47" s="1472"/>
      <c r="I47" s="1472"/>
      <c r="J47" s="1472"/>
      <c r="K47" s="1473"/>
    </row>
  </sheetData>
  <mergeCells count="33">
    <mergeCell ref="C41:K41"/>
    <mergeCell ref="C42:K42"/>
    <mergeCell ref="C35:K35"/>
    <mergeCell ref="C36:K36"/>
    <mergeCell ref="C37:K37"/>
    <mergeCell ref="C39:K39"/>
    <mergeCell ref="C40:K40"/>
    <mergeCell ref="C30:K30"/>
    <mergeCell ref="C31:K31"/>
    <mergeCell ref="C32:K32"/>
    <mergeCell ref="C33:K33"/>
    <mergeCell ref="C34:K34"/>
    <mergeCell ref="B3:C3"/>
    <mergeCell ref="B5:C5"/>
    <mergeCell ref="B8:C8"/>
    <mergeCell ref="B15:K15"/>
    <mergeCell ref="B16:K16"/>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75" defaultRowHeight="19.899999999999999" customHeight="1"/>
  <cols>
    <col min="1" max="18" width="5.75" style="684"/>
    <col min="19" max="20" width="5.75" style="684" hidden="1" customWidth="1"/>
    <col min="21" max="16384" width="5.75" style="684"/>
  </cols>
  <sheetData>
    <row r="1" spans="1:20" ht="19.899999999999999" customHeight="1">
      <c r="A1" s="1523" t="s">
        <v>563</v>
      </c>
      <c r="B1" s="1523"/>
      <c r="C1" s="1523"/>
      <c r="D1" s="1523"/>
      <c r="E1" s="1523"/>
      <c r="F1" s="1523"/>
      <c r="G1" s="1523"/>
      <c r="H1" s="1523"/>
      <c r="I1" s="1523"/>
      <c r="J1" s="1523"/>
      <c r="K1" s="1523"/>
      <c r="L1" s="1523"/>
      <c r="M1" s="1557"/>
      <c r="N1" s="1558"/>
      <c r="O1" s="1558"/>
      <c r="P1" s="1558"/>
      <c r="Q1" s="1558"/>
    </row>
    <row r="2" spans="1:20" ht="19.899999999999999" customHeight="1" thickBot="1">
      <c r="A2" s="1524"/>
      <c r="B2" s="1524"/>
      <c r="C2" s="1524"/>
      <c r="D2" s="1524"/>
      <c r="E2" s="1524"/>
      <c r="F2" s="1524"/>
      <c r="G2" s="1524"/>
      <c r="H2" s="1524"/>
      <c r="I2" s="1524"/>
      <c r="J2" s="1524"/>
      <c r="K2" s="1524"/>
      <c r="L2" s="1524"/>
      <c r="M2" s="1525" t="s">
        <v>564</v>
      </c>
      <c r="N2" s="1526"/>
      <c r="O2" s="1559">
        <f ca="1">TODAY()</f>
        <v>46119</v>
      </c>
      <c r="P2" s="1558"/>
      <c r="Q2" s="1558"/>
    </row>
    <row r="3" spans="1:20" ht="10.15" customHeight="1"/>
    <row r="4" spans="1:20" ht="19.899999999999999" customHeight="1">
      <c r="A4" s="1527" t="s">
        <v>565</v>
      </c>
      <c r="B4" s="1527"/>
      <c r="C4" s="1527"/>
      <c r="D4" s="1527"/>
      <c r="E4" s="1527"/>
      <c r="F4" s="1527"/>
      <c r="G4" s="1527"/>
      <c r="H4" s="1527"/>
      <c r="I4" s="1527"/>
      <c r="J4" s="1558" t="s">
        <v>566</v>
      </c>
      <c r="K4" s="1558"/>
    </row>
    <row r="5" spans="1:20" ht="19.899999999999999" customHeight="1">
      <c r="B5" s="1528"/>
      <c r="C5" s="1528"/>
      <c r="D5" s="1529"/>
      <c r="E5" s="1529"/>
      <c r="F5" s="1529"/>
      <c r="G5" s="1529"/>
      <c r="H5" s="1529"/>
    </row>
    <row r="6" spans="1:20" ht="10.15" customHeight="1"/>
    <row r="7" spans="1:20" ht="19.899999999999999" customHeight="1">
      <c r="A7" s="685" t="s">
        <v>567</v>
      </c>
    </row>
    <row r="8" spans="1:20" ht="10.15" customHeight="1"/>
    <row r="9" spans="1:20" ht="19.899999999999999" customHeight="1">
      <c r="A9" s="1530" t="s">
        <v>568</v>
      </c>
      <c r="B9" s="1531"/>
      <c r="C9" s="1532"/>
      <c r="D9" s="1514">
        <f>☆入力!C5</f>
        <v>0</v>
      </c>
      <c r="E9" s="1515"/>
      <c r="F9" s="1515"/>
      <c r="G9" s="1515"/>
      <c r="H9" s="1515"/>
      <c r="I9" s="1515"/>
      <c r="J9" s="1516"/>
      <c r="L9" s="1560" t="str">
        <f>代理店入力用!N3</f>
        <v>株式会社スマイルサポート</v>
      </c>
      <c r="M9" s="1560"/>
      <c r="N9" s="1560"/>
      <c r="O9" s="1560"/>
      <c r="P9" s="1560"/>
      <c r="Q9" s="1560"/>
      <c r="S9" s="686" t="s">
        <v>569</v>
      </c>
      <c r="T9" s="687">
        <v>0.1</v>
      </c>
    </row>
    <row r="10" spans="1:20" ht="19.899999999999999" customHeight="1">
      <c r="A10" s="1511" t="s">
        <v>570</v>
      </c>
      <c r="B10" s="1512"/>
      <c r="C10" s="1513"/>
      <c r="D10" s="1514">
        <f>☆入力!C6</f>
        <v>0</v>
      </c>
      <c r="E10" s="1515"/>
      <c r="F10" s="1515"/>
      <c r="G10" s="1515"/>
      <c r="H10" s="1515"/>
      <c r="I10" s="1515"/>
      <c r="J10" s="1516"/>
      <c r="L10" s="1558" t="str">
        <f>代理店入力用!N4</f>
        <v>〒305-0046</v>
      </c>
      <c r="M10" s="1558"/>
      <c r="N10" s="1558"/>
      <c r="O10" s="1558"/>
      <c r="P10" s="1558"/>
      <c r="Q10" s="1558"/>
      <c r="S10" s="686" t="s">
        <v>571</v>
      </c>
      <c r="T10" s="686"/>
    </row>
    <row r="11" spans="1:20" ht="19.899999999999999" customHeight="1">
      <c r="A11" s="1511" t="s">
        <v>572</v>
      </c>
      <c r="B11" s="1512"/>
      <c r="C11" s="1513"/>
      <c r="D11" s="1514">
        <f>☆入力!C7</f>
        <v>0</v>
      </c>
      <c r="E11" s="1515"/>
      <c r="F11" s="1515"/>
      <c r="G11" s="1515"/>
      <c r="H11" s="1515"/>
      <c r="I11" s="1515"/>
      <c r="J11" s="1516"/>
      <c r="L11" s="1558" t="str">
        <f>代理店入力用!N5</f>
        <v>茨城県つくば市東2-10-14</v>
      </c>
      <c r="M11" s="1558"/>
      <c r="N11" s="1558"/>
      <c r="O11" s="1558"/>
      <c r="P11" s="1558"/>
      <c r="Q11" s="1558"/>
      <c r="S11" s="686" t="s">
        <v>573</v>
      </c>
      <c r="T11" s="686"/>
    </row>
    <row r="12" spans="1:20" ht="19.899999999999999" customHeight="1">
      <c r="A12" s="1517" t="s">
        <v>574</v>
      </c>
      <c r="B12" s="1517"/>
      <c r="C12" s="1517"/>
      <c r="D12" s="1520"/>
      <c r="E12" s="1520"/>
      <c r="F12" s="1520"/>
      <c r="G12" s="1520"/>
      <c r="H12" s="1520"/>
      <c r="I12" s="1520"/>
      <c r="J12" s="1520"/>
      <c r="L12" s="1510" t="s">
        <v>575</v>
      </c>
      <c r="M12" s="1510"/>
      <c r="N12" s="1558" t="str">
        <f>代理店入力用!N6</f>
        <v>029-860-5211</v>
      </c>
      <c r="O12" s="1558"/>
      <c r="P12" s="1558"/>
      <c r="Q12" s="1558"/>
      <c r="S12" s="686" t="s">
        <v>576</v>
      </c>
      <c r="T12" s="686"/>
    </row>
    <row r="13" spans="1:20" ht="19.899999999999999" customHeight="1">
      <c r="A13" s="1518"/>
      <c r="B13" s="1518"/>
      <c r="C13" s="1518"/>
      <c r="D13" s="1521"/>
      <c r="E13" s="1521"/>
      <c r="F13" s="1521"/>
      <c r="G13" s="1521"/>
      <c r="H13" s="1521"/>
      <c r="I13" s="1521"/>
      <c r="J13" s="1521"/>
      <c r="L13" s="1510"/>
      <c r="M13" s="1510"/>
      <c r="N13" s="1558"/>
      <c r="O13" s="1558"/>
      <c r="P13" s="1558"/>
      <c r="Q13" s="1558"/>
      <c r="S13" s="686" t="s">
        <v>577</v>
      </c>
      <c r="T13" s="686"/>
    </row>
    <row r="14" spans="1:20" ht="19.899999999999999" customHeight="1">
      <c r="A14" s="1519"/>
      <c r="B14" s="1519"/>
      <c r="C14" s="1519"/>
      <c r="D14" s="1522"/>
      <c r="E14" s="1522"/>
      <c r="F14" s="1522"/>
      <c r="G14" s="1522"/>
      <c r="H14" s="1522"/>
      <c r="I14" s="1522"/>
      <c r="J14" s="1522"/>
      <c r="L14" s="1510" t="s">
        <v>578</v>
      </c>
      <c r="M14" s="1510"/>
      <c r="N14" s="1558">
        <f>代理店入力用!N7</f>
        <v>0</v>
      </c>
      <c r="O14" s="1558"/>
      <c r="P14" s="1558"/>
      <c r="Q14" s="1558"/>
    </row>
    <row r="16" spans="1:20" ht="19.899999999999999" customHeight="1">
      <c r="A16" s="1504" t="s">
        <v>579</v>
      </c>
      <c r="B16" s="1504"/>
      <c r="C16" s="1504"/>
      <c r="D16" s="1506">
        <f ca="1">O34</f>
        <v>0</v>
      </c>
      <c r="E16" s="1506"/>
      <c r="F16" s="1506"/>
      <c r="G16" s="1506"/>
      <c r="H16" s="1506"/>
      <c r="I16" s="1508" t="s">
        <v>580</v>
      </c>
      <c r="J16" s="1508"/>
      <c r="L16" s="1510"/>
      <c r="M16" s="1510"/>
      <c r="N16" s="1558"/>
      <c r="O16" s="1558"/>
      <c r="P16" s="1558"/>
      <c r="Q16" s="1558"/>
    </row>
    <row r="17" spans="1:17" ht="19.899999999999999" customHeight="1" thickBot="1">
      <c r="A17" s="1505"/>
      <c r="B17" s="1505"/>
      <c r="C17" s="1505"/>
      <c r="D17" s="1507"/>
      <c r="E17" s="1507"/>
      <c r="F17" s="1507"/>
      <c r="G17" s="1507"/>
      <c r="H17" s="1507"/>
      <c r="I17" s="1509"/>
      <c r="J17" s="1509"/>
    </row>
    <row r="18" spans="1:17" ht="10.15" customHeight="1" thickTop="1"/>
    <row r="19" spans="1:17" ht="19.899999999999999" customHeight="1">
      <c r="A19" s="688" t="s">
        <v>581</v>
      </c>
      <c r="B19" s="1493" t="s">
        <v>582</v>
      </c>
      <c r="C19" s="1493"/>
      <c r="D19" s="1493"/>
      <c r="E19" s="1493"/>
      <c r="F19" s="1493"/>
      <c r="G19" s="1493"/>
      <c r="H19" s="1493"/>
      <c r="I19" s="1493"/>
      <c r="J19" s="1493" t="s">
        <v>583</v>
      </c>
      <c r="K19" s="1493"/>
      <c r="L19" s="1493" t="s">
        <v>584</v>
      </c>
      <c r="M19" s="1493"/>
      <c r="N19" s="1493"/>
      <c r="O19" s="1493" t="s">
        <v>585</v>
      </c>
      <c r="P19" s="1493"/>
      <c r="Q19" s="1493"/>
    </row>
    <row r="20" spans="1:17" ht="19.899999999999999" customHeight="1">
      <c r="A20" s="689">
        <v>1</v>
      </c>
      <c r="B20" s="1501" t="s">
        <v>586</v>
      </c>
      <c r="C20" s="1501"/>
      <c r="D20" s="1501"/>
      <c r="E20" s="1501"/>
      <c r="F20" s="1501"/>
      <c r="G20" s="1501"/>
      <c r="H20" s="1501"/>
      <c r="I20" s="1501"/>
      <c r="J20" s="690">
        <v>1</v>
      </c>
      <c r="K20" s="691" t="s">
        <v>571</v>
      </c>
      <c r="L20" s="1502">
        <f ca="1">代理店入力用!D3</f>
        <v>0</v>
      </c>
      <c r="M20" s="1502"/>
      <c r="N20" s="1502"/>
      <c r="O20" s="1503">
        <f ca="1">L20*J20</f>
        <v>0</v>
      </c>
      <c r="P20" s="1503"/>
      <c r="Q20" s="1503"/>
    </row>
    <row r="21" spans="1:17" ht="19.899999999999999" customHeight="1">
      <c r="A21" s="692"/>
      <c r="B21" s="1498"/>
      <c r="C21" s="1498"/>
      <c r="D21" s="1498"/>
      <c r="E21" s="1498"/>
      <c r="F21" s="1498"/>
      <c r="G21" s="1498"/>
      <c r="H21" s="1498"/>
      <c r="I21" s="1498"/>
      <c r="J21" s="693"/>
      <c r="K21" s="694"/>
      <c r="L21" s="1499"/>
      <c r="M21" s="1499"/>
      <c r="N21" s="1499"/>
      <c r="O21" s="1500"/>
      <c r="P21" s="1500"/>
      <c r="Q21" s="1500"/>
    </row>
    <row r="22" spans="1:17" ht="19.899999999999999" customHeight="1">
      <c r="A22" s="692"/>
      <c r="B22" s="1498"/>
      <c r="C22" s="1498"/>
      <c r="D22" s="1498"/>
      <c r="E22" s="1498"/>
      <c r="F22" s="1498"/>
      <c r="G22" s="1498"/>
      <c r="H22" s="1498"/>
      <c r="I22" s="1498"/>
      <c r="J22" s="693"/>
      <c r="K22" s="694"/>
      <c r="L22" s="1499"/>
      <c r="M22" s="1499"/>
      <c r="N22" s="1499"/>
      <c r="O22" s="1500"/>
      <c r="P22" s="1500"/>
      <c r="Q22" s="1500"/>
    </row>
    <row r="23" spans="1:17" ht="19.899999999999999" customHeight="1">
      <c r="A23" s="692"/>
      <c r="B23" s="1498"/>
      <c r="C23" s="1498"/>
      <c r="D23" s="1498"/>
      <c r="E23" s="1498"/>
      <c r="F23" s="1498"/>
      <c r="G23" s="1498"/>
      <c r="H23" s="1498"/>
      <c r="I23" s="1498"/>
      <c r="J23" s="693"/>
      <c r="K23" s="694"/>
      <c r="L23" s="1499"/>
      <c r="M23" s="1499"/>
      <c r="N23" s="1499"/>
      <c r="O23" s="1500"/>
      <c r="P23" s="1500"/>
      <c r="Q23" s="1500"/>
    </row>
    <row r="24" spans="1:17" ht="19.899999999999999" customHeight="1">
      <c r="A24" s="692"/>
      <c r="B24" s="1498"/>
      <c r="C24" s="1498"/>
      <c r="D24" s="1498"/>
      <c r="E24" s="1498"/>
      <c r="F24" s="1498"/>
      <c r="G24" s="1498"/>
      <c r="H24" s="1498"/>
      <c r="I24" s="1498"/>
      <c r="J24" s="693"/>
      <c r="K24" s="694"/>
      <c r="L24" s="1499"/>
      <c r="M24" s="1499"/>
      <c r="N24" s="1499"/>
      <c r="O24" s="1500"/>
      <c r="P24" s="1500"/>
      <c r="Q24" s="1500"/>
    </row>
    <row r="25" spans="1:17" ht="19.899999999999999" customHeight="1">
      <c r="A25" s="692"/>
      <c r="B25" s="1498"/>
      <c r="C25" s="1498"/>
      <c r="D25" s="1498"/>
      <c r="E25" s="1498"/>
      <c r="F25" s="1498"/>
      <c r="G25" s="1498"/>
      <c r="H25" s="1498"/>
      <c r="I25" s="1498"/>
      <c r="J25" s="693"/>
      <c r="K25" s="694"/>
      <c r="L25" s="1499"/>
      <c r="M25" s="1499"/>
      <c r="N25" s="1499"/>
      <c r="O25" s="1500"/>
      <c r="P25" s="1500"/>
      <c r="Q25" s="1500"/>
    </row>
    <row r="26" spans="1:17" ht="19.899999999999999" customHeight="1">
      <c r="A26" s="692"/>
      <c r="B26" s="1498"/>
      <c r="C26" s="1498"/>
      <c r="D26" s="1498"/>
      <c r="E26" s="1498"/>
      <c r="F26" s="1498"/>
      <c r="G26" s="1498"/>
      <c r="H26" s="1498"/>
      <c r="I26" s="1498"/>
      <c r="J26" s="693"/>
      <c r="K26" s="694"/>
      <c r="L26" s="1499"/>
      <c r="M26" s="1499"/>
      <c r="N26" s="1499"/>
      <c r="O26" s="1500"/>
      <c r="P26" s="1500"/>
      <c r="Q26" s="1500"/>
    </row>
    <row r="27" spans="1:17" ht="19.899999999999999" customHeight="1">
      <c r="A27" s="692"/>
      <c r="B27" s="1498"/>
      <c r="C27" s="1498"/>
      <c r="D27" s="1498"/>
      <c r="E27" s="1498"/>
      <c r="F27" s="1498"/>
      <c r="G27" s="1498"/>
      <c r="H27" s="1498"/>
      <c r="I27" s="1498"/>
      <c r="J27" s="693"/>
      <c r="K27" s="694"/>
      <c r="L27" s="1499"/>
      <c r="M27" s="1499"/>
      <c r="N27" s="1499"/>
      <c r="O27" s="1500"/>
      <c r="P27" s="1500"/>
      <c r="Q27" s="1500"/>
    </row>
    <row r="28" spans="1:17" ht="19.899999999999999" customHeight="1">
      <c r="A28" s="692"/>
      <c r="B28" s="1498"/>
      <c r="C28" s="1498"/>
      <c r="D28" s="1498"/>
      <c r="E28" s="1498"/>
      <c r="F28" s="1498"/>
      <c r="G28" s="1498"/>
      <c r="H28" s="1498"/>
      <c r="I28" s="1498"/>
      <c r="J28" s="693"/>
      <c r="K28" s="694"/>
      <c r="L28" s="1499"/>
      <c r="M28" s="1499"/>
      <c r="N28" s="1499"/>
      <c r="O28" s="1500"/>
      <c r="P28" s="1500"/>
      <c r="Q28" s="1500"/>
    </row>
    <row r="29" spans="1:17" ht="19.899999999999999" customHeight="1">
      <c r="A29" s="692"/>
      <c r="B29" s="1498"/>
      <c r="C29" s="1498"/>
      <c r="D29" s="1498"/>
      <c r="E29" s="1498"/>
      <c r="F29" s="1498"/>
      <c r="G29" s="1498"/>
      <c r="H29" s="1498"/>
      <c r="I29" s="1498"/>
      <c r="J29" s="693"/>
      <c r="K29" s="694"/>
      <c r="L29" s="1499"/>
      <c r="M29" s="1499"/>
      <c r="N29" s="1499"/>
      <c r="O29" s="1500"/>
      <c r="P29" s="1500"/>
      <c r="Q29" s="1500"/>
    </row>
    <row r="30" spans="1:17" ht="19.899999999999999" customHeight="1">
      <c r="A30" s="692"/>
      <c r="B30" s="1498"/>
      <c r="C30" s="1498"/>
      <c r="D30" s="1498"/>
      <c r="E30" s="1498"/>
      <c r="F30" s="1498"/>
      <c r="G30" s="1498"/>
      <c r="H30" s="1498"/>
      <c r="I30" s="1498"/>
      <c r="J30" s="693"/>
      <c r="K30" s="694"/>
      <c r="L30" s="1499"/>
      <c r="M30" s="1499"/>
      <c r="N30" s="1499"/>
      <c r="O30" s="1500"/>
      <c r="P30" s="1500"/>
      <c r="Q30" s="1500"/>
    </row>
    <row r="31" spans="1:17" ht="19.899999999999999" customHeight="1" thickBot="1">
      <c r="A31" s="695"/>
      <c r="B31" s="1494"/>
      <c r="C31" s="1494"/>
      <c r="D31" s="1494"/>
      <c r="E31" s="1494"/>
      <c r="F31" s="1494"/>
      <c r="G31" s="1494"/>
      <c r="H31" s="1494"/>
      <c r="I31" s="1494"/>
      <c r="J31" s="696"/>
      <c r="K31" s="697"/>
      <c r="L31" s="1495"/>
      <c r="M31" s="1495"/>
      <c r="N31" s="1495"/>
      <c r="O31" s="1496"/>
      <c r="P31" s="1496"/>
      <c r="Q31" s="1496"/>
    </row>
    <row r="32" spans="1:17" ht="19.899999999999999" customHeight="1" thickTop="1">
      <c r="L32" s="1497" t="s">
        <v>587</v>
      </c>
      <c r="M32" s="1497"/>
      <c r="N32" s="1497"/>
      <c r="O32" s="1561">
        <f ca="1">SUM(O20:Q31)</f>
        <v>0</v>
      </c>
      <c r="P32" s="1562"/>
      <c r="Q32" s="1562"/>
    </row>
    <row r="33" spans="1:17" ht="19.899999999999999" customHeight="1">
      <c r="L33" s="1493" t="s">
        <v>588</v>
      </c>
      <c r="M33" s="1493"/>
      <c r="N33" s="1493"/>
      <c r="O33" s="1563">
        <f ca="1">ROUNDDOWN(O32*0.1,0)</f>
        <v>0</v>
      </c>
      <c r="P33" s="1564"/>
      <c r="Q33" s="1564"/>
    </row>
    <row r="34" spans="1:17" ht="19.899999999999999" customHeight="1">
      <c r="L34" s="1493" t="s">
        <v>579</v>
      </c>
      <c r="M34" s="1493"/>
      <c r="N34" s="1493"/>
      <c r="O34" s="1563">
        <f ca="1">SUM(O32:Q33)</f>
        <v>0</v>
      </c>
      <c r="P34" s="1564"/>
      <c r="Q34" s="1564"/>
    </row>
    <row r="35" spans="1:17" ht="19.5">
      <c r="A35" s="698" t="s">
        <v>589</v>
      </c>
    </row>
    <row r="36" spans="1:17" ht="9.4" customHeight="1">
      <c r="A36" s="699"/>
      <c r="B36" s="700"/>
      <c r="C36" s="700"/>
      <c r="D36" s="700"/>
      <c r="E36" s="700"/>
      <c r="F36" s="700"/>
      <c r="G36" s="700"/>
      <c r="H36" s="700"/>
      <c r="I36" s="700"/>
      <c r="J36" s="700"/>
      <c r="K36" s="701"/>
      <c r="L36" s="698"/>
      <c r="M36" s="698"/>
      <c r="N36" s="698"/>
      <c r="O36" s="698"/>
      <c r="P36" s="698"/>
      <c r="Q36" s="698"/>
    </row>
    <row r="37" spans="1:17" ht="24">
      <c r="A37" s="702"/>
      <c r="B37" s="703" t="s">
        <v>565</v>
      </c>
      <c r="C37" s="698"/>
      <c r="D37" s="698"/>
      <c r="E37" s="698"/>
      <c r="F37" s="698"/>
      <c r="G37" s="698"/>
      <c r="H37" s="698"/>
      <c r="I37" s="698"/>
      <c r="J37" s="698"/>
      <c r="K37" s="704"/>
      <c r="L37" s="698"/>
      <c r="M37" s="698"/>
      <c r="N37" s="698"/>
      <c r="O37" s="698"/>
      <c r="P37" s="698"/>
      <c r="Q37" s="698"/>
    </row>
    <row r="38" spans="1:17" ht="19.899999999999999" customHeight="1">
      <c r="A38" s="702"/>
      <c r="B38" s="698" t="s">
        <v>590</v>
      </c>
      <c r="C38" s="698"/>
      <c r="D38" s="698"/>
      <c r="E38" s="698"/>
      <c r="F38" s="698"/>
      <c r="G38" s="698"/>
      <c r="H38" s="698"/>
      <c r="I38" s="698"/>
      <c r="J38" s="698"/>
      <c r="K38" s="704"/>
      <c r="L38" s="698"/>
      <c r="M38" s="698"/>
      <c r="N38" s="698"/>
      <c r="O38" s="698"/>
      <c r="P38" s="698"/>
      <c r="Q38" s="698"/>
    </row>
    <row r="39" spans="1:17" ht="19.899999999999999" customHeight="1">
      <c r="A39" s="702"/>
      <c r="B39" s="705" t="s">
        <v>591</v>
      </c>
      <c r="C39" s="698"/>
      <c r="D39" s="698"/>
      <c r="E39" s="698"/>
      <c r="F39" s="698"/>
      <c r="G39" s="698"/>
      <c r="H39" s="698"/>
      <c r="I39" s="698"/>
      <c r="J39" s="698"/>
      <c r="K39" s="704"/>
      <c r="L39" s="698"/>
      <c r="M39" s="698"/>
      <c r="N39" s="698"/>
      <c r="O39" s="698"/>
      <c r="P39" s="698"/>
      <c r="Q39" s="698"/>
    </row>
    <row r="40" spans="1:17" ht="19.899999999999999" customHeight="1">
      <c r="A40" s="706"/>
      <c r="B40" s="707"/>
      <c r="C40" s="707"/>
      <c r="D40" s="707"/>
      <c r="E40" s="707"/>
      <c r="F40" s="707"/>
      <c r="G40" s="707"/>
      <c r="H40" s="707"/>
      <c r="I40" s="707"/>
      <c r="J40" s="707"/>
      <c r="K40" s="708"/>
    </row>
  </sheetData>
  <mergeCells count="77">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 ref="A11:C11"/>
    <mergeCell ref="D11:J11"/>
    <mergeCell ref="L11:Q11"/>
    <mergeCell ref="A12:C14"/>
    <mergeCell ref="D12:J14"/>
    <mergeCell ref="L12:M12"/>
    <mergeCell ref="N12:Q12"/>
    <mergeCell ref="L13:M13"/>
    <mergeCell ref="N13:Q13"/>
    <mergeCell ref="L14:M14"/>
    <mergeCell ref="N14:Q14"/>
    <mergeCell ref="A16:C17"/>
    <mergeCell ref="D16:H17"/>
    <mergeCell ref="I16:J17"/>
    <mergeCell ref="L16:M16"/>
    <mergeCell ref="N16:Q16"/>
    <mergeCell ref="B19:I19"/>
    <mergeCell ref="J19:K19"/>
    <mergeCell ref="L19:N19"/>
    <mergeCell ref="O19:Q19"/>
    <mergeCell ref="B20:I20"/>
    <mergeCell ref="L20:N20"/>
    <mergeCell ref="O20:Q20"/>
    <mergeCell ref="B21:I21"/>
    <mergeCell ref="L21:N21"/>
    <mergeCell ref="O21:Q21"/>
    <mergeCell ref="B22:I22"/>
    <mergeCell ref="L22:N22"/>
    <mergeCell ref="O22:Q22"/>
    <mergeCell ref="B23:I23"/>
    <mergeCell ref="L23:N23"/>
    <mergeCell ref="O23:Q23"/>
    <mergeCell ref="B24:I24"/>
    <mergeCell ref="L24:N24"/>
    <mergeCell ref="O24:Q24"/>
    <mergeCell ref="B25:I25"/>
    <mergeCell ref="L25:N25"/>
    <mergeCell ref="O25:Q25"/>
    <mergeCell ref="B26:I26"/>
    <mergeCell ref="L26:N26"/>
    <mergeCell ref="O26:Q26"/>
    <mergeCell ref="B27:I27"/>
    <mergeCell ref="L27:N27"/>
    <mergeCell ref="O27:Q27"/>
    <mergeCell ref="B28:I28"/>
    <mergeCell ref="L28:N28"/>
    <mergeCell ref="O28:Q28"/>
    <mergeCell ref="B29:I29"/>
    <mergeCell ref="L29:N29"/>
    <mergeCell ref="O29:Q29"/>
    <mergeCell ref="B30:I30"/>
    <mergeCell ref="L30:N30"/>
    <mergeCell ref="O30:Q30"/>
    <mergeCell ref="L34:N34"/>
    <mergeCell ref="O34:Q34"/>
    <mergeCell ref="B31:I31"/>
    <mergeCell ref="L31:N31"/>
    <mergeCell ref="O31:Q31"/>
    <mergeCell ref="L32:N32"/>
    <mergeCell ref="O32:Q32"/>
    <mergeCell ref="L33:N33"/>
    <mergeCell ref="O33:Q33"/>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3"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DF3D49-7340-4049-BE9F-F0261872F637}"/>
</file>

<file path=customXml/itemProps2.xml><?xml version="1.0" encoding="utf-8"?>
<ds:datastoreItem xmlns:ds="http://schemas.openxmlformats.org/officeDocument/2006/customXml" ds:itemID="{94D4BE3A-B189-4C01-912F-281CB7AE0633}"/>
</file>

<file path=customXml/itemProps3.xml><?xml version="1.0" encoding="utf-8"?>
<ds:datastoreItem xmlns:ds="http://schemas.openxmlformats.org/officeDocument/2006/customXml" ds:itemID="{93EE2F6D-55C2-464F-8487-D6D782174B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2020-04-02T09:42:04Z</dcterms:created>
  <dcterms:modified xsi:type="dcterms:W3CDTF">2026-04-07T05:10:08Z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