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autoCompressPictures="0"/>
  <xr:revisionPtr revIDLastSave="25" documentId="13_ncr:1_{E00670F0-14B0-4436-9F75-9C770B010117}" xr6:coauthVersionLast="47" xr6:coauthVersionMax="47" xr10:uidLastSave="{4088556F-2B8E-49B6-A1A4-34FAC026AD67}"/>
  <bookViews>
    <workbookView xWindow="16650" yWindow="11715" windowWidth="14580" windowHeight="10005" tabRatio="938" firstSheet="1" activeTab="20" xr2:uid="{D65008FB-B391-4FC2-83CC-66F89B952ACD}"/>
  </bookViews>
  <sheets>
    <sheet name="LED計算式" sheetId="31" state="hidden" r:id="rId1"/>
    <sheet name="選定" sheetId="39" r:id="rId2"/>
    <sheet name="☆入力" sheetId="3" r:id="rId3"/>
    <sheet name="見積チェック" sheetId="95" r:id="rId4"/>
    <sheet name="⓪表紙" sheetId="12" r:id="rId5"/>
    <sheet name="①説明" sheetId="80" r:id="rId6"/>
    <sheet name="②前" sheetId="48" state="hidden" r:id="rId7"/>
    <sheet name="③後" sheetId="49" state="hidden" r:id="rId8"/>
    <sheet name="④前後" sheetId="51" state="hidden" r:id="rId9"/>
    <sheet name="②LEDをいま検討しないといけない理由" sheetId="92" r:id="rId10"/>
    <sheet name="③LED導入のメリット" sheetId="93" r:id="rId11"/>
    <sheet name="④照明の交換方法" sheetId="94" r:id="rId12"/>
    <sheet name="⑤前" sheetId="81" r:id="rId13"/>
    <sheet name="⑥後" sheetId="82" r:id="rId14"/>
    <sheet name="⑦前後" sheetId="83" r:id="rId15"/>
    <sheet name="⑤一式" sheetId="30" state="hidden" r:id="rId16"/>
    <sheet name="⑤複数" sheetId="62" state="hidden" r:id="rId17"/>
    <sheet name="⑤複数+詳細" sheetId="73" state="hidden" r:id="rId18"/>
    <sheet name="⑤詳細" sheetId="71" state="hidden" r:id="rId19"/>
    <sheet name="⑤複数+詳細2" sheetId="90" state="hidden" r:id="rId20"/>
    <sheet name="⑧見積書" sheetId="89" r:id="rId21"/>
    <sheet name="⑤小単体" sheetId="68" state="hidden" r:id="rId22"/>
    <sheet name="⑥非なし" sheetId="64" state="hidden" r:id="rId23"/>
    <sheet name="⑦非なし" sheetId="75" state="hidden" r:id="rId24"/>
    <sheet name="⑨回収シミュレーション" sheetId="52" r:id="rId25"/>
    <sheet name="⑦非あり" sheetId="76" state="hidden" r:id="rId26"/>
    <sheet name="⑧複非なし" sheetId="86" state="hidden" r:id="rId27"/>
    <sheet name="⑧複非あり" sheetId="87" state="hidden" r:id="rId28"/>
    <sheet name="⑩内訳" sheetId="10" r:id="rId29"/>
    <sheet name="⑪除外" sheetId="88" r:id="rId30"/>
    <sheet name="代理店入力用" sheetId="79" r:id="rId31"/>
  </sheets>
  <externalReferences>
    <externalReference r:id="rId32"/>
  </externalReferences>
  <definedNames>
    <definedName name="_xlnm.Print_Area" localSheetId="4">'⓪表紙'!$A$1:$N$28</definedName>
    <definedName name="_xlnm.Print_Area" localSheetId="5">①説明!$A$1:$AY$32</definedName>
    <definedName name="_xlnm.Print_Area" localSheetId="9">②LEDをいま検討しないといけない理由!$A$1:$AY$32</definedName>
    <definedName name="_xlnm.Print_Area" localSheetId="6">②前!$A$1:$BD$44</definedName>
    <definedName name="_xlnm.Print_Area" localSheetId="7">③後!$A$1:$BD$44</definedName>
    <definedName name="_xlnm.Print_Area" localSheetId="8">④前後!$A$1:$BI$44</definedName>
    <definedName name="_xlnm.Print_Area" localSheetId="15">⑤一式!$A$1:$G$31</definedName>
    <definedName name="_xlnm.Print_Area" localSheetId="21">⑤小単体!$A$1:$L$44</definedName>
    <definedName name="_xlnm.Print_Area" localSheetId="18">⑤詳細!$A$1:$G$62</definedName>
    <definedName name="_xlnm.Print_Area" localSheetId="12">⑤前!$A$1:$BD$44</definedName>
    <definedName name="_xlnm.Print_Area" localSheetId="16">⑤複数!$A$1:$G$36</definedName>
    <definedName name="_xlnm.Print_Area" localSheetId="17">'⑤複数+詳細'!$A$1:$H$64</definedName>
    <definedName name="_xlnm.Print_Area" localSheetId="19">'⑤複数+詳細2'!$A$1:$I$63</definedName>
    <definedName name="_xlnm.Print_Area" localSheetId="13">⑥後!$A$1:$BD$44</definedName>
    <definedName name="_xlnm.Print_Area" localSheetId="22">⑥非なし!$A$1:$BF$34</definedName>
    <definedName name="_xlnm.Print_Area" localSheetId="14">⑦前後!$A$1:$BI$44</definedName>
    <definedName name="_xlnm.Print_Area" localSheetId="25">⑦非あり!$A$1:$AY$39</definedName>
    <definedName name="_xlnm.Print_Area" localSheetId="23">⑦非なし!$A$1:$AY$39</definedName>
    <definedName name="_xlnm.Print_Area" localSheetId="20">⑧見積書!$A$1:$H$63</definedName>
    <definedName name="_xlnm.Print_Area" localSheetId="27">⑧複非あり!$A$1:$BC$37</definedName>
    <definedName name="_xlnm.Print_Area" localSheetId="26">⑧複非なし!$A$1:$BC$37</definedName>
    <definedName name="_xlnm.Print_Area" localSheetId="24">⑨回収シミュレーション!$A$1:$BF$34</definedName>
    <definedName name="_xlnm.Print_Area" localSheetId="28">⑩内訳!$A$1:$H$44</definedName>
    <definedName name="_xlnm.Print_Area" localSheetId="29">⑪除外!$A$1:$M$28</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60" i="3"/>
  <c r="B59" i="3"/>
  <c r="B58" i="3"/>
  <c r="B57" i="3"/>
  <c r="B56" i="3"/>
  <c r="B55" i="3"/>
  <c r="B54" i="3"/>
  <c r="B53" i="3"/>
  <c r="B52" i="3"/>
  <c r="B51" i="3"/>
  <c r="B50" i="3"/>
  <c r="B49" i="3"/>
  <c r="B45" i="3"/>
  <c r="B44" i="3"/>
  <c r="B43" i="3"/>
  <c r="B42" i="3"/>
  <c r="B41" i="3"/>
  <c r="B40" i="3"/>
  <c r="B39" i="3"/>
  <c r="B38" i="3"/>
  <c r="B37" i="3"/>
  <c r="B36" i="3"/>
  <c r="A30" i="90" s="1"/>
  <c r="B35" i="3"/>
  <c r="A29" i="90" s="1"/>
  <c r="B34" i="3"/>
  <c r="A28" i="90" s="1"/>
  <c r="B33" i="3"/>
  <c r="B32" i="3"/>
  <c r="B31" i="3"/>
  <c r="A25" i="90" s="1"/>
  <c r="B30" i="3"/>
  <c r="B29" i="3"/>
  <c r="B28" i="3"/>
  <c r="B27" i="3"/>
  <c r="B26" i="3"/>
  <c r="B25" i="3"/>
  <c r="A19" i="90" s="1"/>
  <c r="B24" i="3"/>
  <c r="A18" i="90" s="1"/>
  <c r="B23" i="3"/>
  <c r="A17" i="90" s="1"/>
  <c r="B22" i="3"/>
  <c r="A16" i="90" s="1"/>
  <c r="B21" i="3"/>
  <c r="B20" i="3"/>
  <c r="B19" i="3"/>
  <c r="A13" i="90" s="1"/>
  <c r="B18" i="3"/>
  <c r="B17" i="3"/>
  <c r="B16" i="3"/>
  <c r="M13" i="92"/>
  <c r="B11" i="89"/>
  <c r="B12" i="89"/>
  <c r="B13" i="89"/>
  <c r="B14" i="89"/>
  <c r="B15" i="89"/>
  <c r="B16" i="89"/>
  <c r="B17" i="89"/>
  <c r="B18" i="89"/>
  <c r="B19" i="89"/>
  <c r="B20" i="89"/>
  <c r="B21" i="89"/>
  <c r="B22" i="89"/>
  <c r="B23" i="89"/>
  <c r="B24" i="89"/>
  <c r="B25" i="89"/>
  <c r="B26" i="89"/>
  <c r="B27" i="89"/>
  <c r="B28" i="89"/>
  <c r="B29" i="89"/>
  <c r="B30" i="89"/>
  <c r="B31" i="89"/>
  <c r="B32" i="89"/>
  <c r="B33" i="89"/>
  <c r="B34" i="89"/>
  <c r="B35" i="89"/>
  <c r="B36" i="89"/>
  <c r="B37" i="89"/>
  <c r="B38" i="89"/>
  <c r="B39" i="89"/>
  <c r="B10" i="89"/>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B39" i="10"/>
  <c r="B38"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G29" i="90"/>
  <c r="F29" i="90"/>
  <c r="D29" i="90"/>
  <c r="C29" i="90"/>
  <c r="B29" i="90"/>
  <c r="G28" i="90"/>
  <c r="F28" i="90"/>
  <c r="D28" i="90"/>
  <c r="C28" i="90"/>
  <c r="B28" i="90"/>
  <c r="G27" i="90"/>
  <c r="F27" i="90"/>
  <c r="D27" i="90"/>
  <c r="C27" i="90"/>
  <c r="B27" i="90"/>
  <c r="A27" i="90"/>
  <c r="G26" i="90"/>
  <c r="F26" i="90"/>
  <c r="D26" i="90"/>
  <c r="C26" i="90"/>
  <c r="B26" i="90"/>
  <c r="A26" i="90"/>
  <c r="G25" i="90"/>
  <c r="F25" i="90"/>
  <c r="D25" i="90"/>
  <c r="C25" i="90"/>
  <c r="B25" i="90"/>
  <c r="G24" i="90"/>
  <c r="F24" i="90"/>
  <c r="D24" i="90"/>
  <c r="C24" i="90"/>
  <c r="B24" i="90"/>
  <c r="A24" i="90"/>
  <c r="G23" i="90"/>
  <c r="F23" i="90"/>
  <c r="D23" i="90"/>
  <c r="C23" i="90"/>
  <c r="B23" i="90"/>
  <c r="A23" i="90"/>
  <c r="G22" i="90"/>
  <c r="F22" i="90"/>
  <c r="D22" i="90"/>
  <c r="C22" i="90"/>
  <c r="B22" i="90"/>
  <c r="A22" i="90"/>
  <c r="G21" i="90"/>
  <c r="F21" i="90"/>
  <c r="D21" i="90"/>
  <c r="C21" i="90"/>
  <c r="B21" i="90"/>
  <c r="A21" i="90"/>
  <c r="G20" i="90"/>
  <c r="F20" i="90"/>
  <c r="D20" i="90"/>
  <c r="C20" i="90"/>
  <c r="B20" i="90"/>
  <c r="A20" i="90"/>
  <c r="G19" i="90"/>
  <c r="F19" i="90"/>
  <c r="D19" i="90"/>
  <c r="C19" i="90"/>
  <c r="B19" i="90"/>
  <c r="G18" i="90"/>
  <c r="F18" i="90"/>
  <c r="D18" i="90"/>
  <c r="C18" i="90"/>
  <c r="B18" i="90"/>
  <c r="G17" i="90"/>
  <c r="F17" i="90"/>
  <c r="D17" i="90"/>
  <c r="C17" i="90"/>
  <c r="B17" i="90"/>
  <c r="G16" i="90"/>
  <c r="F16" i="90"/>
  <c r="D16" i="90"/>
  <c r="C16" i="90"/>
  <c r="B16" i="90"/>
  <c r="G15" i="90"/>
  <c r="F15" i="90"/>
  <c r="D15" i="90"/>
  <c r="C15" i="90"/>
  <c r="B15" i="90"/>
  <c r="A15" i="90"/>
  <c r="G14" i="90"/>
  <c r="F14" i="90"/>
  <c r="D14" i="90"/>
  <c r="C14" i="90"/>
  <c r="B14" i="90"/>
  <c r="A14" i="90"/>
  <c r="G13" i="90"/>
  <c r="F13" i="90"/>
  <c r="D13" i="90"/>
  <c r="C13" i="90"/>
  <c r="B13" i="90"/>
  <c r="G12" i="90"/>
  <c r="F12" i="90"/>
  <c r="D12" i="90"/>
  <c r="C12" i="90"/>
  <c r="B12" i="90"/>
  <c r="A12" i="90"/>
  <c r="G11" i="90"/>
  <c r="F11" i="90"/>
  <c r="D11" i="90"/>
  <c r="C11" i="90"/>
  <c r="B11" i="90"/>
  <c r="A11" i="90"/>
  <c r="G10" i="90"/>
  <c r="D10" i="90"/>
  <c r="C10" i="90"/>
  <c r="B10" i="90"/>
  <c r="A10" i="90"/>
  <c r="G4" i="90"/>
  <c r="A3" i="90"/>
  <c r="I1" i="90"/>
  <c r="H14" i="90" l="1"/>
  <c r="H22" i="90"/>
  <c r="H30" i="90"/>
  <c r="H34" i="90"/>
  <c r="H18" i="90"/>
  <c r="H35" i="90"/>
  <c r="H39" i="90"/>
  <c r="H12" i="90"/>
  <c r="H23" i="90"/>
  <c r="H25" i="90"/>
  <c r="H29" i="90"/>
  <c r="H38" i="90"/>
  <c r="H24" i="90"/>
  <c r="H26" i="90"/>
  <c r="H19" i="90"/>
  <c r="H21" i="90"/>
  <c r="H27" i="90"/>
  <c r="H51" i="90"/>
  <c r="H11" i="90"/>
  <c r="H13" i="90"/>
  <c r="H15" i="90"/>
  <c r="H17" i="90"/>
  <c r="H28" i="90"/>
  <c r="H31" i="90"/>
  <c r="H33" i="90"/>
  <c r="H16" i="90"/>
  <c r="H32" i="90"/>
  <c r="H37" i="90"/>
  <c r="H20" i="90"/>
  <c r="H36" i="90"/>
  <c r="D23" i="88"/>
  <c r="M5" i="88"/>
  <c r="M24" i="88"/>
  <c r="M20" i="88"/>
  <c r="M16" i="88"/>
  <c r="M12" i="88"/>
  <c r="M8" i="88"/>
  <c r="M4" i="88"/>
  <c r="F24" i="88"/>
  <c r="F20" i="88"/>
  <c r="F16" i="88"/>
  <c r="A57" i="89" l="1"/>
  <c r="A61" i="89"/>
  <c r="A59" i="89"/>
  <c r="F51" i="89"/>
  <c r="E51" i="89"/>
  <c r="G51" i="89" s="1"/>
  <c r="A51" i="89"/>
  <c r="E50" i="89"/>
  <c r="G50" i="89" s="1"/>
  <c r="E48" i="89"/>
  <c r="G48" i="89" s="1"/>
  <c r="F39" i="89"/>
  <c r="E39" i="89"/>
  <c r="D39" i="89"/>
  <c r="C39" i="89"/>
  <c r="F38" i="89"/>
  <c r="E38" i="89"/>
  <c r="D38" i="89"/>
  <c r="C38" i="89"/>
  <c r="F37" i="89"/>
  <c r="E37" i="89"/>
  <c r="D37" i="89"/>
  <c r="C37" i="89"/>
  <c r="F36" i="89"/>
  <c r="E36" i="89"/>
  <c r="D36" i="89"/>
  <c r="C36" i="89"/>
  <c r="F35" i="89"/>
  <c r="E35" i="89"/>
  <c r="D35" i="89"/>
  <c r="C35" i="89"/>
  <c r="F34" i="89"/>
  <c r="E34" i="89"/>
  <c r="D34" i="89"/>
  <c r="C34" i="89"/>
  <c r="F33" i="89"/>
  <c r="E33" i="89"/>
  <c r="D33" i="89"/>
  <c r="C33" i="89"/>
  <c r="F32" i="89"/>
  <c r="E32" i="89"/>
  <c r="D32" i="89"/>
  <c r="C32" i="89"/>
  <c r="F31" i="89"/>
  <c r="E31" i="89"/>
  <c r="D31" i="89"/>
  <c r="C31" i="89"/>
  <c r="F30" i="89"/>
  <c r="E30" i="89"/>
  <c r="D30" i="89"/>
  <c r="C30" i="89"/>
  <c r="F29" i="89"/>
  <c r="E29" i="89"/>
  <c r="D29" i="89"/>
  <c r="C29" i="89"/>
  <c r="F28" i="89"/>
  <c r="E28" i="89"/>
  <c r="D28" i="89"/>
  <c r="C28" i="89"/>
  <c r="F27" i="89"/>
  <c r="E27" i="89"/>
  <c r="D27" i="89"/>
  <c r="C27" i="89"/>
  <c r="F26" i="89"/>
  <c r="E26" i="89"/>
  <c r="D26" i="89"/>
  <c r="C26" i="89"/>
  <c r="F25" i="89"/>
  <c r="E25" i="89"/>
  <c r="D25" i="89"/>
  <c r="C25" i="89"/>
  <c r="F24" i="89"/>
  <c r="E24" i="89"/>
  <c r="D24" i="89"/>
  <c r="C24" i="89"/>
  <c r="F23" i="89"/>
  <c r="E23" i="89"/>
  <c r="D23" i="89"/>
  <c r="C23" i="89"/>
  <c r="F22" i="89"/>
  <c r="E22" i="89"/>
  <c r="D22" i="89"/>
  <c r="C22" i="89"/>
  <c r="F21" i="89"/>
  <c r="E21" i="89"/>
  <c r="D21" i="89"/>
  <c r="C21" i="89"/>
  <c r="F20" i="89"/>
  <c r="E20" i="89"/>
  <c r="D20" i="89"/>
  <c r="C20" i="89"/>
  <c r="F19" i="89"/>
  <c r="E19" i="89"/>
  <c r="D19" i="89"/>
  <c r="C19" i="89"/>
  <c r="F18" i="89"/>
  <c r="E18" i="89"/>
  <c r="D18" i="89"/>
  <c r="C18" i="89"/>
  <c r="F17" i="89"/>
  <c r="E17" i="89"/>
  <c r="D17" i="89"/>
  <c r="C17" i="89"/>
  <c r="F16" i="89"/>
  <c r="E16" i="89"/>
  <c r="D16" i="89"/>
  <c r="C16" i="89"/>
  <c r="F15" i="89"/>
  <c r="E15" i="89"/>
  <c r="D15" i="89"/>
  <c r="C15" i="89"/>
  <c r="F14" i="89"/>
  <c r="D14" i="89"/>
  <c r="C14" i="89"/>
  <c r="F13" i="89"/>
  <c r="D13" i="89"/>
  <c r="C13" i="89"/>
  <c r="F12" i="89"/>
  <c r="D12" i="89"/>
  <c r="C12" i="89"/>
  <c r="F11" i="89"/>
  <c r="D11" i="89"/>
  <c r="C11" i="89"/>
  <c r="F10" i="89"/>
  <c r="D10" i="89"/>
  <c r="C10" i="89"/>
  <c r="F4" i="89"/>
  <c r="A3" i="89"/>
  <c r="H1" i="89"/>
  <c r="G36" i="89" l="1"/>
  <c r="G37" i="89"/>
  <c r="G19" i="89"/>
  <c r="G35" i="89"/>
  <c r="G20" i="89"/>
  <c r="G21" i="89"/>
  <c r="G22" i="89"/>
  <c r="G23" i="89"/>
  <c r="G28" i="89"/>
  <c r="G29" i="89"/>
  <c r="G31" i="89"/>
  <c r="G15" i="89"/>
  <c r="G27" i="89"/>
  <c r="G38" i="89"/>
  <c r="G39" i="89"/>
  <c r="G24" i="89"/>
  <c r="G25" i="89"/>
  <c r="G26" i="89"/>
  <c r="G30" i="89"/>
  <c r="G16" i="89"/>
  <c r="G17" i="89"/>
  <c r="G18" i="89"/>
  <c r="G32" i="89"/>
  <c r="G33" i="89"/>
  <c r="G34"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M13" i="88"/>
  <c r="M9" i="88"/>
  <c r="F25" i="88"/>
  <c r="F21" i="88"/>
  <c r="F17" i="88"/>
  <c r="F13" i="88"/>
  <c r="F9"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L56" i="3"/>
  <c r="L55" i="3"/>
  <c r="L54" i="3"/>
  <c r="L53" i="3"/>
  <c r="L52" i="3"/>
  <c r="L51" i="3"/>
  <c r="L50" i="3"/>
  <c r="O39" i="31"/>
  <c r="O38" i="31"/>
  <c r="M32" i="31"/>
  <c r="E46" i="89" l="1"/>
  <c r="G46" i="89" s="1"/>
  <c r="F46" i="90"/>
  <c r="H46" i="90" s="1"/>
  <c r="E47" i="89"/>
  <c r="G47"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X18" i="3"/>
  <c r="X19" i="3"/>
  <c r="X20" i="3"/>
  <c r="X21" i="3"/>
  <c r="X22" i="3"/>
  <c r="X23" i="3"/>
  <c r="X24" i="3"/>
  <c r="X25" i="3"/>
  <c r="X26" i="3"/>
  <c r="X27" i="3"/>
  <c r="X28" i="3"/>
  <c r="X29" i="3"/>
  <c r="X30" i="3"/>
  <c r="X31" i="3"/>
  <c r="X32" i="3"/>
  <c r="X33" i="3"/>
  <c r="X34" i="3"/>
  <c r="X35" i="3"/>
  <c r="X36" i="3"/>
  <c r="B74" i="31" l="1"/>
  <c r="B66" i="31"/>
  <c r="M69" i="31"/>
  <c r="M68" i="31"/>
  <c r="M67" i="31"/>
  <c r="M66" i="31"/>
  <c r="I69" i="31"/>
  <c r="I68" i="31"/>
  <c r="I67" i="31"/>
  <c r="I66" i="31"/>
  <c r="AS24" i="48"/>
  <c r="I70" i="31" l="1"/>
  <c r="J17" i="3" l="1"/>
  <c r="J18" i="3"/>
  <c r="H18" i="3" s="1"/>
  <c r="J19" i="3"/>
  <c r="H19" i="3" s="1"/>
  <c r="J20" i="3"/>
  <c r="H20" i="3" s="1"/>
  <c r="J21" i="3"/>
  <c r="J22" i="3"/>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BG23" i="3" s="1"/>
  <c r="L22" i="3"/>
  <c r="BG22" i="3" s="1"/>
  <c r="H22" i="3"/>
  <c r="L21" i="3"/>
  <c r="BG21" i="3" s="1"/>
  <c r="H21" i="3"/>
  <c r="L20" i="3"/>
  <c r="L19" i="3"/>
  <c r="L18" i="3"/>
  <c r="L17" i="3"/>
  <c r="H17" i="3"/>
  <c r="L16" i="3"/>
  <c r="H16" i="3"/>
  <c r="B67" i="31"/>
  <c r="B82" i="31" s="1"/>
  <c r="B68" i="31"/>
  <c r="B90" i="31" s="1"/>
  <c r="B69" i="31"/>
  <c r="B98" i="31" s="1"/>
  <c r="B43" i="31"/>
  <c r="Q43" i="31"/>
  <c r="L43" i="31"/>
  <c r="G43" i="31"/>
  <c r="E10" i="89" l="1"/>
  <c r="G10" i="89" s="1"/>
  <c r="F10" i="90"/>
  <c r="H10" i="90" s="1"/>
  <c r="H40" i="90" s="1"/>
  <c r="O37" i="31"/>
  <c r="BG20" i="3"/>
  <c r="E14" i="89"/>
  <c r="G14" i="89" s="1"/>
  <c r="BG19" i="3"/>
  <c r="E13" i="89"/>
  <c r="G13" i="89" s="1"/>
  <c r="BG17" i="3"/>
  <c r="E11" i="89"/>
  <c r="G11" i="89" s="1"/>
  <c r="BG18" i="3"/>
  <c r="E12" i="89"/>
  <c r="G12" i="89" s="1"/>
  <c r="BG16" i="3"/>
  <c r="L54" i="31"/>
  <c r="A21" i="87"/>
  <c r="A21" i="86"/>
  <c r="Q54" i="31"/>
  <c r="AC21" i="87"/>
  <c r="AC21" i="86"/>
  <c r="G54" i="31"/>
  <c r="AC3" i="87"/>
  <c r="AC3" i="86"/>
  <c r="B54" i="31"/>
  <c r="A3" i="87"/>
  <c r="A3" i="86"/>
  <c r="W16" i="3"/>
  <c r="W17" i="3"/>
  <c r="W18" i="3"/>
  <c r="W19" i="3"/>
  <c r="W20" i="3"/>
  <c r="W21" i="3"/>
  <c r="W22" i="3"/>
  <c r="W23" i="3"/>
  <c r="W24" i="3"/>
  <c r="W25" i="3"/>
  <c r="W26" i="3"/>
  <c r="W27" i="3"/>
  <c r="W28" i="3"/>
  <c r="W29" i="3"/>
  <c r="W30" i="3"/>
  <c r="W31" i="3"/>
  <c r="W32" i="3"/>
  <c r="E45" i="89" l="1"/>
  <c r="G45" i="89" s="1"/>
  <c r="F45" i="90"/>
  <c r="H45" i="90" s="1"/>
  <c r="G40" i="89"/>
  <c r="D34" i="68"/>
  <c r="B9" i="10" l="1"/>
  <c r="A27" i="12"/>
  <c r="G6" i="90" l="1"/>
  <c r="F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AQ22"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AQ23" i="81"/>
  <c r="R16" i="81"/>
  <c r="G16" i="81"/>
  <c r="AQ22"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F5" i="89"/>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E44" i="89" l="1"/>
  <c r="G44" i="89" s="1"/>
  <c r="F44" i="90"/>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O19" i="3" s="1"/>
  <c r="AI18" i="3"/>
  <c r="AI17" i="3"/>
  <c r="AL16" i="3" l="1"/>
  <c r="AO16" i="3" s="1"/>
  <c r="AL18" i="3"/>
  <c r="AO18" i="3" s="1"/>
  <c r="AL17" i="3"/>
  <c r="AO17" i="3" s="1"/>
  <c r="H44" i="90"/>
  <c r="F49" i="90"/>
  <c r="H49" i="90" s="1"/>
  <c r="AP18" i="3"/>
  <c r="L9" i="82"/>
  <c r="L9" i="81"/>
  <c r="U8" i="81"/>
  <c r="L8" i="82"/>
  <c r="L8" i="81"/>
  <c r="L10" i="82"/>
  <c r="L10" i="81"/>
  <c r="AP17" i="3"/>
  <c r="AP19" i="3"/>
  <c r="T2" i="31"/>
  <c r="M13" i="80"/>
  <c r="AQ15" i="49"/>
  <c r="D20" i="31"/>
  <c r="D22" i="31" s="1"/>
  <c r="E54" i="73"/>
  <c r="G54" i="73" s="1"/>
  <c r="E34" i="68"/>
  <c r="A34" i="68"/>
  <c r="A54" i="73"/>
  <c r="E32" i="62"/>
  <c r="F34" i="68" l="1"/>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E49" i="89" l="1"/>
  <c r="G49" i="89" s="1"/>
  <c r="E43" i="89"/>
  <c r="G43" i="89" s="1"/>
  <c r="G52" i="89" s="1"/>
  <c r="G54" i="89" s="1"/>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AE9" i="10" l="1"/>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X4" i="31" s="1"/>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W42" i="3"/>
  <c r="X42" i="3"/>
  <c r="R34" i="49"/>
  <c r="W43" i="3"/>
  <c r="X43" i="3"/>
  <c r="AB43" i="3"/>
  <c r="U35" i="82" s="1"/>
  <c r="W44" i="3"/>
  <c r="X44" i="3"/>
  <c r="AB44" i="3"/>
  <c r="U36" i="82" s="1"/>
  <c r="W45" i="3"/>
  <c r="U37" i="81" s="1"/>
  <c r="X45" i="3"/>
  <c r="K67" i="31" l="1"/>
  <c r="P67" i="31"/>
  <c r="K68" i="31"/>
  <c r="P68" i="31"/>
  <c r="J66" i="31"/>
  <c r="K69" i="31"/>
  <c r="P69" i="31"/>
  <c r="N57" i="31"/>
  <c r="O57" i="31"/>
  <c r="E57" i="31"/>
  <c r="D57" i="31"/>
  <c r="T57" i="31"/>
  <c r="S57" i="31"/>
  <c r="O67" i="31"/>
  <c r="I57" i="31" s="1"/>
  <c r="U36" i="48"/>
  <c r="U36" i="81"/>
  <c r="U35" i="48"/>
  <c r="U35" i="81"/>
  <c r="U34" i="48"/>
  <c r="U34" i="81"/>
  <c r="AP41" i="3"/>
  <c r="AP45" i="3"/>
  <c r="X33" i="31"/>
  <c r="Y33" i="31" s="1"/>
  <c r="X29" i="31"/>
  <c r="Y29" i="31" s="1"/>
  <c r="X25" i="31"/>
  <c r="Y25" i="31" s="1"/>
  <c r="X21" i="31"/>
  <c r="Y21" i="31" s="1"/>
  <c r="X17" i="31"/>
  <c r="Y17" i="31" s="1"/>
  <c r="X13" i="31"/>
  <c r="Y13" i="31" s="1"/>
  <c r="X9" i="31"/>
  <c r="Y9" i="31" s="1"/>
  <c r="X5" i="31"/>
  <c r="Y5" i="31" s="1"/>
  <c r="X18" i="31"/>
  <c r="Y18" i="31" s="1"/>
  <c r="X32" i="31"/>
  <c r="Y32" i="31" s="1"/>
  <c r="X28" i="31"/>
  <c r="Y28" i="31" s="1"/>
  <c r="X24" i="31"/>
  <c r="Y24" i="31" s="1"/>
  <c r="X20" i="31"/>
  <c r="Y20" i="31" s="1"/>
  <c r="X16" i="31"/>
  <c r="Y16" i="31" s="1"/>
  <c r="X12" i="31"/>
  <c r="Y12" i="31" s="1"/>
  <c r="X8" i="31"/>
  <c r="Y8" i="31" s="1"/>
  <c r="Y4" i="31"/>
  <c r="X26" i="31"/>
  <c r="Y26" i="31" s="1"/>
  <c r="X22" i="31"/>
  <c r="Y22" i="31" s="1"/>
  <c r="X10" i="31"/>
  <c r="Y10" i="31" s="1"/>
  <c r="X31" i="31"/>
  <c r="Y31" i="31" s="1"/>
  <c r="X27" i="31"/>
  <c r="Y27" i="31" s="1"/>
  <c r="X23" i="31"/>
  <c r="Y23" i="31" s="1"/>
  <c r="X19" i="31"/>
  <c r="Y19" i="31" s="1"/>
  <c r="X15" i="31"/>
  <c r="Y15" i="31" s="1"/>
  <c r="X11" i="31"/>
  <c r="Y11" i="31" s="1"/>
  <c r="X7" i="31"/>
  <c r="Y7" i="31" s="1"/>
  <c r="X30" i="31"/>
  <c r="Y30" i="31" s="1"/>
  <c r="X14" i="31"/>
  <c r="Y14" i="31" s="1"/>
  <c r="X6" i="31"/>
  <c r="Y6" i="31" s="1"/>
  <c r="AC44" i="3"/>
  <c r="AC43" i="3"/>
  <c r="L33" i="48"/>
  <c r="Y41" i="3"/>
  <c r="Y45" i="3"/>
  <c r="L37" i="48"/>
  <c r="L37" i="49"/>
  <c r="L36" i="49"/>
  <c r="L33" i="49"/>
  <c r="Y42" i="3"/>
  <c r="AB41" i="3"/>
  <c r="U37" i="48"/>
  <c r="L34" i="48"/>
  <c r="U33" i="48"/>
  <c r="R37" i="49"/>
  <c r="R33" i="49"/>
  <c r="R36" i="49"/>
  <c r="U35" i="49"/>
  <c r="U36" i="49"/>
  <c r="R35" i="49"/>
  <c r="AB45" i="3"/>
  <c r="U37" i="82" s="1"/>
  <c r="Y43" i="3"/>
  <c r="Y44" i="3"/>
  <c r="AB42" i="3"/>
  <c r="U34" i="82" s="1"/>
  <c r="R57" i="31" l="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AC41" i="3"/>
  <c r="Q32" i="51" s="1"/>
  <c r="U33" i="82"/>
  <c r="AP42" i="3"/>
  <c r="AP44" i="3"/>
  <c r="AP43" i="3"/>
  <c r="Q35" i="51"/>
  <c r="U33" i="49"/>
  <c r="Y37" i="48"/>
  <c r="K36" i="51"/>
  <c r="K35" i="51"/>
  <c r="Y36" i="48"/>
  <c r="Y33" i="48"/>
  <c r="K32" i="51"/>
  <c r="K34" i="51"/>
  <c r="Y35" i="48"/>
  <c r="K33" i="51"/>
  <c r="Y34" i="48"/>
  <c r="Q34" i="51"/>
  <c r="Y35" i="49"/>
  <c r="AC42" i="3"/>
  <c r="U34" i="49"/>
  <c r="AC45" i="3"/>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C15" i="10" s="1"/>
  <c r="B12" i="10"/>
  <c r="B33" i="10" l="1"/>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AR19" i="3"/>
  <c r="S45" i="31" s="1"/>
  <c r="S56" i="31" s="1"/>
  <c r="AT19" i="3"/>
  <c r="AS19" i="3"/>
  <c r="AP14" i="3"/>
  <c r="C2" i="3" s="1"/>
  <c r="AK19" i="3"/>
  <c r="G15" i="62" s="1"/>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X38" i="3"/>
  <c r="X39" i="3"/>
  <c r="X40" i="3"/>
  <c r="E15" i="62" l="1"/>
  <c r="AM19" i="3" l="1"/>
  <c r="L9" i="49"/>
  <c r="L9" i="48"/>
  <c r="L10" i="49"/>
  <c r="L10" i="48"/>
  <c r="L13" i="49"/>
  <c r="L13" i="48"/>
  <c r="L12" i="49"/>
  <c r="L12" i="48"/>
  <c r="L15" i="49"/>
  <c r="L15" i="48"/>
  <c r="L11" i="48"/>
  <c r="L11" i="49"/>
  <c r="L14" i="49"/>
  <c r="L14" i="48"/>
  <c r="L8" i="49"/>
  <c r="L8" i="48"/>
  <c r="L17" i="48" l="1"/>
  <c r="L17" i="49"/>
  <c r="L16" i="49"/>
  <c r="L16" i="48"/>
  <c r="AB18" i="3" l="1"/>
  <c r="U10" i="82" s="1"/>
  <c r="AB19" i="3"/>
  <c r="U11" i="82" s="1"/>
  <c r="AB22" i="3"/>
  <c r="U14" i="82" s="1"/>
  <c r="AB23" i="3"/>
  <c r="U15" i="82" s="1"/>
  <c r="AB20" i="3"/>
  <c r="U12" i="82" s="1"/>
  <c r="AB24" i="3"/>
  <c r="U16" i="82" s="1"/>
  <c r="Y25" i="3" l="1"/>
  <c r="U17" i="81"/>
  <c r="Y22" i="3"/>
  <c r="U14" i="81"/>
  <c r="Y19" i="3"/>
  <c r="U11" i="81"/>
  <c r="Y18" i="3"/>
  <c r="U10" i="81"/>
  <c r="Y21" i="3"/>
  <c r="U13" i="81"/>
  <c r="Y16" i="3"/>
  <c r="N17" i="31"/>
  <c r="N16" i="31"/>
  <c r="AC23" i="3"/>
  <c r="AC24" i="3"/>
  <c r="AC22" i="3"/>
  <c r="AC20" i="3"/>
  <c r="AC19" i="3"/>
  <c r="AC18" i="3"/>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U26" i="82" s="1"/>
  <c r="AB26" i="3"/>
  <c r="U18" i="82" s="1"/>
  <c r="W38" i="3"/>
  <c r="AB38" i="3"/>
  <c r="U30" i="82" s="1"/>
  <c r="AB30" i="3"/>
  <c r="U22" i="82" s="1"/>
  <c r="W34" i="3"/>
  <c r="AB39" i="3"/>
  <c r="U31" i="82" s="1"/>
  <c r="AB31" i="3"/>
  <c r="U23" i="82" s="1"/>
  <c r="AB40" i="3"/>
  <c r="U32" i="82" s="1"/>
  <c r="AB36" i="3"/>
  <c r="U28" i="82" s="1"/>
  <c r="AB32" i="3"/>
  <c r="U24" i="82" s="1"/>
  <c r="AB28" i="3"/>
  <c r="U20" i="82" s="1"/>
  <c r="AB35" i="3"/>
  <c r="U27" i="82" s="1"/>
  <c r="AB27" i="3"/>
  <c r="U19" i="82" s="1"/>
  <c r="U9" i="81"/>
  <c r="W36" i="3"/>
  <c r="W39" i="3"/>
  <c r="U8" i="82"/>
  <c r="AB37" i="3"/>
  <c r="U29" i="82" s="1"/>
  <c r="AB33" i="3"/>
  <c r="U25" i="82" s="1"/>
  <c r="AB29" i="3"/>
  <c r="U21" i="82" s="1"/>
  <c r="AB25" i="3"/>
  <c r="U17" i="82" s="1"/>
  <c r="AB21" i="3"/>
  <c r="U13" i="82" s="1"/>
  <c r="AB17" i="3"/>
  <c r="U9" i="82" s="1"/>
  <c r="W40" i="3"/>
  <c r="Y24" i="3" l="1"/>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2"/>
  <c r="AN22" i="81"/>
  <c r="AN23" i="82"/>
  <c r="AS19" i="82" s="1"/>
  <c r="AN23" i="81"/>
  <c r="K12" i="83"/>
  <c r="Y13" i="81"/>
  <c r="K9" i="83"/>
  <c r="Y10" i="81"/>
  <c r="K10" i="83"/>
  <c r="Y11" i="81"/>
  <c r="K13" i="83"/>
  <c r="Y14" i="81"/>
  <c r="U39" i="82"/>
  <c r="Y15" i="82"/>
  <c r="Q14" i="83"/>
  <c r="Y12" i="82"/>
  <c r="Q11" i="83"/>
  <c r="Q10" i="51"/>
  <c r="Q10" i="83"/>
  <c r="Y11" i="82"/>
  <c r="Q13" i="83"/>
  <c r="Y14" i="82"/>
  <c r="Y10" i="82"/>
  <c r="Q9" i="83"/>
  <c r="Q15" i="83"/>
  <c r="Y16" i="82"/>
  <c r="Y17" i="3"/>
  <c r="C66" i="31" s="1"/>
  <c r="W14" i="3"/>
  <c r="AB14" i="3"/>
  <c r="AC16" i="3"/>
  <c r="AC29" i="3"/>
  <c r="AC27" i="3"/>
  <c r="AC36" i="3"/>
  <c r="AC34" i="3"/>
  <c r="AC25" i="3"/>
  <c r="AC33" i="3"/>
  <c r="AC35" i="3"/>
  <c r="AC40" i="3"/>
  <c r="AC21" i="3"/>
  <c r="AC37" i="3"/>
  <c r="AC28" i="3"/>
  <c r="AC31" i="3"/>
  <c r="AC30" i="3"/>
  <c r="AC32" i="3"/>
  <c r="AC39" i="3"/>
  <c r="AC38" i="3"/>
  <c r="AC26" i="3"/>
  <c r="D68" i="31" s="1"/>
  <c r="AC17" i="3"/>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8" i="83"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D67" i="31" l="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C21" i="31" s="1"/>
  <c r="C22" i="31" s="1"/>
  <c r="D24" i="31" s="1"/>
  <c r="K8" i="83"/>
  <c r="Y9" i="81"/>
  <c r="AS19" i="81"/>
  <c r="K11" i="83"/>
  <c r="Y12" i="81"/>
  <c r="K14" i="83"/>
  <c r="U14" i="83" s="1"/>
  <c r="Y15" i="81"/>
  <c r="Y22" i="82"/>
  <c r="Q21" i="83"/>
  <c r="Y17" i="82"/>
  <c r="Q16" i="83"/>
  <c r="U16" i="83" s="1"/>
  <c r="Q29" i="83"/>
  <c r="Y30" i="82"/>
  <c r="Q22" i="83"/>
  <c r="Y23" i="82"/>
  <c r="Q31" i="83"/>
  <c r="Y32" i="82"/>
  <c r="Q30" i="83"/>
  <c r="Y31" i="82"/>
  <c r="Q19" i="83"/>
  <c r="U19" i="83" s="1"/>
  <c r="Y20" i="82"/>
  <c r="Q26" i="83"/>
  <c r="Y27" i="82"/>
  <c r="Q27" i="83"/>
  <c r="Y28" i="82"/>
  <c r="Q8" i="83"/>
  <c r="Y9" i="82"/>
  <c r="Q23" i="83"/>
  <c r="U23" i="83" s="1"/>
  <c r="Y24" i="82"/>
  <c r="Q28" i="83"/>
  <c r="Y29" i="82"/>
  <c r="Q24" i="83"/>
  <c r="Y25" i="82"/>
  <c r="Q18" i="83"/>
  <c r="Y19" i="82"/>
  <c r="Q12" i="83"/>
  <c r="U12" i="83" s="1"/>
  <c r="Y13" i="82"/>
  <c r="Q20" i="83"/>
  <c r="Y21" i="82"/>
  <c r="Q17" i="83"/>
  <c r="U17" i="83" s="1"/>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J47" i="31" l="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I21" i="31"/>
  <c r="I34" i="31" s="1"/>
  <c r="D25" i="31"/>
  <c r="U20" i="83"/>
  <c r="U28" i="83"/>
  <c r="U26" i="83"/>
  <c r="U22" i="83"/>
  <c r="D23" i="31"/>
  <c r="U21" i="83"/>
  <c r="U25" i="83"/>
  <c r="U18" i="83"/>
  <c r="U30" i="83"/>
  <c r="Y39" i="81"/>
  <c r="U11" i="83"/>
  <c r="K38" i="83"/>
  <c r="Y39" i="82"/>
  <c r="AS7" i="82" s="1"/>
  <c r="AS41" i="82" s="1"/>
  <c r="U7" i="83"/>
  <c r="Q38" i="83"/>
  <c r="I33" i="31"/>
  <c r="AA18" i="83"/>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AU32" i="87" l="1"/>
  <c r="H48" i="31"/>
  <c r="J49" i="31" s="1"/>
  <c r="K84" i="31"/>
  <c r="J58" i="31"/>
  <c r="J59" i="31" s="1"/>
  <c r="J60" i="31" s="1"/>
  <c r="H84" i="31"/>
  <c r="O84" i="31"/>
  <c r="N84" i="31"/>
  <c r="H62" i="31"/>
  <c r="AK16" i="87" s="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H51" i="31" l="1"/>
  <c r="AK16" i="86" s="1"/>
  <c r="S49" i="31"/>
  <c r="T60" i="31"/>
  <c r="S60" i="31"/>
  <c r="C51" i="31"/>
  <c r="I16" i="86" s="1"/>
  <c r="E49" i="31"/>
  <c r="AK32" i="86"/>
  <c r="R63" i="31"/>
  <c r="R52" i="31"/>
  <c r="AS41" i="48"/>
  <c r="B4" i="31" s="1"/>
  <c r="C4" i="31" s="1"/>
  <c r="F4" i="31" s="1"/>
  <c r="AA9" i="83"/>
  <c r="AA29" i="83" s="1"/>
  <c r="AS41" i="49"/>
  <c r="B7" i="31" s="1"/>
  <c r="B12" i="31" s="1"/>
  <c r="C12" i="31" s="1"/>
  <c r="F12" i="31" s="1"/>
  <c r="AN9" i="83"/>
  <c r="AA7" i="51"/>
  <c r="AA29" i="51" s="1"/>
  <c r="D29" i="31"/>
  <c r="AN7" i="51"/>
  <c r="AN29" i="51" s="1"/>
  <c r="J34" i="31"/>
  <c r="K22" i="31"/>
  <c r="K34" i="31"/>
  <c r="K35" i="31" s="1"/>
  <c r="K36" i="31" s="1"/>
  <c r="I22" i="31"/>
  <c r="AK36" i="87" l="1"/>
  <c r="AK36" i="86"/>
  <c r="K23" i="31"/>
  <c r="V30" i="64" s="1"/>
  <c r="D31" i="31"/>
  <c r="C7" i="31"/>
  <c r="G7" i="31" s="1"/>
  <c r="AN29" i="83"/>
  <c r="BA29" i="83" s="1"/>
  <c r="BA9" i="83"/>
  <c r="BA29" i="51"/>
  <c r="AP28" i="64" s="1"/>
  <c r="BA7" i="51"/>
  <c r="G12" i="31"/>
  <c r="J12" i="31"/>
  <c r="M12" i="31"/>
  <c r="L12" i="31"/>
  <c r="H12" i="31"/>
  <c r="I12" i="31"/>
  <c r="O12" i="31"/>
  <c r="N12" i="31"/>
  <c r="K12" i="31"/>
  <c r="V34" i="75"/>
  <c r="V34" i="76"/>
  <c r="G4" i="31"/>
  <c r="K4" i="31"/>
  <c r="O4" i="31"/>
  <c r="L4" i="31"/>
  <c r="I4" i="31"/>
  <c r="M4" i="31"/>
  <c r="J4" i="31"/>
  <c r="N4" i="31"/>
  <c r="H4" i="31"/>
  <c r="K24" i="31"/>
  <c r="H7" i="31" l="1"/>
  <c r="F7" i="31"/>
  <c r="I7" i="31"/>
  <c r="K7" i="31"/>
  <c r="L7" i="31"/>
  <c r="J7" i="31"/>
  <c r="N7" i="31"/>
  <c r="M7" i="31"/>
  <c r="O7" i="31"/>
  <c r="AQ32" i="75"/>
  <c r="K4" i="68"/>
  <c r="AQ32" i="76"/>
  <c r="V30" i="52"/>
  <c r="AP28" i="52"/>
  <c r="F37" i="68" l="1"/>
  <c r="AK18" i="3"/>
  <c r="G14" i="62" s="1"/>
  <c r="AK17" i="3"/>
  <c r="G13" i="62" s="1"/>
  <c r="E13" i="62" l="1"/>
  <c r="AM17" i="3"/>
  <c r="E14" i="62"/>
  <c r="AM18" i="3"/>
  <c r="B95" i="31" l="1"/>
  <c r="B94" i="31"/>
  <c r="B87" i="31"/>
  <c r="B86" i="31"/>
  <c r="S35" i="86"/>
  <c r="S32" i="86" s="1"/>
  <c r="S35" i="87"/>
  <c r="S32" i="87" s="1"/>
  <c r="AU17" i="86"/>
  <c r="AU14" i="86" s="1"/>
  <c r="AU17" i="87"/>
  <c r="AU14" i="87" s="1"/>
  <c r="AV18" i="3"/>
  <c r="AV17" i="3"/>
  <c r="AR18" i="3"/>
  <c r="N45" i="31" s="1"/>
  <c r="AT18" i="3"/>
  <c r="AS18" i="3"/>
  <c r="AT17" i="3"/>
  <c r="AS17" i="3"/>
  <c r="AR17" i="3"/>
  <c r="I45" i="31" s="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H56" i="90" s="1"/>
  <c r="AV37" i="3"/>
  <c r="AR37" i="3"/>
  <c r="AV29" i="3"/>
  <c r="AR29" i="3"/>
  <c r="AV43" i="3"/>
  <c r="AR43" i="3"/>
  <c r="AV27" i="3"/>
  <c r="AR27" i="3"/>
  <c r="AO22" i="3"/>
  <c r="AV22" i="3" s="1"/>
  <c r="AR24" i="3"/>
  <c r="AQ17" i="3"/>
  <c r="AW17" i="3" s="1"/>
  <c r="AR33" i="3"/>
  <c r="AM16" i="3"/>
  <c r="AK16" i="3"/>
  <c r="G12" i="62" s="1"/>
  <c r="E12" i="62"/>
  <c r="AT20" i="3"/>
  <c r="AS20" i="3"/>
  <c r="AR20" i="3"/>
  <c r="AK20" i="3"/>
  <c r="G16" i="62" s="1"/>
  <c r="E16" i="62"/>
  <c r="AM20" i="3"/>
  <c r="AT26" i="3"/>
  <c r="AR26" i="3"/>
  <c r="AS26" i="3"/>
  <c r="AK26" i="3"/>
  <c r="G22" i="62" s="1"/>
  <c r="AM26" i="3"/>
  <c r="E22" i="62"/>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G32" i="62" s="1"/>
  <c r="AR30" i="3"/>
  <c r="AT30" i="3"/>
  <c r="AS30" i="3"/>
  <c r="AK30" i="3"/>
  <c r="G26" i="62" s="1"/>
  <c r="AM30" i="3"/>
  <c r="E26" i="62"/>
  <c r="AT35" i="3"/>
  <c r="AR35" i="3"/>
  <c r="AS35" i="3"/>
  <c r="AK35" i="3"/>
  <c r="G31" i="62" s="1"/>
  <c r="AM35" i="3"/>
  <c r="E31" i="62"/>
  <c r="AR31" i="3"/>
  <c r="AT31" i="3"/>
  <c r="AS31" i="3"/>
  <c r="AK31" i="3"/>
  <c r="G27" i="62" s="1"/>
  <c r="AM31" i="3"/>
  <c r="E27" i="62"/>
  <c r="AT27" i="3"/>
  <c r="AS27" i="3"/>
  <c r="AK27" i="3"/>
  <c r="G23" i="62" s="1"/>
  <c r="AM27" i="3"/>
  <c r="E23" i="62"/>
  <c r="AK22" i="3"/>
  <c r="G18" i="62" s="1"/>
  <c r="AM22" i="3"/>
  <c r="E18" i="62"/>
  <c r="AT25" i="3"/>
  <c r="AR25" i="3"/>
  <c r="AS25" i="3"/>
  <c r="AK25" i="3"/>
  <c r="G21" i="62" s="1"/>
  <c r="AM25" i="3"/>
  <c r="E21" i="62"/>
  <c r="AT23" i="3"/>
  <c r="AR23" i="3"/>
  <c r="AS23" i="3"/>
  <c r="AK23" i="3"/>
  <c r="G19" i="62" s="1"/>
  <c r="AM23" i="3"/>
  <c r="E19" i="62"/>
  <c r="AT29" i="3"/>
  <c r="AS29" i="3"/>
  <c r="AK29" i="3"/>
  <c r="G25" i="62" s="1"/>
  <c r="AM29" i="3"/>
  <c r="E25" i="62"/>
  <c r="AT21" i="3"/>
  <c r="AR21" i="3"/>
  <c r="AS21" i="3"/>
  <c r="AK21" i="3"/>
  <c r="G17" i="62" s="1"/>
  <c r="AM21" i="3"/>
  <c r="E17" i="62"/>
  <c r="AR28" i="3"/>
  <c r="AS28" i="3"/>
  <c r="AT28" i="3"/>
  <c r="AK28" i="3"/>
  <c r="G24" i="62" s="1"/>
  <c r="AM28" i="3"/>
  <c r="E24" i="62"/>
  <c r="AT32" i="3"/>
  <c r="AR32" i="3"/>
  <c r="AS32" i="3"/>
  <c r="AK32" i="3"/>
  <c r="G28" i="62" s="1"/>
  <c r="AM32" i="3"/>
  <c r="E28" i="62"/>
  <c r="AT33" i="3"/>
  <c r="AS33" i="3"/>
  <c r="AK33" i="3"/>
  <c r="G29" i="62" s="1"/>
  <c r="AM33" i="3"/>
  <c r="E29" i="62"/>
  <c r="AT24" i="3"/>
  <c r="AS24" i="3"/>
  <c r="AK24" i="3"/>
  <c r="G20" i="62" s="1"/>
  <c r="AM24" i="3"/>
  <c r="E20" i="62"/>
  <c r="AS34" i="3"/>
  <c r="AR34" i="3"/>
  <c r="AT34" i="3"/>
  <c r="AK34" i="3"/>
  <c r="G30" i="62" s="1"/>
  <c r="AM34" i="3"/>
  <c r="E30" i="62"/>
  <c r="H55" i="90" l="1"/>
  <c r="G55" i="89"/>
  <c r="H56" i="89" s="1"/>
  <c r="K9" i="89" s="1"/>
  <c r="B79" i="31"/>
  <c r="B78" i="31"/>
  <c r="E78" i="31" s="1"/>
  <c r="S17" i="86"/>
  <c r="S14" i="86" s="1"/>
  <c r="S17" i="87"/>
  <c r="S14" i="87" s="1"/>
  <c r="AR16" i="3"/>
  <c r="D45" i="31" s="1"/>
  <c r="M61" i="31"/>
  <c r="N60" i="31"/>
  <c r="H61" i="31"/>
  <c r="I60" i="31"/>
  <c r="M50" i="31"/>
  <c r="N49" i="31"/>
  <c r="H50" i="31"/>
  <c r="AK14" i="3"/>
  <c r="N5" i="52" s="1"/>
  <c r="I7" i="76" s="1"/>
  <c r="E18" i="30"/>
  <c r="F18" i="30" s="1"/>
  <c r="AT22" i="3"/>
  <c r="AG7" i="75"/>
  <c r="AR7" i="75" s="1"/>
  <c r="I6" i="31"/>
  <c r="I8" i="31" s="1"/>
  <c r="AR22" i="3"/>
  <c r="G42" i="73"/>
  <c r="AM5" i="64"/>
  <c r="AF28" i="64" s="1"/>
  <c r="F41" i="71"/>
  <c r="F42" i="71" s="1"/>
  <c r="F56" i="71" s="1"/>
  <c r="E11" i="31"/>
  <c r="E13" i="31" s="1"/>
  <c r="D3" i="79"/>
  <c r="C12" i="79" s="1"/>
  <c r="E12" i="79" s="1"/>
  <c r="E33" i="62"/>
  <c r="N6" i="31"/>
  <c r="N8" i="31" s="1"/>
  <c r="L11" i="31"/>
  <c r="L13" i="31" s="1"/>
  <c r="F6" i="31"/>
  <c r="F8" i="31" s="1"/>
  <c r="N11" i="31"/>
  <c r="N13" i="31" s="1"/>
  <c r="G41" i="73"/>
  <c r="AM5" i="52"/>
  <c r="AF28" i="52" s="1"/>
  <c r="AY30" i="52" s="1"/>
  <c r="J11" i="31"/>
  <c r="J13" i="31" s="1"/>
  <c r="K6" i="31"/>
  <c r="K8" i="31" s="1"/>
  <c r="J6" i="31"/>
  <c r="J8" i="31" s="1"/>
  <c r="M6" i="31"/>
  <c r="M8" i="31" s="1"/>
  <c r="B32" i="31"/>
  <c r="B33" i="31" s="1"/>
  <c r="J32" i="31" s="1"/>
  <c r="J35" i="31" s="1"/>
  <c r="J36" i="31" s="1"/>
  <c r="V32" i="76" s="1"/>
  <c r="V36" i="76" s="1"/>
  <c r="G6" i="31"/>
  <c r="G8" i="31" s="1"/>
  <c r="K11" i="31"/>
  <c r="K13" i="31" s="1"/>
  <c r="AG7" i="76"/>
  <c r="AR7" i="76" s="1"/>
  <c r="I11" i="31"/>
  <c r="I13" i="31" s="1"/>
  <c r="F11" i="31"/>
  <c r="F13" i="31" s="1"/>
  <c r="AQ35" i="3"/>
  <c r="AW35" i="3" s="1"/>
  <c r="H6" i="31"/>
  <c r="H8" i="31" s="1"/>
  <c r="AQ32" i="3"/>
  <c r="AW32" i="3" s="1"/>
  <c r="AQ21" i="3"/>
  <c r="AW21" i="3" s="1"/>
  <c r="AS22" i="3"/>
  <c r="F38" i="68"/>
  <c r="F39" i="68" s="1"/>
  <c r="E6" i="31"/>
  <c r="E8" i="31" s="1"/>
  <c r="L6" i="31"/>
  <c r="L8" i="31" s="1"/>
  <c r="O6" i="31"/>
  <c r="O8" i="31" s="1"/>
  <c r="AQ43" i="3"/>
  <c r="AW43" i="3" s="1"/>
  <c r="AQ26" i="3"/>
  <c r="AW26" i="3" s="1"/>
  <c r="AQ37" i="3"/>
  <c r="AW37" i="3" s="1"/>
  <c r="AQ29" i="3"/>
  <c r="AW29" i="3" s="1"/>
  <c r="H11" i="31"/>
  <c r="H13" i="31" s="1"/>
  <c r="AQ24" i="3"/>
  <c r="AW24" i="3" s="1"/>
  <c r="G11" i="31"/>
  <c r="G13" i="31" s="1"/>
  <c r="M11" i="31"/>
  <c r="M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AT16" i="3"/>
  <c r="AM14" i="3"/>
  <c r="H57" i="90" l="1"/>
  <c r="K11" i="89"/>
  <c r="E35" i="62"/>
  <c r="J7" i="62" s="1"/>
  <c r="G33" i="62"/>
  <c r="G35" i="62" s="1"/>
  <c r="J5" i="62" s="1"/>
  <c r="J6" i="62" s="1"/>
  <c r="K10" i="89"/>
  <c r="G78" i="31"/>
  <c r="H78" i="31"/>
  <c r="F78" i="31"/>
  <c r="AY28" i="64"/>
  <c r="AN12" i="3" s="1"/>
  <c r="G12" i="79" s="1"/>
  <c r="AY30" i="64"/>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J9" i="71"/>
  <c r="J10" i="71" s="1"/>
  <c r="F60" i="71" s="1"/>
  <c r="J11" i="71"/>
  <c r="N5" i="64"/>
  <c r="I7" i="75" s="1"/>
  <c r="Z5" i="52"/>
  <c r="J19" i="31"/>
  <c r="J22" i="31" s="1"/>
  <c r="J24" i="31" s="1"/>
  <c r="F26" i="30"/>
  <c r="AT14" i="3"/>
  <c r="G2" i="3" s="1"/>
  <c r="AQ22" i="3"/>
  <c r="AW22" i="3" s="1"/>
  <c r="AR14" i="3"/>
  <c r="E2" i="3" s="1"/>
  <c r="G43" i="73"/>
  <c r="G57" i="73" s="1"/>
  <c r="K9" i="73" s="1"/>
  <c r="AY28" i="52"/>
  <c r="AS14" i="3"/>
  <c r="F2" i="3" s="1"/>
  <c r="V32" i="75"/>
  <c r="V36" i="75" s="1"/>
  <c r="H4" i="68"/>
  <c r="K8" i="68" s="1"/>
  <c r="AQ16" i="3"/>
  <c r="AW16" i="3" s="1"/>
  <c r="R7" i="76"/>
  <c r="M9" i="76" s="1"/>
  <c r="D11" i="76" s="1"/>
  <c r="M11" i="76" s="1"/>
  <c r="AG32" i="76"/>
  <c r="AM9" i="76"/>
  <c r="R7" i="75"/>
  <c r="AG32" i="75"/>
  <c r="AM9" i="75"/>
  <c r="AL12" i="3"/>
  <c r="B2" i="3"/>
  <c r="L11" i="90" l="1"/>
  <c r="H59" i="90" s="1"/>
  <c r="L9" i="90"/>
  <c r="L10" i="90" s="1"/>
  <c r="K12" i="89"/>
  <c r="G59" i="89" s="1"/>
  <c r="G8" i="62"/>
  <c r="I36" i="86"/>
  <c r="AK18" i="86"/>
  <c r="C61" i="31"/>
  <c r="C50" i="31"/>
  <c r="D49" i="31"/>
  <c r="J12" i="71"/>
  <c r="F58" i="71"/>
  <c r="J8" i="62"/>
  <c r="E8" i="62"/>
  <c r="K11" i="73"/>
  <c r="J10" i="30"/>
  <c r="J12" i="30"/>
  <c r="J23" i="31"/>
  <c r="V28" i="52" s="1"/>
  <c r="Z5" i="64"/>
  <c r="J25" i="31"/>
  <c r="M9" i="75"/>
  <c r="D11" i="75" s="1"/>
  <c r="M11" i="75" s="1"/>
  <c r="AQ14" i="3"/>
  <c r="AQ38" i="75"/>
  <c r="AQ36" i="75"/>
  <c r="AQ36" i="76"/>
  <c r="AQ38" i="76"/>
  <c r="L12" i="90" l="1"/>
  <c r="H61" i="90"/>
  <c r="I14" i="87"/>
  <c r="C63" i="31"/>
  <c r="C52" i="31"/>
  <c r="I14" i="86"/>
  <c r="V32" i="52"/>
  <c r="V28" i="64"/>
  <c r="V32" i="64" s="1"/>
  <c r="K12" i="73"/>
  <c r="G59" i="73"/>
  <c r="J11" i="30"/>
  <c r="F11" i="30" s="1"/>
  <c r="J13" i="30"/>
  <c r="F13" i="30" s="1"/>
  <c r="AM12" i="3"/>
  <c r="D2" i="3"/>
  <c r="K10" i="73"/>
  <c r="G61" i="73" s="1"/>
  <c r="I18" i="87" l="1"/>
  <c r="I18" i="86"/>
</calcChain>
</file>

<file path=xl/sharedStrings.xml><?xml version="1.0" encoding="utf-8"?>
<sst xmlns="http://schemas.openxmlformats.org/spreadsheetml/2006/main" count="1415" uniqueCount="505">
  <si>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</si>
  <si>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</si>
  <si>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</si>
  <si>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</si>
  <si>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</si>
  <si>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</si>
  <si>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</si>
  <si>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5年間</t>
    <rPh sb="1" eb="3">
      <t>ネンカン</t>
    </rPh>
    <phoneticPr fontId="2"/>
  </si>
  <si>
    <t>6年目以降</t>
    <rPh sb="1" eb="3">
      <t>ネンメ</t>
    </rPh>
    <rPh sb="3" eb="5">
      <t>イコウ</t>
    </rPh>
    <phoneticPr fontId="2"/>
  </si>
  <si>
    <t>⑥非なし</t>
    <phoneticPr fontId="2"/>
  </si>
  <si>
    <t>⑥非あり</t>
    <phoneticPr fontId="2"/>
  </si>
  <si>
    <t>B</t>
    <phoneticPr fontId="2"/>
  </si>
  <si>
    <t>バイパス</t>
    <phoneticPr fontId="2"/>
  </si>
  <si>
    <t>削減金額</t>
    <rPh sb="0" eb="2">
      <t>サクゲン</t>
    </rPh>
    <rPh sb="2" eb="4">
      <t>キンガク</t>
    </rPh>
    <phoneticPr fontId="2"/>
  </si>
  <si>
    <t>リース代</t>
    <rPh sb="3" eb="4">
      <t>ダイ</t>
    </rPh>
    <phoneticPr fontId="2"/>
  </si>
  <si>
    <t>交換コスト</t>
    <rPh sb="0" eb="2">
      <t>コウカン</t>
    </rPh>
    <phoneticPr fontId="2"/>
  </si>
  <si>
    <t>電球数</t>
    <rPh sb="0" eb="2">
      <t>デンキュウ</t>
    </rPh>
    <rPh sb="2" eb="3">
      <t>スウ</t>
    </rPh>
    <phoneticPr fontId="2"/>
  </si>
  <si>
    <t>人工</t>
    <rPh sb="0" eb="1">
      <t>ニン</t>
    </rPh>
    <rPh sb="1" eb="2">
      <t>ク</t>
    </rPh>
    <phoneticPr fontId="2"/>
  </si>
  <si>
    <t>電気代</t>
    <rPh sb="0" eb="3">
      <t>デンキダイ</t>
    </rPh>
    <phoneticPr fontId="2"/>
  </si>
  <si>
    <t>合計</t>
    <rPh sb="0" eb="2">
      <t>ゴウケイ</t>
    </rPh>
    <phoneticPr fontId="2"/>
  </si>
  <si>
    <t>⑦非なし</t>
    <phoneticPr fontId="2"/>
  </si>
  <si>
    <t>⑦非あり</t>
    <phoneticPr fontId="2"/>
  </si>
  <si>
    <t>1棟のみ</t>
    <rPh sb="1" eb="2">
      <t>トウ</t>
    </rPh>
    <phoneticPr fontId="2"/>
  </si>
  <si>
    <t>試算エリア</t>
  </si>
  <si>
    <t>複数棟</t>
    <rPh sb="0" eb="2">
      <t>フクスウ</t>
    </rPh>
    <rPh sb="2" eb="3">
      <t>トウ</t>
    </rPh>
    <phoneticPr fontId="2"/>
  </si>
  <si>
    <t>物件名</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</si>
  <si>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</si>
  <si>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</si>
  <si>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</si>
  <si>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</si>
  <si>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塗装費用</t>
    <rPh sb="0" eb="2">
      <t>トソウ</t>
    </rPh>
    <rPh sb="2" eb="4">
      <t>ヒヨウ</t>
    </rPh>
    <phoneticPr fontId="2"/>
  </si>
  <si>
    <t>配線直結</t>
    <rPh sb="0" eb="2">
      <t>ハイセン</t>
    </rPh>
    <rPh sb="2" eb="4">
      <t>チョッケツ</t>
    </rPh>
    <phoneticPr fontId="2"/>
  </si>
  <si>
    <t>漏電対応費用</t>
    <rPh sb="0" eb="2">
      <t>ロウデン</t>
    </rPh>
    <rPh sb="2" eb="4">
      <t>タイオウ</t>
    </rPh>
    <rPh sb="4" eb="6">
      <t>ヒヨウ</t>
    </rPh>
    <phoneticPr fontId="2"/>
  </si>
  <si>
    <t>ランプ交換</t>
    <rPh sb="3" eb="5">
      <t>コウカン</t>
    </rPh>
    <phoneticPr fontId="2"/>
  </si>
  <si>
    <t>EEセンサー新設</t>
    <rPh sb="6" eb="8">
      <t>シンセツ</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</si>
  <si>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</si>
  <si>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</si>
  <si>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</si>
  <si>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</si>
  <si>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</si>
  <si>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</si>
  <si>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</si>
  <si>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</si>
  <si>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</si>
  <si>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</si>
  <si>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</si>
  <si>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</si>
  <si>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</si>
  <si>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</si>
  <si>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</si>
  <si>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</si>
  <si>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</si>
  <si>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</si>
  <si>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</si>
  <si>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</si>
  <si>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</si>
  <si>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</si>
  <si>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</si>
  <si>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</si>
  <si>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</si>
  <si>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</si>
  <si>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</si>
  <si>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</si>
  <si>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</si>
  <si>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</si>
  <si>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</si>
  <si>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</si>
  <si>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</si>
  <si>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</si>
  <si>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</si>
  <si>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</si>
  <si>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</si>
  <si>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</si>
  <si>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</si>
  <si>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</si>
  <si>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</si>
  <si>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</si>
  <si>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</si>
  <si>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</si>
  <si>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</si>
  <si>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</si>
  <si>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</si>
  <si>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</si>
  <si>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</si>
  <si>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</si>
  <si>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</si>
  <si>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</si>
  <si>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</si>
  <si>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</si>
  <si>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</si>
  <si>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</si>
  <si>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</si>
  <si>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</si>
  <si>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</si>
  <si>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</si>
  <si>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</si>
  <si>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</si>
  <si>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</si>
  <si>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</si>
  <si>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</si>
  <si>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</si>
  <si>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</si>
  <si>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</si>
  <si>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</si>
  <si>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</si>
  <si>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物件名：</t>
    <rPh sb="0" eb="2">
      <t>ブッケン</t>
    </rPh>
    <rPh sb="2" eb="3">
      <t>メイ</t>
    </rPh>
    <phoneticPr fontId="2"/>
  </si>
  <si>
    <t>直管蛍光灯（FL）</t>
    <rPh sb="0" eb="2">
      <t>チョッカン</t>
    </rPh>
    <rPh sb="2" eb="5">
      <t>ケイコウトウ</t>
    </rPh>
    <phoneticPr fontId="2"/>
  </si>
  <si>
    <t>物件住所：</t>
    <rPh sb="0" eb="2">
      <t>ブッケン</t>
    </rPh>
    <rPh sb="2" eb="4">
      <t>ジュウショ</t>
    </rPh>
    <phoneticPr fontId="2"/>
  </si>
  <si>
    <t>サークライン（FCL）</t>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</si>
  <si>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</si>
  <si>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</si>
  <si>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</si>
  <si>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</si>
  <si>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</si>
  <si>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</si>
  <si>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</si>
  <si>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</si>
  <si>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</si>
  <si>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</si>
  <si>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</si>
  <si>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</si>
  <si>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</si>
  <si>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</si>
  <si>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</si>
  <si>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</si>
  <si>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</si>
  <si>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</si>
  <si>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</si>
  <si>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</si>
  <si>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</si>
  <si>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</si>
  <si>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</si>
  <si>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</si>
  <si>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</si>
  <si>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</si>
  <si>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</si>
  <si>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</si>
  <si>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</si>
  <si>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</si>
  <si>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</si>
  <si>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</si>
  <si>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</si>
  <si>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</si>
  <si>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</si>
  <si>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</si>
  <si>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</si>
  <si>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</si>
  <si>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</si>
  <si>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</si>
  <si>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</si>
  <si>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</si>
  <si>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</si>
  <si>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</si>
  <si>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</si>
  <si>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</si>
  <si>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</si>
  <si>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</si>
  <si>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電気単価</t>
    <rPh sb="0" eb="2">
      <t>デンキ</t>
    </rPh>
    <rPh sb="2" eb="4">
      <t>タンカ</t>
    </rPh>
    <phoneticPr fontId="3"/>
  </si>
  <si>
    <t>電気代</t>
    <rPh sb="0" eb="3">
      <t>デンキダイ</t>
    </rPh>
    <phoneticPr fontId="3"/>
  </si>
  <si>
    <t>⇒</t>
    <phoneticPr fontId="2"/>
  </si>
  <si>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</si>
  <si>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</si>
  <si>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</si>
  <si>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</si>
  <si>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</si>
  <si>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</si>
  <si>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</si>
  <si>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</si>
  <si>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</si>
  <si>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</si>
  <si>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</si>
  <si>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</si>
  <si>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</si>
  <si>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</si>
  <si>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</si>
  <si>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</si>
  <si>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</si>
  <si>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</si>
  <si>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</si>
  <si>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</si>
  <si>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</si>
  <si>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</si>
  <si>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</si>
  <si>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</si>
  <si>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</si>
  <si>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</si>
  <si>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</si>
  <si>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</si>
  <si>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</si>
  <si>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</si>
  <si>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</si>
  <si>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</si>
  <si>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</si>
  <si>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</si>
  <si>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</si>
  <si>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</si>
  <si>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</si>
  <si>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</si>
  <si>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</si>
  <si>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</si>
  <si>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</si>
  <si>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</si>
  <si>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</si>
  <si>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</si>
  <si>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</si>
  <si>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</si>
  <si>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</si>
  <si>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</si>
  <si>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</si>
  <si>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</si>
  <si>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</si>
  <si>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交換をする場合には、13,500円/1箇所（工事費込み）にて承ります</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</si>
  <si>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</si>
  <si>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</si>
  <si>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</si>
  <si>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</si>
  <si>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</si>
  <si>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</si>
  <si>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</si>
  <si>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56"/>
  </si>
  <si>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</si>
  <si>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</si>
  <si>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</si>
  <si>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</si>
  <si>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</si>
  <si>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</si>
  <si>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</si>
  <si>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</si>
  <si>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</si>
  <si>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</si>
  <si>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</si>
  <si>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</si>
  <si>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</si>
  <si>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</si>
  <si>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</si>
  <si>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</si>
  <si>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バズエリア株式会社</t>
    <rPh sb="5" eb="9">
      <t>カブシキガイシャ</t>
    </rPh>
    <phoneticPr fontId="2"/>
  </si>
  <si>
    <t>〒151-0071　東京都渋谷区本町2-6-3 D'sVARIE初台ビル3F</t>
    <rPh sb="10" eb="13">
      <t>トウキョウト</t>
    </rPh>
    <rPh sb="13" eb="16">
      <t>シブヤク</t>
    </rPh>
    <rPh sb="16" eb="18">
      <t>ホンマチ</t>
    </rPh>
    <rPh sb="32" eb="34">
      <t>ハツダイ</t>
    </rPh>
    <phoneticPr fontId="2"/>
  </si>
  <si>
    <t>TEL：03-4586-6561　FAX：03-6812-9253</t>
    <phoneticPr fontId="2"/>
  </si>
  <si>
    <t>～LEDの導入方法に関して～</t>
    <rPh sb="5" eb="7">
      <t>ドウニュウ</t>
    </rPh>
    <rPh sb="7" eb="9">
      <t>ホウホウ</t>
    </rPh>
    <rPh sb="10" eb="11">
      <t>カン</t>
    </rPh>
    <phoneticPr fontId="2"/>
  </si>
  <si>
    <t>この度は、LED照明の御見積のご依頼誠にありがとうございます。本シミュレーションは下記の条件を基に作成をしております。</t>
    <rPh sb="2" eb="3">
      <t>タビ</t>
    </rPh>
    <rPh sb="8" eb="10">
      <t>ショウメイ</t>
    </rPh>
    <rPh sb="11" eb="14">
      <t>オミツモリ</t>
    </rPh>
    <rPh sb="16" eb="18">
      <t>イライ</t>
    </rPh>
    <rPh sb="18" eb="19">
      <t>マコト</t>
    </rPh>
    <rPh sb="31" eb="32">
      <t>ホン</t>
    </rPh>
    <rPh sb="41" eb="43">
      <t>カキ</t>
    </rPh>
    <rPh sb="44" eb="46">
      <t>ジョウケン</t>
    </rPh>
    <rPh sb="47" eb="48">
      <t>モト</t>
    </rPh>
    <rPh sb="49" eb="51">
      <t>サクセイ</t>
    </rPh>
    <phoneticPr fontId="2"/>
  </si>
  <si>
    <t>1、電気代の算出方法</t>
    <rPh sb="2" eb="5">
      <t>デンキダイ</t>
    </rPh>
    <rPh sb="6" eb="8">
      <t>サンシュツ</t>
    </rPh>
    <rPh sb="8" eb="10">
      <t>ホウホウ</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</si>
  <si>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</si>
  <si>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◇点灯時間は日中に点灯している場合には24時間/日、点灯していなければ12時間/日にて算出しております。また、センサーライト等は使用場所に応じて1～5時間/日にて算出しております。</t>
    <rPh sb="1" eb="3">
      <t>テントウ</t>
    </rPh>
    <rPh sb="3" eb="5">
      <t>ジカン</t>
    </rPh>
    <rPh sb="6" eb="8">
      <t>ニッチュウ</t>
    </rPh>
    <rPh sb="9" eb="11">
      <t>テントウ</t>
    </rPh>
    <rPh sb="15" eb="17">
      <t>バアイ</t>
    </rPh>
    <rPh sb="21" eb="23">
      <t>ジカン</t>
    </rPh>
    <rPh sb="24" eb="25">
      <t>ヒ</t>
    </rPh>
    <rPh sb="26" eb="28">
      <t>テントウ</t>
    </rPh>
    <rPh sb="37" eb="39">
      <t>ジカン</t>
    </rPh>
    <rPh sb="40" eb="41">
      <t>ヒ</t>
    </rPh>
    <rPh sb="43" eb="45">
      <t>サンシュツ</t>
    </rPh>
    <rPh sb="62" eb="63">
      <t>ナド</t>
    </rPh>
    <rPh sb="64" eb="66">
      <t>シヨウ</t>
    </rPh>
    <rPh sb="66" eb="68">
      <t>バショ</t>
    </rPh>
    <rPh sb="69" eb="70">
      <t>オウ</t>
    </rPh>
    <rPh sb="75" eb="77">
      <t>ジカン</t>
    </rPh>
    <rPh sb="78" eb="79">
      <t>ヒ</t>
    </rPh>
    <rPh sb="81" eb="83">
      <t>サンシュツ</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</si>
  <si>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</si>
  <si>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</si>
  <si>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</si>
  <si>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</si>
  <si>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</si>
  <si>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</si>
  <si>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3、保証期間・保証内容</t>
    <rPh sb="2" eb="4">
      <t>ホショウ</t>
    </rPh>
    <rPh sb="4" eb="6">
      <t>キカン</t>
    </rPh>
    <rPh sb="7" eb="9">
      <t>ホショウ</t>
    </rPh>
    <rPh sb="9" eb="11">
      <t>ナイヨウ</t>
    </rPh>
    <phoneticPr fontId="2"/>
  </si>
  <si>
    <r>
      <t>1.保証期間・・・</t>
    </r>
    <r>
      <rPr>
        <b/>
        <sz val="14"/>
        <color theme="1" tint="0.249977111117893"/>
        <rFont val="メイリオ"/>
        <family val="3"/>
        <charset val="128"/>
      </rPr>
      <t>5年間</t>
    </r>
    <rPh sb="2" eb="6">
      <t>ホショウキカン</t>
    </rPh>
    <rPh sb="10" eb="12">
      <t>ネンカン</t>
    </rPh>
    <phoneticPr fontId="2"/>
  </si>
  <si>
    <t>2.保証対象外となる場合</t>
    <rPh sb="2" eb="4">
      <t>ホショウ</t>
    </rPh>
    <rPh sb="4" eb="7">
      <t>タイショウガイ</t>
    </rPh>
    <rPh sb="10" eb="12">
      <t>バアイ</t>
    </rPh>
    <phoneticPr fontId="2"/>
  </si>
  <si>
    <t>※交換まで含めたフルメンテナンス</t>
    <rPh sb="1" eb="3">
      <t>コウカン</t>
    </rPh>
    <rPh sb="5" eb="6">
      <t>フク</t>
    </rPh>
    <phoneticPr fontId="2"/>
  </si>
  <si>
    <t>①お客様の故意、重大な過失による故障、破損の場合。　②設置後にお客様における製品の移動や落下により生じた故障・破損の場合。</t>
    <phoneticPr fontId="2"/>
  </si>
  <si>
    <t>③火災・地震・水害・落雷その他天災地変による故障・破損の場合。　④器具の劣化・配線の劣化等の製品外起因の場合。</t>
    <phoneticPr fontId="2"/>
  </si>
  <si>
    <t>⑤配線直結工事にて施工を実施した箇所</t>
    <phoneticPr fontId="2"/>
  </si>
  <si>
    <t>　※庭園灯、ポール水銀灯などは大掛かりな工事になる為、弊社にて配線直結を選定しておりますので保証期間内は電球保証のみを行っております。</t>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</si>
  <si>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</si>
  <si>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</si>
  <si>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</si>
  <si>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</si>
  <si>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</si>
  <si>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器具の形、器具色、発光色に関してはカスタマイズ可能ですのでご希望があればご相談ください。</t>
    <rPh sb="0" eb="2">
      <t>キグ</t>
    </rPh>
    <rPh sb="3" eb="4">
      <t>カタチ</t>
    </rPh>
    <rPh sb="5" eb="7">
      <t>キグ</t>
    </rPh>
    <rPh sb="7" eb="8">
      <t>ショク</t>
    </rPh>
    <rPh sb="9" eb="11">
      <t>ハッコウ</t>
    </rPh>
    <rPh sb="11" eb="12">
      <t>ショク</t>
    </rPh>
    <rPh sb="13" eb="14">
      <t>カン</t>
    </rPh>
    <rPh sb="23" eb="25">
      <t>カノウ</t>
    </rPh>
    <rPh sb="30" eb="32">
      <t>キボウ</t>
    </rPh>
    <rPh sb="37" eb="39">
      <t>ソウダン</t>
    </rPh>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</si>
  <si>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</si>
  <si>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</si>
  <si>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</si>
  <si>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</si>
  <si>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</si>
  <si>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</si>
  <si>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</si>
  <si>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</si>
  <si>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</si>
  <si>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</si>
  <si>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</si>
  <si>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</si>
  <si>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</si>
  <si>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</si>
  <si>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</si>
  <si>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</si>
  <si>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</si>
  <si>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</si>
  <si>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</si>
  <si>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</si>
  <si>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</si>
  <si>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</si>
  <si>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</si>
  <si>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</si>
  <si>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</si>
  <si>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</si>
  <si>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</si>
  <si>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</si>
  <si>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</si>
  <si>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</si>
  <si>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</si>
  <si>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</si>
  <si>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</si>
  <si>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</si>
  <si>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</si>
  <si>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</si>
  <si>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</si>
  <si>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</si>
  <si>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</si>
  <si>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</si>
  <si>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</si>
  <si>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</si>
  <si>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</si>
  <si>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</si>
  <si>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</si>
  <si>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</si>
  <si>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</si>
  <si>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</si>
  <si>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</si>
  <si>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</si>
  <si>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</si>
  <si>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</si>
  <si>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</si>
  <si>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</si>
  <si>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</si>
  <si>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</si>
  <si>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</si>
  <si>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LED照明導入のメリット</t>
    <phoneticPr fontId="2"/>
  </si>
  <si>
    <t>照明の交換方法</t>
    <rPh sb="0" eb="2">
      <t>ショウメイ</t>
    </rPh>
    <rPh sb="3" eb="5">
      <t>コウカン</t>
    </rPh>
    <rPh sb="5" eb="7">
      <t>ホウホウ</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</si>
  <si>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</si>
  <si>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</si>
  <si>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</si>
  <si>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</si>
  <si>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</si>
  <si>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</si>
  <si>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</si>
  <si>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</si>
  <si>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×60ヵ月</t>
    <rPh sb="4" eb="5">
      <t>ゲツ</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</si>
  <si>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</si>
  <si>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</si>
  <si>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</si>
  <si>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</si>
  <si>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一括購入金額(税抜)：</t>
  </si>
  <si>
    <t>一括購入金額(税込)：</t>
    <rPh sb="8" eb="9">
      <t>コミ</t>
    </rPh>
    <phoneticPr fontId="2"/>
  </si>
  <si>
    <t>※消費税は別途申し受けいたします。</t>
    <rPh sb="1" eb="4">
      <t>ショウヒゼイ</t>
    </rPh>
    <rPh sb="5" eb="7">
      <t>ベット</t>
    </rPh>
    <rPh sb="7" eb="8">
      <t>モウ</t>
    </rPh>
    <rPh sb="9" eb="10">
      <t>ウ</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</si>
  <si>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</si>
  <si>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</si>
  <si>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</si>
  <si>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</si>
  <si>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</si>
  <si>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</si>
  <si>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</si>
  <si>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</si>
  <si>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</si>
  <si>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</si>
  <si>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</si>
  <si>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</si>
  <si>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※消費税は別途申し受けいたします。</t>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</si>
  <si>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</si>
  <si>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</si>
  <si>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</si>
  <si>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</si>
  <si>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</si>
  <si>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</si>
  <si>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</si>
  <si>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</si>
  <si>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</si>
  <si>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</si>
  <si>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</si>
  <si>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</si>
  <si>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</si>
  <si>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</si>
  <si>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</si>
  <si>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</si>
  <si>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</si>
  <si>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</si>
  <si>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</si>
  <si>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</si>
  <si>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</si>
  <si>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</si>
  <si>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</si>
  <si>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</si>
  <si>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一括購入金額
(税抜)</t>
    <phoneticPr fontId="2"/>
  </si>
  <si>
    <t>一括購入金額
(税込)</t>
    <rPh sb="9" eb="10">
      <t>コミ</t>
    </rPh>
    <phoneticPr fontId="2"/>
  </si>
  <si>
    <t>　　　　　　　　　　　　　　　　　　施工費　(非常灯別置工事/蛍光灯埋込器具工事)</t>
  </si>
  <si>
    <t>合計</t>
    <rPh sb="0" eb="1">
      <t>ゴウ</t>
    </rPh>
    <rPh sb="1" eb="2">
      <t>ケイ</t>
    </rPh>
    <phoneticPr fontId="2"/>
  </si>
  <si>
    <t>※金額は税込表記です</t>
    <rPh sb="1" eb="3">
      <t>キンガク</t>
    </rPh>
    <rPh sb="4" eb="6">
      <t>ゼイコミ</t>
    </rPh>
    <rPh sb="6" eb="8">
      <t>ヒョウキ</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</si>
  <si>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</si>
  <si>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</si>
  <si>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</si>
  <si>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</si>
  <si>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</si>
  <si>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</si>
  <si>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</si>
  <si>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</si>
  <si>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</si>
  <si>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</si>
  <si>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</si>
  <si>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</si>
  <si>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</si>
  <si>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</si>
  <si>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</si>
  <si>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</si>
  <si>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</si>
  <si>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</si>
  <si>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</si>
  <si>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</si>
  <si>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工事費込み（税抜）</t>
    <rPh sb="0" eb="3">
      <t>コウジヒ</t>
    </rPh>
    <rPh sb="3" eb="4">
      <t>コ</t>
    </rPh>
    <rPh sb="6" eb="8">
      <t>ゼイヌキ</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</si>
  <si>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</si>
  <si>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</si>
  <si>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</si>
  <si>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</si>
  <si>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</si>
  <si>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</si>
  <si>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</si>
  <si>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</si>
  <si>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</si>
  <si>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</si>
  <si>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</si>
  <si>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</si>
  <si>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</si>
  <si>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</si>
  <si>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</si>
  <si>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</si>
  <si>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×60ヵ月=</t>
    <rPh sb="4" eb="5">
      <t>ゲツ</t>
    </rPh>
    <phoneticPr fontId="2"/>
  </si>
  <si>
    <t>相当のお値引きです</t>
    <rPh sb="0" eb="2">
      <t>ソウトウ</t>
    </rPh>
    <rPh sb="4" eb="6">
      <t>ネビ</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</si>
  <si>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</si>
  <si>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</si>
  <si>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</si>
  <si>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</si>
  <si>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</si>
  <si>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</si>
  <si>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</si>
  <si>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</si>
  <si>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</si>
  <si>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</si>
  <si>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</si>
  <si>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</si>
  <si>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</si>
  <si>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</si>
  <si>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</si>
  <si>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</si>
  <si>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</si>
  <si>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</si>
  <si>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</si>
  <si>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</si>
  <si>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</si>
  <si>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</si>
  <si>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</si>
  <si>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</si>
  <si>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</si>
  <si>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</si>
  <si>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</si>
  <si>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</si>
  <si>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</si>
  <si>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</si>
  <si>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</si>
  <si>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</si>
  <si>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</si>
  <si>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</si>
  <si>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</si>
  <si>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</si>
  <si>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</si>
  <si>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</si>
  <si>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株式会社クラスコ</t>
  </si>
  <si>
    <t>郵便番号</t>
    <rPh sb="0" eb="4">
      <t>ユウビンバンゴウ</t>
    </rPh>
    <phoneticPr fontId="2"/>
  </si>
  <si>
    <t>〒920-0024</t>
  </si>
  <si>
    <t>利益：</t>
    <rPh sb="0" eb="2">
      <t>リエキ</t>
    </rPh>
    <phoneticPr fontId="2"/>
  </si>
  <si>
    <t>←こちらに上乗せする利益を入力ください。</t>
    <rPh sb="5" eb="7">
      <t>ウワノ</t>
    </rPh>
    <rPh sb="10" eb="12">
      <t>リエキ</t>
    </rPh>
    <rPh sb="13" eb="15">
      <t>ニュウリョク</t>
    </rPh>
    <phoneticPr fontId="2"/>
  </si>
  <si>
    <t>住所</t>
    <rPh sb="0" eb="2">
      <t>ジュウショ</t>
    </rPh>
    <phoneticPr fontId="2"/>
  </si>
  <si>
    <t>石川県金沢市西念4丁目24-21</t>
  </si>
  <si>
    <t>電話番号</t>
    <rPh sb="0" eb="2">
      <t>デンワ</t>
    </rPh>
    <rPh sb="2" eb="4">
      <t>バンゴウ</t>
    </rPh>
    <phoneticPr fontId="2"/>
  </si>
  <si>
    <t>076-222-1111</t>
  </si>
  <si>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</si>
  <si>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</si>
  <si>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</si>
  <si>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【Point】回収期間が5年以内に収まる方が受注率が高くなります。</t>
    <rPh sb="7" eb="9">
      <t>カイシュウ</t>
    </rPh>
    <rPh sb="9" eb="11">
      <t>キカン</t>
    </rPh>
    <rPh sb="13" eb="14">
      <t>ネン</t>
    </rPh>
    <rPh sb="14" eb="16">
      <t>イナイ</t>
    </rPh>
    <rPh sb="17" eb="18">
      <t>オサ</t>
    </rPh>
    <rPh sb="20" eb="21">
      <t>ホウ</t>
    </rPh>
    <rPh sb="22" eb="24">
      <t>ジュチュウ</t>
    </rPh>
    <rPh sb="24" eb="25">
      <t>リツ</t>
    </rPh>
    <rPh sb="26" eb="27">
      <t>タカ</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</si>
  <si>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</si>
  <si>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</si>
  <si>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</si>
  <si>
    <t>シート内容</t>
    <rPh sb="3" eb="5">
      <t>ナイヨウ</t>
    </rPh>
    <phoneticPr fontId="2"/>
  </si>
  <si>
    <r>
      <t>※シートを選ぶ際の基本は</t>
    </r>
    <r>
      <rPr>
        <b/>
        <sz val="11"/>
        <color rgb="FFFF0000"/>
        <rFont val="Meiryo UI"/>
        <family val="3"/>
        <charset val="128"/>
      </rPr>
      <t>①～④は全て選択</t>
    </r>
    <r>
      <rPr>
        <b/>
        <sz val="11"/>
        <color theme="1" tint="0.249977111117893"/>
        <rFont val="Meiryo UI"/>
        <family val="3"/>
        <charset val="128"/>
      </rPr>
      <t>。</t>
    </r>
    <r>
      <rPr>
        <sz val="11"/>
        <color theme="1" tint="0.249977111117893"/>
        <rFont val="Meiryo UI"/>
        <family val="3"/>
        <charset val="128"/>
      </rPr>
      <t>　</t>
    </r>
    <r>
      <rPr>
        <b/>
        <sz val="11"/>
        <color rgb="FFFF0000"/>
        <rFont val="Meiryo UI"/>
        <family val="3"/>
        <charset val="128"/>
      </rPr>
      <t>⑤はいづれか１つ選択</t>
    </r>
    <r>
      <rPr>
        <sz val="11"/>
        <color theme="1" tint="0.249977111117893"/>
        <rFont val="Meiryo UI"/>
        <family val="3"/>
        <charset val="128"/>
      </rPr>
      <t>。</t>
    </r>
    <r>
      <rPr>
        <b/>
        <sz val="11"/>
        <color rgb="FFFF0000"/>
        <rFont val="Meiryo UI"/>
        <family val="3"/>
        <charset val="128"/>
      </rPr>
      <t>⑥・⑦それぞれを選択</t>
    </r>
    <r>
      <rPr>
        <sz val="11"/>
        <color theme="1" tint="0.249977111117893"/>
        <rFont val="Meiryo UI"/>
        <family val="3"/>
        <charset val="128"/>
      </rPr>
      <t>。</t>
    </r>
    <r>
      <rPr>
        <b/>
        <sz val="11"/>
        <color rgb="FFFF0000"/>
        <rFont val="Meiryo UI"/>
        <family val="3"/>
        <charset val="128"/>
      </rPr>
      <t>⑩内訳を選択</t>
    </r>
    <rPh sb="5" eb="6">
      <t>エラ</t>
    </rPh>
    <rPh sb="7" eb="8">
      <t>サイ</t>
    </rPh>
    <rPh sb="9" eb="11">
      <t>キホン</t>
    </rPh>
    <rPh sb="16" eb="17">
      <t>スベ</t>
    </rPh>
    <rPh sb="18" eb="20">
      <t>センタク</t>
    </rPh>
    <rPh sb="30" eb="32">
      <t>センタク</t>
    </rPh>
    <rPh sb="41" eb="43">
      <t>センタク</t>
    </rPh>
    <rPh sb="45" eb="47">
      <t>ウチワケ</t>
    </rPh>
    <rPh sb="48" eb="50">
      <t>センタク</t>
    </rPh>
    <phoneticPr fontId="2"/>
  </si>
  <si>
    <t>①表紙</t>
    <rPh sb="1" eb="3">
      <t>ヒョウシ</t>
    </rPh>
    <phoneticPr fontId="2"/>
  </si>
  <si>
    <t>表紙です</t>
    <rPh sb="0" eb="2">
      <t>ヒョウシ</t>
    </rPh>
    <phoneticPr fontId="2"/>
  </si>
  <si>
    <t>②前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</si>
  <si>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</si>
  <si>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③後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</si>
  <si>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</si>
  <si>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④前後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</si>
  <si>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</si>
  <si>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⑤一式</t>
    <rPh sb="1" eb="3">
      <t>イッシキ</t>
    </rPh>
    <phoneticPr fontId="2"/>
  </si>
  <si>
    <r>
      <t>細かな詳細などの記載がないお見積り。金額を上乗せした際に回収期間が5年以上になる場合などで利用。</t>
    </r>
    <r>
      <rPr>
        <b/>
        <sz val="9"/>
        <color rgb="FFFF0000"/>
        <rFont val="Meiryo UI"/>
        <family val="3"/>
        <charset val="128"/>
      </rPr>
      <t>回収期間非表示</t>
    </r>
    <rPh sb="0" eb="1">
      <t>コマ</t>
    </rPh>
    <rPh sb="3" eb="5">
      <t>ショウサイ</t>
    </rPh>
    <rPh sb="8" eb="10">
      <t>キサイ</t>
    </rPh>
    <rPh sb="14" eb="16">
      <t>ミツモ</t>
    </rPh>
    <rPh sb="18" eb="20">
      <t>キンガク</t>
    </rPh>
    <rPh sb="21" eb="23">
      <t>ウワノ</t>
    </rPh>
    <rPh sb="26" eb="27">
      <t>サイ</t>
    </rPh>
    <rPh sb="28" eb="30">
      <t>カイシュウ</t>
    </rPh>
    <rPh sb="30" eb="32">
      <t>キカン</t>
    </rPh>
    <rPh sb="34" eb="35">
      <t>ネン</t>
    </rPh>
    <rPh sb="35" eb="37">
      <t>イジョウ</t>
    </rPh>
    <rPh sb="40" eb="42">
      <t>バアイ</t>
    </rPh>
    <rPh sb="45" eb="47">
      <t>リヨウ</t>
    </rPh>
    <rPh sb="48" eb="52">
      <t>カイシュウキカン</t>
    </rPh>
    <rPh sb="52" eb="55">
      <t>ヒヒョウジ</t>
    </rPh>
    <phoneticPr fontId="2"/>
  </si>
  <si>
    <t>⑤詳細</t>
    <rPh sb="1" eb="3">
      <t>ショウサイ</t>
    </rPh>
    <phoneticPr fontId="2"/>
  </si>
  <si>
    <r>
      <t>細かな詳細の記載のあるお見積り。『⑤一式』同様回収期間の記載がない見積です。</t>
    </r>
    <r>
      <rPr>
        <b/>
        <sz val="9"/>
        <color rgb="FFFF0000"/>
        <rFont val="Meiryo UI"/>
        <family val="3"/>
        <charset val="128"/>
      </rPr>
      <t>☆一番使います</t>
    </r>
    <rPh sb="0" eb="1">
      <t>コマ</t>
    </rPh>
    <rPh sb="3" eb="5">
      <t>ショウサイ</t>
    </rPh>
    <rPh sb="6" eb="8">
      <t>キサイ</t>
    </rPh>
    <rPh sb="12" eb="14">
      <t>ミツモ</t>
    </rPh>
    <rPh sb="18" eb="19">
      <t>イチ</t>
    </rPh>
    <rPh sb="19" eb="20">
      <t>シキ</t>
    </rPh>
    <rPh sb="21" eb="23">
      <t>ドウヨウ</t>
    </rPh>
    <rPh sb="23" eb="27">
      <t>カイシュウキカン</t>
    </rPh>
    <rPh sb="28" eb="30">
      <t>キサイ</t>
    </rPh>
    <rPh sb="33" eb="35">
      <t>ミツモリ</t>
    </rPh>
    <rPh sb="39" eb="41">
      <t>イチバン</t>
    </rPh>
    <rPh sb="41" eb="42">
      <t>ツカ</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</si>
  <si>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</si>
  <si>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</si>
  <si>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</si>
  <si>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</si>
  <si>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</si>
  <si>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</si>
  <si>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</si>
  <si>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⑥非なし</t>
    <rPh sb="1" eb="2">
      <t>ヒ</t>
    </rPh>
    <phoneticPr fontId="2"/>
  </si>
  <si>
    <t>非常灯がない物件のお見積り。※見積作成の際にバズエリア側で該当のシート以外を非表示にしております。</t>
    <rPh sb="0" eb="3">
      <t>ヒジョウトウ</t>
    </rPh>
    <rPh sb="6" eb="8">
      <t>ブッケン</t>
    </rPh>
    <rPh sb="10" eb="12">
      <t>ミツモ</t>
    </rPh>
    <rPh sb="15" eb="17">
      <t>ミツモリ</t>
    </rPh>
    <rPh sb="17" eb="19">
      <t>サクセイ</t>
    </rPh>
    <rPh sb="20" eb="21">
      <t>サイ</t>
    </rPh>
    <rPh sb="27" eb="28">
      <t>ガワ</t>
    </rPh>
    <rPh sb="29" eb="31">
      <t>ガイトウ</t>
    </rPh>
    <rPh sb="35" eb="37">
      <t>イガイ</t>
    </rPh>
    <rPh sb="38" eb="41">
      <t>ヒヒョウジ</t>
    </rPh>
    <phoneticPr fontId="2"/>
  </si>
  <si>
    <t>⑥非あり</t>
    <rPh sb="1" eb="2">
      <t>ヒ</t>
    </rPh>
    <phoneticPr fontId="2"/>
  </si>
  <si>
    <t>非常灯がある物件のお見積り。※見積作成の際にバズエリア側で該当のシート以外を非表示にしております。</t>
    <rPh sb="0" eb="3">
      <t>ヒジョウトウ</t>
    </rPh>
    <rPh sb="6" eb="8">
      <t>ブッケン</t>
    </rPh>
    <rPh sb="10" eb="12">
      <t>ミツモ</t>
    </rPh>
    <rPh sb="15" eb="17">
      <t>ミツモリ</t>
    </rPh>
    <rPh sb="17" eb="19">
      <t>サクセイ</t>
    </rPh>
    <rPh sb="20" eb="21">
      <t>サイ</t>
    </rPh>
    <rPh sb="27" eb="28">
      <t>ガワ</t>
    </rPh>
    <rPh sb="29" eb="31">
      <t>ガイトウ</t>
    </rPh>
    <rPh sb="35" eb="37">
      <t>イガイ</t>
    </rPh>
    <rPh sb="38" eb="41">
      <t>ヒヒョウジ</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</si>
  <si>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</si>
  <si>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</si>
  <si>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</si>
  <si>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</si>
  <si>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⑩内訳</t>
    <rPh sb="1" eb="3">
      <t>ウチワケ</t>
    </rPh>
    <phoneticPr fontId="2"/>
  </si>
  <si>
    <t>照明のビフォーアフターです。</t>
    <rPh sb="0" eb="2">
      <t>ショウメイ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</si>
</sst>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s>
  <fonts count="158">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b/>
      <sz val="11"/>
      <color rgb="FFFF0000"/>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u/>
      <sz val="11"/>
      <color theme="10"/>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b/>
      <sz val="22"/>
      <name val="メイリオ"/>
      <family val="3"/>
      <charset val="128"/>
    </font>
    <font>
      <sz val="10"/>
      <color theme="1" tint="0.249977111117893"/>
      <name val="メイリオ"/>
      <family val="3"/>
      <charset val="128"/>
    </font>
    <font>
      <b/>
      <sz val="14"/>
      <color theme="1" tint="0.249977111117893"/>
      <name val="メイリオ"/>
      <family val="3"/>
      <charset val="128"/>
    </font>
    <font>
      <b/>
      <u/>
      <sz val="22"/>
      <color theme="1" tint="0.249977111117893"/>
      <name val="メイリオ"/>
      <family val="3"/>
      <charset val="128"/>
    </font>
    <font>
      <b/>
      <sz val="20"/>
      <color theme="1" tint="0.249977111117893"/>
      <name val="メイリオ"/>
      <family val="3"/>
      <charset val="128"/>
    </font>
    <font>
      <b/>
      <u/>
      <sz val="20"/>
      <color theme="1"/>
      <name val="游ゴシック"/>
      <family val="3"/>
      <charset val="128"/>
      <scheme val="minor"/>
    </font>
    <font>
      <sz val="11"/>
      <color theme="1"/>
      <name val="游ゴシック"/>
      <family val="3"/>
      <charset val="128"/>
      <scheme val="minor"/>
    </font>
    <font>
      <i/>
      <sz val="9"/>
      <color rgb="FF666666"/>
      <name val="Aptos Narrow"/>
      <family val="2"/>
    </font>
    <font>
      <b/>
      <sz val="11"/>
      <color rgb="FFFFFFFF"/>
      <name val="Meiryo UI"/>
      <family val="3"/>
      <charset val="128"/>
    </font>
    <font>
      <sz val="11"/>
      <name val="Meiryo UI"/>
      <family val="3"/>
      <charset val="128"/>
    </font>
    <font>
      <b/>
      <sz val="11"/>
      <name val="Meiryo UI"/>
      <family val="3"/>
      <charset val="128"/>
    </font>
    <font>
      <sz val="6"/>
      <name val="游ゴシック"/>
      <family val="3"/>
      <charset val="128"/>
      <scheme val="minor"/>
    </font>
    <font>
      <b/>
      <sz val="16"/>
      <color rgb="FFFFFFFF"/>
      <name val="Meiryo UI"/>
      <family val="3"/>
      <charset val="128"/>
    </font>
  </fonts>
  <fills count="4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2" tint="-9.9978637043366805E-2"/>
        <bgColor indexed="64"/>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0" tint="-0.34998626667073579"/>
        <bgColor indexed="64"/>
      </patternFill>
    </fill>
    <fill>
      <patternFill patternType="solid">
        <fgColor rgb="FFC00000"/>
      </patternFill>
    </fill>
    <fill>
      <patternFill patternType="solid">
        <fgColor rgb="FFFFF2CC"/>
      </patternFill>
    </fill>
    <fill>
      <patternFill patternType="solid">
        <fgColor rgb="FFD9E1F2"/>
      </patternFill>
    </fill>
    <fill>
      <patternFill patternType="solid">
        <fgColor rgb="FF1F4E78"/>
      </patternFill>
    </fill>
  </fills>
  <borders count="250">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style="thin">
        <color theme="0" tint="-0.499984740745262"/>
      </bottom>
      <diagonal/>
    </border>
    <border>
      <left style="medium">
        <color theme="0" tint="-0.499984740745262"/>
      </left>
      <right style="medium">
        <color theme="0" tint="-0.499984740745262"/>
      </right>
      <top/>
      <bottom/>
      <diagonal/>
    </border>
    <border>
      <left style="medium">
        <color theme="0" tint="-0.499984740745262"/>
      </left>
      <right/>
      <top/>
      <bottom/>
      <diagonal/>
    </border>
    <border>
      <left/>
      <right style="medium">
        <color theme="0" tint="-0.499984740745262"/>
      </right>
      <top/>
      <bottom/>
      <diagonal/>
    </border>
    <border>
      <left style="thin">
        <color rgb="FFD0D0D0"/>
      </left>
      <right style="medium">
        <color rgb="FF00000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medium">
        <color rgb="FF000000"/>
      </left>
      <right style="thin">
        <color rgb="FFD0D0D0"/>
      </right>
      <top style="thin">
        <color rgb="FFD0D0D0"/>
      </top>
      <bottom style="medium">
        <color rgb="FF000000"/>
      </bottom>
      <diagonal/>
    </border>
    <border>
      <left style="thin">
        <color rgb="FFD0D0D0"/>
      </left>
      <right style="medium">
        <color rgb="FF00000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medium">
        <color rgb="FF00000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medium">
        <color rgb="FF000000"/>
      </left>
      <right style="thin">
        <color rgb="FFD0D0D0"/>
      </right>
      <top style="medium">
        <color rgb="FF000000"/>
      </top>
      <bottom style="thin">
        <color rgb="FFD0D0D0"/>
      </bottom>
      <diagonal/>
    </border>
  </borders>
  <cellStyleXfs count="7">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151" fillId="0" borderId="0">
      <alignment vertical="top"/>
    </xf>
  </cellStyleXfs>
  <cellXfs count="1431">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23" borderId="132" xfId="0" applyFont="1" applyFill="1" applyBorder="1">
      <alignment vertical="center"/>
    </xf>
    <xf numFmtId="0" fontId="37" fillId="23" borderId="135" xfId="0" applyFont="1" applyFill="1" applyBorder="1">
      <alignment vertical="center"/>
    </xf>
    <xf numFmtId="0" fontId="37" fillId="23" borderId="138" xfId="0" applyFont="1" applyFill="1" applyBorder="1">
      <alignment vertical="center"/>
    </xf>
    <xf numFmtId="0" fontId="37" fillId="24" borderId="132" xfId="0" applyFont="1" applyFill="1" applyBorder="1">
      <alignmen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3" fillId="2" borderId="0" xfId="0" applyFont="1" applyFill="1">
      <alignment vertical="center"/>
    </xf>
    <xf numFmtId="0" fontId="93" fillId="5" borderId="131" xfId="0" applyFont="1" applyFill="1" applyBorder="1">
      <alignment vertical="center"/>
    </xf>
    <xf numFmtId="0" fontId="93" fillId="2" borderId="0" xfId="0" applyFont="1" applyFill="1" applyAlignment="1">
      <alignment horizontal="right" vertical="center"/>
    </xf>
    <xf numFmtId="0" fontId="94" fillId="2" borderId="0" xfId="0" applyFont="1" applyFill="1">
      <alignment vertical="center"/>
    </xf>
    <xf numFmtId="0" fontId="95" fillId="2" borderId="0" xfId="0" applyFont="1" applyFill="1" applyAlignment="1">
      <alignment horizontal="right" vertical="center"/>
    </xf>
    <xf numFmtId="0" fontId="37" fillId="25" borderId="141" xfId="0" applyFont="1" applyFill="1" applyBorder="1">
      <alignmen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37" fillId="24" borderId="138" xfId="0" applyFont="1" applyFill="1" applyBorder="1">
      <alignment vertical="center"/>
    </xf>
    <xf numFmtId="0" fontId="1" fillId="0" borderId="0" xfId="0" applyFont="1" applyAlignment="1">
      <alignment vertical="center" shrinkToFit="1"/>
    </xf>
    <xf numFmtId="0" fontId="99" fillId="2" borderId="0" xfId="0" applyFont="1" applyFill="1">
      <alignment vertical="center"/>
    </xf>
    <xf numFmtId="0" fontId="100" fillId="2" borderId="0" xfId="0" applyFont="1" applyFill="1">
      <alignment vertical="center"/>
    </xf>
    <xf numFmtId="0" fontId="101" fillId="2" borderId="0" xfId="0" applyFont="1" applyFill="1">
      <alignment vertical="center"/>
    </xf>
    <xf numFmtId="0" fontId="99" fillId="2" borderId="144" xfId="0" applyFont="1" applyFill="1" applyBorder="1">
      <alignment vertical="center"/>
    </xf>
    <xf numFmtId="0" fontId="101" fillId="10" borderId="0" xfId="0" applyFont="1" applyFill="1">
      <alignment vertical="center"/>
    </xf>
    <xf numFmtId="0" fontId="98"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12"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6"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27" borderId="2" xfId="1" applyFont="1" applyFill="1" applyBorder="1" applyAlignment="1">
      <alignment horizontal="right" vertical="center" shrinkToFit="1"/>
    </xf>
    <xf numFmtId="38" fontId="36" fillId="27" borderId="2" xfId="0" applyNumberFormat="1" applyFont="1" applyFill="1" applyBorder="1" applyAlignment="1">
      <alignment horizontal="right" vertical="center" shrinkToFit="1"/>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38" fontId="36" fillId="27" borderId="85" xfId="1" applyFont="1" applyFill="1" applyBorder="1" applyAlignment="1">
      <alignment horizontal="right" vertical="center" shrinkToFit="1"/>
    </xf>
    <xf numFmtId="38" fontId="36" fillId="27" borderId="85" xfId="0" applyNumberFormat="1" applyFont="1" applyFill="1" applyBorder="1" applyAlignment="1">
      <alignment horizontal="right" vertical="center" shrinkToFit="1"/>
    </xf>
    <xf numFmtId="38" fontId="36" fillId="12" borderId="85" xfId="1" applyFont="1" applyFill="1" applyBorder="1" applyAlignment="1">
      <alignment horizontal="right" vertical="center" shrinkToFit="1"/>
    </xf>
    <xf numFmtId="38" fontId="36" fillId="12" borderId="129" xfId="1" applyFont="1" applyFill="1" applyBorder="1" applyAlignment="1">
      <alignment horizontal="right"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8"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8"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7" fillId="0" borderId="0" xfId="0" applyFont="1">
      <alignment vertical="center"/>
    </xf>
    <xf numFmtId="0" fontId="118" fillId="0" borderId="0" xfId="0" applyFont="1" applyAlignment="1">
      <alignment vertical="center" wrapText="1"/>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38" fontId="36" fillId="12" borderId="8" xfId="1" applyFont="1" applyFill="1" applyBorder="1" applyAlignment="1">
      <alignment horizontal="right"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5"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5"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5" borderId="0" xfId="1" applyFont="1" applyFill="1" applyAlignment="1">
      <alignment vertical="center" shrinkToFit="1"/>
    </xf>
    <xf numFmtId="0" fontId="35" fillId="36"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37" fillId="24"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9"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2"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7"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3" borderId="210" xfId="0" applyFont="1" applyFill="1" applyBorder="1" applyAlignment="1">
      <alignment horizontal="center" vertical="center"/>
    </xf>
    <xf numFmtId="0" fontId="1" fillId="33"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3" borderId="0" xfId="1" applyFont="1" applyFill="1" applyAlignment="1">
      <alignment horizontal="center" vertical="center"/>
    </xf>
    <xf numFmtId="0" fontId="0" fillId="33" borderId="0" xfId="0" applyFill="1">
      <alignment vertical="center"/>
    </xf>
    <xf numFmtId="0" fontId="118" fillId="33" borderId="0" xfId="0" applyFont="1" applyFill="1">
      <alignment vertical="center"/>
    </xf>
    <xf numFmtId="9" fontId="96" fillId="4" borderId="0" xfId="5" applyNumberFormat="1" applyFill="1" applyAlignment="1">
      <alignment horizontal="left" vertical="center"/>
    </xf>
    <xf numFmtId="0" fontId="1" fillId="14" borderId="0" xfId="0" applyFont="1" applyFill="1" applyAlignment="1">
      <alignment vertical="center" wrapText="1"/>
    </xf>
    <xf numFmtId="2" fontId="1" fillId="33" borderId="0" xfId="0" applyNumberFormat="1" applyFont="1" applyFill="1" applyAlignment="1">
      <alignment horizontal="center" vertical="center" wrapText="1"/>
    </xf>
    <xf numFmtId="0" fontId="137" fillId="0" borderId="0" xfId="0" applyFont="1" applyAlignment="1">
      <alignment horizontal="left" vertical="center"/>
    </xf>
    <xf numFmtId="0" fontId="137" fillId="30" borderId="0" xfId="0" applyFont="1" applyFill="1" applyAlignment="1">
      <alignment horizontal="left" vertical="center"/>
    </xf>
    <xf numFmtId="0" fontId="137" fillId="4" borderId="0" xfId="0" applyFont="1" applyFill="1" applyAlignment="1">
      <alignment horizontal="left" vertical="center"/>
    </xf>
    <xf numFmtId="38" fontId="137" fillId="14" borderId="0" xfId="1" applyFont="1" applyFill="1" applyBorder="1" applyAlignment="1">
      <alignment horizontal="left" vertical="center"/>
    </xf>
    <xf numFmtId="38" fontId="137" fillId="33" borderId="0" xfId="1" applyFont="1" applyFill="1" applyBorder="1" applyAlignment="1">
      <alignment horizontal="left" vertical="center"/>
    </xf>
    <xf numFmtId="182" fontId="137" fillId="4" borderId="0" xfId="0" applyNumberFormat="1" applyFont="1" applyFill="1" applyAlignment="1">
      <alignment horizontal="left" vertical="center"/>
    </xf>
    <xf numFmtId="182" fontId="137" fillId="14" borderId="0" xfId="0" applyNumberFormat="1" applyFont="1" applyFill="1" applyAlignment="1">
      <alignment horizontal="left" vertical="center"/>
    </xf>
    <xf numFmtId="182" fontId="137" fillId="33" borderId="0" xfId="0" applyNumberFormat="1" applyFont="1" applyFill="1" applyAlignment="1">
      <alignment horizontal="left" vertical="center"/>
    </xf>
    <xf numFmtId="0" fontId="137" fillId="10" borderId="0" xfId="0" applyFont="1" applyFill="1" applyAlignment="1">
      <alignment horizontal="left" vertical="center"/>
    </xf>
    <xf numFmtId="182" fontId="137" fillId="10" borderId="0" xfId="0" applyNumberFormat="1" applyFont="1" applyFill="1" applyAlignment="1">
      <alignment horizontal="left" vertical="center"/>
    </xf>
    <xf numFmtId="182" fontId="137" fillId="0" borderId="0" xfId="0" applyNumberFormat="1" applyFont="1" applyAlignment="1">
      <alignment horizontal="left" vertical="center"/>
    </xf>
    <xf numFmtId="0" fontId="138" fillId="0" borderId="0" xfId="5" applyFont="1" applyFill="1" applyBorder="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9"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37" fillId="8" borderId="0" xfId="0" applyFont="1" applyFill="1" applyAlignment="1">
      <alignment horizontal="left" vertical="center"/>
    </xf>
    <xf numFmtId="182" fontId="136" fillId="8" borderId="0" xfId="0" applyNumberFormat="1" applyFont="1" applyFill="1" applyAlignment="1">
      <alignment horizontal="left" vertical="center"/>
    </xf>
    <xf numFmtId="3" fontId="137" fillId="8" borderId="0" xfId="0" applyNumberFormat="1" applyFont="1" applyFill="1" applyAlignment="1">
      <alignment horizontal="lef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36" fillId="0" borderId="0" xfId="0" applyFont="1" applyAlignment="1">
      <alignment horizontal="left" vertical="center"/>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9"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7" fillId="2" borderId="0" xfId="0" applyFont="1" applyFill="1" applyAlignment="1">
      <alignment vertical="center" shrinkToFit="1"/>
    </xf>
    <xf numFmtId="0" fontId="142" fillId="2" borderId="0" xfId="0" applyFont="1" applyFill="1" applyAlignment="1">
      <alignment vertical="center" shrinkToFit="1"/>
    </xf>
    <xf numFmtId="0" fontId="97" fillId="2" borderId="0" xfId="0" applyFont="1" applyFill="1" applyAlignment="1">
      <alignment horizontal="center" vertical="center" shrinkToFit="1"/>
    </xf>
    <xf numFmtId="0" fontId="97" fillId="2" borderId="0" xfId="0" applyFont="1" applyFill="1">
      <alignment vertical="center"/>
    </xf>
    <xf numFmtId="0" fontId="141" fillId="2" borderId="0" xfId="0" applyFont="1" applyFill="1" applyAlignment="1">
      <alignment vertical="center" shrinkToFit="1"/>
    </xf>
    <xf numFmtId="0" fontId="141"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3" fillId="2" borderId="0" xfId="0" applyFont="1" applyFill="1" applyAlignment="1">
      <alignment vertical="center" shrinkToFit="1"/>
    </xf>
    <xf numFmtId="0" fontId="15" fillId="2" borderId="0" xfId="0" applyFont="1" applyFill="1" applyAlignment="1">
      <alignment horizontal="center" vertical="center" shrinkToFit="1"/>
    </xf>
    <xf numFmtId="0" fontId="97" fillId="10" borderId="4" xfId="0" applyFont="1" applyFill="1" applyBorder="1" applyAlignment="1">
      <alignment horizontal="center" vertical="center" shrinkToFit="1"/>
    </xf>
    <xf numFmtId="0" fontId="97" fillId="2" borderId="4" xfId="0" applyFont="1" applyFill="1" applyBorder="1" applyAlignment="1">
      <alignment horizontal="center" vertical="center" shrinkToFit="1"/>
    </xf>
    <xf numFmtId="0" fontId="97" fillId="18" borderId="1" xfId="0" applyFont="1" applyFill="1" applyBorder="1" applyAlignment="1">
      <alignment horizontal="center" vertical="center" shrinkToFit="1"/>
    </xf>
    <xf numFmtId="0" fontId="97" fillId="10" borderId="219" xfId="0" applyFont="1" applyFill="1" applyBorder="1" applyAlignment="1">
      <alignment horizontal="center" vertical="center" shrinkToFit="1"/>
    </xf>
    <xf numFmtId="0" fontId="97" fillId="2" borderId="219" xfId="0" applyFont="1" applyFill="1" applyBorder="1" applyAlignment="1">
      <alignment horizontal="center" vertical="center" shrinkToFit="1"/>
    </xf>
    <xf numFmtId="0" fontId="97" fillId="2" borderId="220" xfId="0" applyFont="1" applyFill="1" applyBorder="1" applyAlignment="1">
      <alignment horizontal="center" vertical="center" shrinkToFit="1"/>
    </xf>
    <xf numFmtId="189" fontId="97" fillId="2" borderId="222" xfId="0" applyNumberFormat="1" applyFont="1" applyFill="1" applyBorder="1" applyAlignment="1">
      <alignment horizontal="center" vertical="center" shrinkToFit="1"/>
    </xf>
    <xf numFmtId="0" fontId="97"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183" fontId="66" fillId="2" borderId="10" xfId="0" applyNumberFormat="1" applyFont="1" applyFill="1" applyBorder="1" applyAlignment="1">
      <alignment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31" fillId="2" borderId="0" xfId="0" applyFont="1" applyFill="1" applyAlignment="1">
      <alignment vertical="center" wrapText="1"/>
    </xf>
    <xf numFmtId="0" fontId="54" fillId="2" borderId="0" xfId="0" applyFont="1" applyFill="1">
      <alignment vertical="center"/>
    </xf>
    <xf numFmtId="0" fontId="99" fillId="2" borderId="84" xfId="0" applyFont="1" applyFill="1" applyBorder="1">
      <alignment vertical="center"/>
    </xf>
    <xf numFmtId="0" fontId="146" fillId="2" borderId="0" xfId="0" applyFont="1" applyFill="1">
      <alignment vertical="center"/>
    </xf>
    <xf numFmtId="0" fontId="35" fillId="38" borderId="3" xfId="0" applyFont="1" applyFill="1" applyBorder="1" applyAlignment="1">
      <alignment vertical="center" shrinkToFit="1"/>
    </xf>
    <xf numFmtId="0" fontId="35" fillId="5" borderId="190" xfId="0" applyFont="1" applyFill="1" applyBorder="1" applyAlignment="1">
      <alignment horizontal="left" vertical="center"/>
    </xf>
    <xf numFmtId="0" fontId="35" fillId="5" borderId="193" xfId="0" applyFont="1" applyFill="1" applyBorder="1" applyAlignment="1">
      <alignment horizontal="left" vertical="center"/>
    </xf>
    <xf numFmtId="0" fontId="36" fillId="8" borderId="2" xfId="0" quotePrefix="1" applyFont="1" applyFill="1" applyBorder="1" applyAlignment="1">
      <alignment vertical="center" shrinkToFit="1"/>
    </xf>
    <xf numFmtId="0" fontId="36" fillId="8" borderId="1" xfId="0" quotePrefix="1" applyFont="1" applyFill="1" applyBorder="1" applyAlignment="1">
      <alignment vertical="center" shrinkToFit="1"/>
    </xf>
    <xf numFmtId="0" fontId="36" fillId="8" borderId="4" xfId="0" quotePrefix="1" applyFont="1" applyFill="1" applyBorder="1" applyAlignment="1">
      <alignment vertical="center" shrinkToFit="1"/>
    </xf>
    <xf numFmtId="0" fontId="35" fillId="8" borderId="2" xfId="0" applyFont="1" applyFill="1" applyBorder="1" applyAlignment="1">
      <alignment vertical="center" shrinkToFit="1"/>
    </xf>
    <xf numFmtId="0" fontId="151" fillId="0" borderId="0" xfId="6">
      <alignment vertical="top"/>
    </xf>
    <xf numFmtId="0" fontId="152" fillId="0" borderId="0" xfId="6" applyFont="1">
      <alignment vertical="top"/>
    </xf>
    <xf numFmtId="0" fontId="153" fillId="39" borderId="0" xfId="6" applyFont="1" applyFill="1" applyAlignment="1">
      <alignment horizontal="left" vertical="center"/>
    </xf>
    <xf numFmtId="0" fontId="154" fillId="0" borderId="241" xfId="6" applyFont="1" applyBorder="1" applyAlignment="1">
      <alignment vertical="center"/>
    </xf>
    <xf numFmtId="0" fontId="154" fillId="0" borderId="242" xfId="6" applyFont="1" applyBorder="1" applyAlignment="1">
      <alignment vertical="center"/>
    </xf>
    <xf numFmtId="0" fontId="154" fillId="0" borderId="242" xfId="6" applyFont="1" applyBorder="1" applyAlignment="1">
      <alignment horizontal="center" vertical="top"/>
    </xf>
    <xf numFmtId="0" fontId="154" fillId="0" borderId="243" xfId="6" applyFont="1" applyBorder="1" applyAlignment="1">
      <alignment horizontal="center" vertical="center"/>
    </xf>
    <xf numFmtId="0" fontId="154" fillId="0" borderId="244" xfId="6" applyFont="1" applyBorder="1" applyAlignment="1">
      <alignment vertical="center"/>
    </xf>
    <xf numFmtId="0" fontId="154" fillId="0" borderId="245" xfId="6" applyFont="1" applyBorder="1" applyAlignment="1">
      <alignment vertical="center"/>
    </xf>
    <xf numFmtId="0" fontId="154" fillId="0" borderId="245" xfId="6" applyFont="1" applyBorder="1" applyAlignment="1">
      <alignment horizontal="center" vertical="top"/>
    </xf>
    <xf numFmtId="0" fontId="154" fillId="0" borderId="246" xfId="6" applyFont="1" applyBorder="1" applyAlignment="1">
      <alignment horizontal="center" vertical="center"/>
    </xf>
    <xf numFmtId="0" fontId="154" fillId="40" borderId="244" xfId="6" applyFont="1" applyFill="1" applyBorder="1" applyAlignment="1">
      <alignment vertical="center"/>
    </xf>
    <xf numFmtId="0" fontId="154" fillId="40" borderId="245" xfId="6" applyFont="1" applyFill="1" applyBorder="1" applyAlignment="1">
      <alignment vertical="center"/>
    </xf>
    <xf numFmtId="0" fontId="154" fillId="40" borderId="245" xfId="6" applyFont="1" applyFill="1" applyBorder="1" applyAlignment="1">
      <alignment horizontal="center" vertical="top"/>
    </xf>
    <xf numFmtId="0" fontId="154" fillId="40" borderId="246" xfId="6" applyFont="1" applyFill="1" applyBorder="1" applyAlignment="1">
      <alignment horizontal="center" vertical="center"/>
    </xf>
    <xf numFmtId="0" fontId="155" fillId="41" borderId="247" xfId="6" applyFont="1" applyFill="1" applyBorder="1" applyAlignment="1">
      <alignment horizontal="center" vertical="center"/>
    </xf>
    <xf numFmtId="0" fontId="155" fillId="41" borderId="248" xfId="6" applyFont="1" applyFill="1" applyBorder="1" applyAlignment="1">
      <alignment horizontal="center" vertical="center"/>
    </xf>
    <xf numFmtId="0" fontId="155" fillId="41" borderId="249" xfId="6" applyFont="1" applyFill="1" applyBorder="1" applyAlignment="1">
      <alignment horizontal="center" vertical="center"/>
    </xf>
    <xf numFmtId="0" fontId="36" fillId="0" borderId="0" xfId="0" applyFont="1" applyAlignment="1">
      <alignment horizontal="left" vertical="center"/>
    </xf>
    <xf numFmtId="0" fontId="53" fillId="34" borderId="202" xfId="0" applyFont="1" applyFill="1" applyBorder="1" applyAlignment="1">
      <alignment horizontal="center" vertical="center" shrinkToFit="1"/>
    </xf>
    <xf numFmtId="0" fontId="53" fillId="34" borderId="203" xfId="0" applyFont="1" applyFill="1" applyBorder="1" applyAlignment="1">
      <alignment horizontal="center" vertical="center" shrinkToFit="1"/>
    </xf>
    <xf numFmtId="0" fontId="53" fillId="34" borderId="204" xfId="0" applyFont="1" applyFill="1" applyBorder="1" applyAlignment="1">
      <alignment horizontal="center" vertical="center" shrinkToFit="1"/>
    </xf>
    <xf numFmtId="0" fontId="53" fillId="34" borderId="205" xfId="0" applyFont="1" applyFill="1" applyBorder="1" applyAlignment="1">
      <alignment horizontal="center" vertical="center" shrinkToFit="1"/>
    </xf>
    <xf numFmtId="0" fontId="53" fillId="34" borderId="206" xfId="0" applyFont="1" applyFill="1" applyBorder="1" applyAlignment="1">
      <alignment horizontal="center" vertical="center" shrinkToFit="1"/>
    </xf>
    <xf numFmtId="0" fontId="53" fillId="34" borderId="207" xfId="0" applyFont="1" applyFill="1" applyBorder="1" applyAlignment="1">
      <alignment horizontal="center"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29" borderId="1" xfId="0" applyFont="1" applyFill="1" applyBorder="1" applyAlignment="1">
      <alignment horizontal="center" vertical="center" shrinkToFit="1"/>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157" fillId="42" borderId="0" xfId="6"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98" fillId="2" borderId="0" xfId="0" applyFont="1" applyFill="1" applyAlignment="1">
      <alignment horizontal="center" vertical="center"/>
    </xf>
    <xf numFmtId="179" fontId="18" fillId="2" borderId="0" xfId="0" applyNumberFormat="1" applyFont="1" applyFill="1" applyAlignment="1">
      <alignment horizontal="center" vertical="center"/>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8" fontId="5" fillId="2" borderId="2" xfId="0" applyNumberFormat="1" applyFont="1" applyFill="1" applyBorder="1" applyAlignment="1">
      <alignment horizontal="center" vertical="center" shrinkToFit="1" readingOrder="1"/>
    </xf>
    <xf numFmtId="179" fontId="5" fillId="3" borderId="2"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179" fontId="19" fillId="2" borderId="0" xfId="0" applyNumberFormat="1" applyFont="1" applyFill="1" applyAlignment="1">
      <alignment horizontal="center" vertical="center"/>
    </xf>
    <xf numFmtId="18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0" fontId="13" fillId="2" borderId="0" xfId="0" applyFont="1" applyFill="1" applyAlignment="1">
      <alignment horizontal="left"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0" fontId="44" fillId="2" borderId="0" xfId="0" applyFont="1" applyFill="1" applyAlignment="1">
      <alignment horizontal="center" vertical="center"/>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9"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176" fontId="7" fillId="2" borderId="4" xfId="2" applyNumberFormat="1" applyFont="1" applyFill="1" applyBorder="1" applyAlignment="1">
      <alignment horizontal="center" vertical="center"/>
    </xf>
    <xf numFmtId="176" fontId="7" fillId="2" borderId="2" xfId="2" applyNumberFormat="1" applyFont="1" applyFill="1" applyBorder="1" applyAlignment="1">
      <alignment horizontal="center" vertical="center"/>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 fillId="3" borderId="6" xfId="0" applyNumberFormat="1" applyFont="1" applyFill="1" applyBorder="1" applyAlignment="1">
      <alignment horizontal="center" vertical="center" shrinkToFit="1" readingOrder="1"/>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0" xfId="0" applyFont="1" applyFill="1" applyAlignment="1">
      <alignment horizontal="center" vertical="center"/>
    </xf>
    <xf numFmtId="0" fontId="49" fillId="2" borderId="72" xfId="0"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0" fontId="148" fillId="2" borderId="0" xfId="0" applyFont="1" applyFill="1" applyAlignment="1">
      <alignment horizontal="left" vertical="center"/>
    </xf>
    <xf numFmtId="0" fontId="101" fillId="2" borderId="0" xfId="0" applyFont="1" applyFill="1" applyAlignment="1">
      <alignment horizontal="center" vertical="center"/>
    </xf>
    <xf numFmtId="0" fontId="149" fillId="2" borderId="0" xfId="0" applyFont="1" applyFill="1" applyAlignment="1">
      <alignment horizontal="center" vertical="center"/>
    </xf>
    <xf numFmtId="0" fontId="150" fillId="0" borderId="0" xfId="0" applyFont="1" applyAlignment="1">
      <alignment horizontal="center" vertical="center"/>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0" fontId="30" fillId="9" borderId="0" xfId="0" applyFont="1" applyFill="1" applyAlignment="1">
      <alignment horizontal="center" vertical="center"/>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8" xfId="0"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74" fillId="2" borderId="0" xfId="0" applyFont="1" applyFill="1" applyAlignment="1">
      <alignment horizontal="left"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0" fontId="66" fillId="10" borderId="3" xfId="0"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38" fontId="65" fillId="2" borderId="84" xfId="1" applyFont="1" applyFill="1" applyBorder="1" applyAlignment="1">
      <alignment horizontal="right" vertical="center"/>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183" fontId="66" fillId="2" borderId="2" xfId="1" applyNumberFormat="1" applyFont="1" applyFill="1" applyBorder="1" applyAlignment="1">
      <alignment horizontal="right" vertical="center" shrinkToFit="1"/>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38" fontId="66" fillId="14" borderId="30" xfId="1" applyFont="1" applyFill="1" applyBorder="1" applyAlignment="1">
      <alignment vertical="center"/>
    </xf>
    <xf numFmtId="38" fontId="65" fillId="18" borderId="231" xfId="1" applyFont="1" applyFill="1" applyBorder="1" applyAlignment="1">
      <alignmen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0" fontId="71" fillId="18" borderId="112" xfId="0" applyFont="1" applyFill="1" applyBorder="1" applyAlignment="1">
      <alignment horizontal="center" vertical="center" wrapText="1" shrinkToFit="1"/>
    </xf>
    <xf numFmtId="0" fontId="71" fillId="18" borderId="238" xfId="0" applyFont="1" applyFill="1" applyBorder="1" applyAlignment="1">
      <alignment horizontal="center" vertical="center" shrinkToFit="1"/>
    </xf>
    <xf numFmtId="0" fontId="71" fillId="18" borderId="113" xfId="0" applyFont="1" applyFill="1" applyBorder="1" applyAlignment="1">
      <alignment horizontal="center" vertical="center" shrinkToFit="1"/>
    </xf>
    <xf numFmtId="179" fontId="68" fillId="18" borderId="114" xfId="1" applyNumberFormat="1" applyFont="1" applyFill="1" applyBorder="1" applyAlignment="1">
      <alignment horizontal="center" vertical="center" shrinkToFit="1"/>
    </xf>
    <xf numFmtId="179" fontId="68" fillId="18" borderId="115" xfId="1" applyNumberFormat="1" applyFont="1" applyFill="1" applyBorder="1" applyAlignment="1">
      <alignment horizontal="center" vertical="center" shrinkToFit="1"/>
    </xf>
    <xf numFmtId="179" fontId="68" fillId="18" borderId="239" xfId="1" applyNumberFormat="1" applyFont="1" applyFill="1" applyBorder="1" applyAlignment="1">
      <alignment horizontal="center" vertical="center" shrinkToFit="1"/>
    </xf>
    <xf numFmtId="179" fontId="68" fillId="18" borderId="240" xfId="1" applyNumberFormat="1" applyFont="1" applyFill="1" applyBorder="1" applyAlignment="1">
      <alignment horizontal="center" vertical="center" shrinkToFit="1"/>
    </xf>
    <xf numFmtId="179" fontId="68" fillId="18" borderId="116" xfId="1" applyNumberFormat="1" applyFont="1" applyFill="1" applyBorder="1" applyAlignment="1">
      <alignment horizontal="center" vertical="center" shrinkToFit="1"/>
    </xf>
    <xf numFmtId="179" fontId="68" fillId="18" borderId="117" xfId="1" applyNumberFormat="1" applyFont="1" applyFill="1" applyBorder="1" applyAlignment="1">
      <alignment horizontal="center" vertical="center" shrinkToFit="1"/>
    </xf>
    <xf numFmtId="38" fontId="66" fillId="14" borderId="14" xfId="1" applyFont="1" applyFill="1" applyBorder="1" applyAlignment="1">
      <alignment horizontal="right" vertical="center"/>
    </xf>
    <xf numFmtId="0" fontId="61" fillId="2" borderId="235" xfId="0" applyFont="1" applyFill="1" applyBorder="1" applyAlignment="1">
      <alignment horizontal="left" vertical="center"/>
    </xf>
    <xf numFmtId="0" fontId="61" fillId="2" borderId="236" xfId="0" applyFont="1" applyFill="1" applyBorder="1" applyAlignment="1">
      <alignment horizontal="left" vertical="center"/>
    </xf>
    <xf numFmtId="0" fontId="61" fillId="2" borderId="237" xfId="0" applyFont="1" applyFill="1" applyBorder="1" applyAlignment="1">
      <alignment horizontal="left" vertical="center"/>
    </xf>
    <xf numFmtId="38" fontId="66" fillId="2" borderId="30" xfId="1" applyFont="1" applyFill="1" applyBorder="1" applyAlignment="1">
      <alignment horizontal="right" vertical="center"/>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4" fillId="2" borderId="0" xfId="0" applyFont="1" applyFill="1" applyAlignment="1">
      <alignment horizontal="left" vertical="center" shrinkToFit="1"/>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83" fontId="31" fillId="2" borderId="34" xfId="1" applyNumberFormat="1" applyFont="1" applyFill="1" applyBorder="1" applyAlignment="1">
      <alignment horizontal="right" vertical="center" shrinkToFit="1"/>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183" fontId="31" fillId="2" borderId="31" xfId="0" applyNumberFormat="1"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0" fontId="31" fillId="10" borderId="130" xfId="0" applyFont="1" applyFill="1" applyBorder="1" applyAlignment="1">
      <alignment horizontal="center" vertical="center" shrinkToFit="1"/>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63" fillId="2" borderId="0" xfId="0" applyFont="1" applyFill="1" applyAlignment="1">
      <alignment horizontal="left"/>
    </xf>
    <xf numFmtId="0" fontId="63" fillId="2" borderId="81"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145" fillId="2" borderId="0" xfId="0" applyFont="1" applyFill="1" applyAlignment="1">
      <alignment horizontal="left"/>
    </xf>
    <xf numFmtId="0" fontId="145" fillId="2" borderId="55" xfId="0" applyFont="1" applyFill="1" applyBorder="1" applyAlignment="1">
      <alignment horizontal="left"/>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0" fontId="13" fillId="2" borderId="127" xfId="0" applyFont="1" applyFill="1" applyBorder="1" applyAlignment="1">
      <alignment horizontal="left" vertical="center"/>
    </xf>
    <xf numFmtId="179" fontId="21" fillId="2" borderId="104" xfId="0" applyNumberFormat="1" applyFont="1" applyFill="1" applyBorder="1" applyAlignment="1">
      <alignment horizontal="right" vertical="center"/>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39"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5" fillId="2" borderId="0" xfId="0" applyFont="1" applyFill="1" applyAlignment="1">
      <alignment horizontal="center" vertical="center"/>
    </xf>
    <xf numFmtId="0" fontId="63" fillId="2" borderId="104" xfId="0" applyFont="1" applyFill="1" applyBorder="1" applyAlignment="1">
      <alignment horizontal="left"/>
    </xf>
    <xf numFmtId="0" fontId="133" fillId="34" borderId="173" xfId="0" applyFont="1" applyFill="1" applyBorder="1" applyAlignment="1">
      <alignment horizontal="center" vertical="center"/>
    </xf>
    <xf numFmtId="0" fontId="133" fillId="34" borderId="174" xfId="0" applyFont="1" applyFill="1" applyBorder="1" applyAlignment="1">
      <alignment horizontal="center" vertical="center"/>
    </xf>
    <xf numFmtId="0" fontId="133" fillId="34"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54" fillId="2" borderId="0" xfId="0" applyFont="1" applyFill="1" applyAlignment="1">
      <alignment horizontal="center" vertic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131" fillId="30" borderId="3" xfId="0" applyFont="1" applyFill="1" applyBorder="1" applyAlignment="1">
      <alignment horizontal="center"/>
    </xf>
    <xf numFmtId="0" fontId="15" fillId="30" borderId="3" xfId="0" applyFont="1" applyFill="1" applyBorder="1" applyAlignment="1">
      <alignment horizontal="center"/>
    </xf>
    <xf numFmtId="0" fontId="15" fillId="30" borderId="181" xfId="0" applyFont="1" applyFill="1" applyBorder="1" applyAlignment="1">
      <alignment horizontal="center"/>
    </xf>
    <xf numFmtId="0" fontId="15" fillId="30" borderId="15" xfId="0" applyFont="1" applyFill="1" applyBorder="1" applyAlignment="1">
      <alignment horizontal="center"/>
    </xf>
    <xf numFmtId="0" fontId="131" fillId="33" borderId="3" xfId="0" applyFont="1" applyFill="1" applyBorder="1" applyAlignment="1">
      <alignment horizontal="center"/>
    </xf>
    <xf numFmtId="0" fontId="15" fillId="33" borderId="3" xfId="0" applyFont="1" applyFill="1" applyBorder="1" applyAlignment="1">
      <alignment horizontal="center"/>
    </xf>
    <xf numFmtId="0" fontId="15" fillId="33" borderId="181" xfId="0" applyFont="1" applyFill="1" applyBorder="1" applyAlignment="1">
      <alignment horizontal="center"/>
    </xf>
    <xf numFmtId="0" fontId="131" fillId="31" borderId="15" xfId="0" applyFont="1" applyFill="1" applyBorder="1" applyAlignment="1">
      <alignment horizontal="center"/>
    </xf>
    <xf numFmtId="0" fontId="15" fillId="31" borderId="3" xfId="0" applyFont="1" applyFill="1" applyBorder="1" applyAlignment="1">
      <alignment horizontal="center"/>
    </xf>
    <xf numFmtId="0" fontId="128" fillId="30" borderId="3" xfId="0" applyFont="1" applyFill="1" applyBorder="1" applyAlignment="1">
      <alignment horizontal="center" vertical="center"/>
    </xf>
    <xf numFmtId="0" fontId="128" fillId="31"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3" borderId="5" xfId="0" applyFill="1" applyBorder="1" applyAlignment="1">
      <alignment horizontal="left" vertical="center"/>
    </xf>
    <xf numFmtId="0" fontId="0" fillId="33" borderId="30" xfId="0" applyFill="1" applyBorder="1" applyAlignment="1">
      <alignment horizontal="left" vertical="center"/>
    </xf>
    <xf numFmtId="0" fontId="0" fillId="33" borderId="15" xfId="0" applyFill="1" applyBorder="1" applyAlignment="1">
      <alignment horizontal="left" vertical="center"/>
    </xf>
    <xf numFmtId="0" fontId="13" fillId="14" borderId="3" xfId="0" applyFont="1" applyFill="1" applyBorder="1" applyAlignment="1">
      <alignment horizontal="center" vertical="center"/>
    </xf>
    <xf numFmtId="0" fontId="13" fillId="32" borderId="3" xfId="0" applyFont="1" applyFill="1" applyBorder="1" applyAlignment="1">
      <alignment horizontal="center" vertical="center"/>
    </xf>
    <xf numFmtId="0" fontId="125" fillId="2" borderId="0" xfId="0" applyFont="1" applyFill="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2" borderId="185" xfId="0" applyFont="1" applyFill="1" applyBorder="1" applyAlignment="1">
      <alignment horizontal="center" vertical="center"/>
    </xf>
    <xf numFmtId="0" fontId="13" fillId="32" borderId="186" xfId="0" applyFont="1" applyFill="1" applyBorder="1" applyAlignment="1">
      <alignment horizontal="center" vertical="center"/>
    </xf>
    <xf numFmtId="0" fontId="13" fillId="32"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28" fillId="30" borderId="5" xfId="0" applyFont="1" applyFill="1" applyBorder="1" applyAlignment="1">
      <alignment horizontal="center" vertical="center"/>
    </xf>
    <xf numFmtId="0" fontId="128" fillId="30" borderId="30" xfId="0" applyFont="1" applyFill="1" applyBorder="1" applyAlignment="1">
      <alignment horizontal="center" vertical="center"/>
    </xf>
    <xf numFmtId="0" fontId="128" fillId="30" borderId="15" xfId="0" applyFont="1" applyFill="1" applyBorder="1" applyAlignment="1">
      <alignment horizontal="center" vertical="center"/>
    </xf>
    <xf numFmtId="0" fontId="131" fillId="30" borderId="5" xfId="0" applyFont="1" applyFill="1" applyBorder="1" applyAlignment="1">
      <alignment horizontal="center"/>
    </xf>
    <xf numFmtId="0" fontId="15" fillId="30" borderId="30" xfId="0" applyFont="1" applyFill="1" applyBorder="1" applyAlignment="1">
      <alignment horizontal="center"/>
    </xf>
    <xf numFmtId="0" fontId="15" fillId="30" borderId="182" xfId="0" applyFont="1" applyFill="1" applyBorder="1" applyAlignment="1">
      <alignment horizont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43" fillId="10" borderId="0" xfId="0" applyFont="1" applyFill="1" applyAlignment="1">
      <alignment horizontal="center" vertical="center"/>
    </xf>
    <xf numFmtId="0" fontId="97" fillId="18" borderId="227" xfId="0" applyFont="1" applyFill="1" applyBorder="1" applyAlignment="1">
      <alignment horizontal="left" vertical="center" shrinkToFit="1"/>
    </xf>
    <xf numFmtId="0" fontId="97" fillId="18" borderId="228" xfId="0" applyFont="1" applyFill="1" applyBorder="1" applyAlignment="1">
      <alignment horizontal="left" vertical="center" shrinkToFit="1"/>
    </xf>
    <xf numFmtId="0" fontId="97" fillId="18" borderId="229" xfId="0" applyFont="1" applyFill="1" applyBorder="1" applyAlignment="1">
      <alignment horizontal="left" vertical="center" shrinkToFit="1"/>
    </xf>
    <xf numFmtId="38" fontId="97" fillId="18" borderId="227" xfId="0" applyNumberFormat="1" applyFont="1" applyFill="1" applyBorder="1" applyAlignment="1">
      <alignment horizontal="left" vertical="center" shrinkToFit="1"/>
    </xf>
    <xf numFmtId="0" fontId="139" fillId="2" borderId="218" xfId="0" applyFont="1" applyFill="1" applyBorder="1" applyAlignment="1">
      <alignment horizontal="center" vertical="center" shrinkToFit="1"/>
    </xf>
    <xf numFmtId="0" fontId="139" fillId="2" borderId="9" xfId="0" applyFont="1" applyFill="1" applyBorder="1" applyAlignment="1">
      <alignment horizontal="center" vertical="center" shrinkToFit="1"/>
    </xf>
    <xf numFmtId="0" fontId="139" fillId="2" borderId="225" xfId="0" applyFont="1" applyFill="1" applyBorder="1" applyAlignment="1">
      <alignment horizontal="center"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97" fillId="18" borderId="1" xfId="0" applyFont="1" applyFill="1" applyBorder="1" applyAlignment="1">
      <alignment horizontal="left" vertical="center" shrinkToFit="1"/>
    </xf>
    <xf numFmtId="0" fontId="97" fillId="18" borderId="223" xfId="0" applyFont="1" applyFill="1" applyBorder="1" applyAlignment="1">
      <alignment horizontal="left" vertical="center" shrinkToFit="1"/>
    </xf>
    <xf numFmtId="0" fontId="140" fillId="7" borderId="0" xfId="0" applyFont="1" applyFill="1" applyAlignment="1">
      <alignment horizontal="center"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35" fillId="2" borderId="0" xfId="0" applyFont="1" applyFill="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51" fillId="0" borderId="0" xfId="6"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4" borderId="135" xfId="0" applyFont="1" applyFill="1" applyBorder="1" applyAlignment="1">
      <alignment vertical="center"/>
    </xf>
  </cellXfs>
  <cellStyles count="7">
    <cellStyle name="Hyperlink" xfId="5" xr:uid="{00000000-000B-0000-0000-000008000000}"/>
    <cellStyle name="パーセント" xfId="2" builtinId="5"/>
    <cellStyle name="ハイパーリンク" xfId="4" builtinId="8"/>
    <cellStyle name="桁区切り" xfId="1" builtinId="6"/>
    <cellStyle name="標準" xfId="0" builtinId="0"/>
    <cellStyle name="標準 2" xfId="3" xr:uid="{9AA7E515-3FEC-4B2B-991D-7CD241E9D2FB}"/>
    <cellStyle name="標準 3" xfId="6" xr:uid="{A655D697-C6E7-490D-BE49-74331F429AC3}"/>
  </cellStyles>
  <dxfs count="106">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FFFF99"/>
      <color rgb="FFFF66FF"/>
      <color rgb="FFFFFFCC"/>
      <color rgb="FF00FF00"/>
      <color rgb="FFFFFF00"/>
      <color rgb="FF66FFFF"/>
      <color rgb="FFFF99CC"/>
      <color rgb="FFD9D9D9"/>
      <color rgb="FFFF99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142107</xdr:colOff>
      <xdr:row>29</xdr:row>
      <xdr:rowOff>56019</xdr:rowOff>
    </xdr:to>
    <xdr:pic>
      <xdr:nvPicPr>
        <xdr:cNvPr id="2" name="図 1">
          <a:extLst>
            <a:ext uri="{FF2B5EF4-FFF2-40B4-BE49-F238E27FC236}">
              <a16:creationId xmlns:a16="http://schemas.microsoft.com/office/drawing/2014/main" id="{8A83F89A-8595-479A-AF08-D6B42EB58C66}"/>
            </a:ext>
          </a:extLst>
        </xdr:cNvPr>
        <xdr:cNvPicPr>
          <a:picLocks noChangeAspect="1"/>
        </xdr:cNvPicPr>
      </xdr:nvPicPr>
      <xdr:blipFill>
        <a:blip xmlns:r="http://schemas.openxmlformats.org/officeDocument/2006/relationships" r:embed="rId1"/>
        <a:stretch>
          <a:fillRect/>
        </a:stretch>
      </xdr:blipFill>
      <xdr:spPr>
        <a:xfrm>
          <a:off x="10922000" y="7410450"/>
          <a:ext cx="2904357" cy="884694"/>
        </a:xfrm>
        <a:prstGeom prst="rect">
          <a:avLst/>
        </a:prstGeom>
      </xdr:spPr>
    </xdr:pic>
    <xdr:clientData/>
  </xdr:twoCellAnchor>
  <xdr:twoCellAnchor editAs="oneCell">
    <xdr:from>
      <xdr:col>0</xdr:col>
      <xdr:colOff>86592</xdr:colOff>
      <xdr:row>3</xdr:row>
      <xdr:rowOff>130467</xdr:rowOff>
    </xdr:from>
    <xdr:to>
      <xdr:col>46</xdr:col>
      <xdr:colOff>245054</xdr:colOff>
      <xdr:row>19</xdr:row>
      <xdr:rowOff>59411</xdr:rowOff>
    </xdr:to>
    <xdr:pic>
      <xdr:nvPicPr>
        <xdr:cNvPr id="3" name="図 2">
          <a:extLst>
            <a:ext uri="{FF2B5EF4-FFF2-40B4-BE49-F238E27FC236}">
              <a16:creationId xmlns:a16="http://schemas.microsoft.com/office/drawing/2014/main" id="{BBEB3FFA-926B-4E64-8B93-8BA60D64DD59}"/>
            </a:ext>
          </a:extLst>
        </xdr:cNvPr>
        <xdr:cNvPicPr>
          <a:picLocks noChangeAspect="1"/>
        </xdr:cNvPicPr>
      </xdr:nvPicPr>
      <xdr:blipFill>
        <a:blip xmlns:r="http://schemas.openxmlformats.org/officeDocument/2006/relationships" r:embed="rId2"/>
        <a:stretch>
          <a:fillRect/>
        </a:stretch>
      </xdr:blipFill>
      <xdr:spPr>
        <a:xfrm>
          <a:off x="86592" y="1171867"/>
          <a:ext cx="12867987" cy="4291394"/>
        </a:xfrm>
        <a:prstGeom prst="rect">
          <a:avLst/>
        </a:prstGeom>
      </xdr:spPr>
    </xdr:pic>
    <xdr:clientData/>
  </xdr:twoCellAnchor>
  <xdr:twoCellAnchor editAs="oneCell">
    <xdr:from>
      <xdr:col>0</xdr:col>
      <xdr:colOff>124402</xdr:colOff>
      <xdr:row>22</xdr:row>
      <xdr:rowOff>14143</xdr:rowOff>
    </xdr:from>
    <xdr:to>
      <xdr:col>25</xdr:col>
      <xdr:colOff>45961</xdr:colOff>
      <xdr:row>31</xdr:row>
      <xdr:rowOff>177935</xdr:rowOff>
    </xdr:to>
    <xdr:pic>
      <xdr:nvPicPr>
        <xdr:cNvPr id="4" name="図 3">
          <a:extLst>
            <a:ext uri="{FF2B5EF4-FFF2-40B4-BE49-F238E27FC236}">
              <a16:creationId xmlns:a16="http://schemas.microsoft.com/office/drawing/2014/main" id="{3DAE7641-DAFF-4C85-808E-2DD205BEAD21}"/>
            </a:ext>
          </a:extLst>
        </xdr:cNvPr>
        <xdr:cNvPicPr>
          <a:picLocks noChangeAspect="1"/>
        </xdr:cNvPicPr>
      </xdr:nvPicPr>
      <xdr:blipFill>
        <a:blip xmlns:r="http://schemas.openxmlformats.org/officeDocument/2006/relationships" r:embed="rId3"/>
        <a:stretch>
          <a:fillRect/>
        </a:stretch>
      </xdr:blipFill>
      <xdr:spPr>
        <a:xfrm>
          <a:off x="124402" y="6306993"/>
          <a:ext cx="6836709" cy="2659342"/>
        </a:xfrm>
        <a:prstGeom prst="rect">
          <a:avLst/>
        </a:prstGeom>
      </xdr:spPr>
    </xdr:pic>
    <xdr:clientData/>
  </xdr:twoCellAnchor>
  <xdr:twoCellAnchor editAs="oneCell">
    <xdr:from>
      <xdr:col>25</xdr:col>
      <xdr:colOff>146339</xdr:colOff>
      <xdr:row>22</xdr:row>
      <xdr:rowOff>42429</xdr:rowOff>
    </xdr:from>
    <xdr:to>
      <xdr:col>50</xdr:col>
      <xdr:colOff>26621</xdr:colOff>
      <xdr:row>30</xdr:row>
      <xdr:rowOff>190788</xdr:rowOff>
    </xdr:to>
    <xdr:pic>
      <xdr:nvPicPr>
        <xdr:cNvPr id="5" name="図 4">
          <a:extLst>
            <a:ext uri="{FF2B5EF4-FFF2-40B4-BE49-F238E27FC236}">
              <a16:creationId xmlns:a16="http://schemas.microsoft.com/office/drawing/2014/main" id="{12554966-21F0-4EC1-A672-9F21F9B3F851}"/>
            </a:ext>
          </a:extLst>
        </xdr:cNvPr>
        <xdr:cNvPicPr>
          <a:picLocks noChangeAspect="1"/>
        </xdr:cNvPicPr>
      </xdr:nvPicPr>
      <xdr:blipFill>
        <a:blip xmlns:r="http://schemas.openxmlformats.org/officeDocument/2006/relationships" r:embed="rId4"/>
        <a:stretch>
          <a:fillRect/>
        </a:stretch>
      </xdr:blipFill>
      <xdr:spPr>
        <a:xfrm>
          <a:off x="6972589" y="6335279"/>
          <a:ext cx="6795432" cy="23549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417420</xdr:colOff>
      <xdr:row>29</xdr:row>
      <xdr:rowOff>159552</xdr:rowOff>
    </xdr:to>
    <xdr:pic>
      <xdr:nvPicPr>
        <xdr:cNvPr id="2" name="図 1">
          <a:extLst>
            <a:ext uri="{FF2B5EF4-FFF2-40B4-BE49-F238E27FC236}">
              <a16:creationId xmlns:a16="http://schemas.microsoft.com/office/drawing/2014/main" id="{9308D54C-7249-424D-842E-EF9E5A024F0E}"/>
            </a:ext>
          </a:extLst>
        </xdr:cNvPr>
        <xdr:cNvPicPr>
          <a:picLocks noChangeAspect="1"/>
        </xdr:cNvPicPr>
      </xdr:nvPicPr>
      <xdr:blipFill>
        <a:blip xmlns:r="http://schemas.openxmlformats.org/officeDocument/2006/relationships" r:embed="rId1"/>
        <a:stretch>
          <a:fillRect/>
        </a:stretch>
      </xdr:blipFill>
      <xdr:spPr>
        <a:xfrm>
          <a:off x="197971" y="1056341"/>
          <a:ext cx="9417424" cy="57326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234950</xdr:colOff>
      <xdr:row>29</xdr:row>
      <xdr:rowOff>190043</xdr:rowOff>
    </xdr:to>
    <xdr:pic>
      <xdr:nvPicPr>
        <xdr:cNvPr id="2" name="図 1">
          <a:extLst>
            <a:ext uri="{FF2B5EF4-FFF2-40B4-BE49-F238E27FC236}">
              <a16:creationId xmlns:a16="http://schemas.microsoft.com/office/drawing/2014/main" id="{07A8EB11-E6CB-44A7-9C51-99ACD68EBCED}"/>
            </a:ext>
          </a:extLst>
        </xdr:cNvPr>
        <xdr:cNvPicPr>
          <a:picLocks noChangeAspect="1"/>
        </xdr:cNvPicPr>
      </xdr:nvPicPr>
      <xdr:blipFill>
        <a:blip xmlns:r="http://schemas.openxmlformats.org/officeDocument/2006/relationships" r:embed="rId1"/>
        <a:stretch>
          <a:fillRect/>
        </a:stretch>
      </xdr:blipFill>
      <xdr:spPr>
        <a:xfrm>
          <a:off x="235325" y="988777"/>
          <a:ext cx="9200775" cy="58306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57</xdr:col>
      <xdr:colOff>7348</xdr:colOff>
      <xdr:row>11</xdr:row>
      <xdr:rowOff>201929</xdr:rowOff>
    </xdr:from>
    <xdr:to>
      <xdr:col>80</xdr:col>
      <xdr:colOff>7348</xdr:colOff>
      <xdr:row>19</xdr:row>
      <xdr:rowOff>105409</xdr:rowOff>
    </xdr:to>
    <xdr:sp macro="" textlink="">
      <xdr:nvSpPr>
        <xdr:cNvPr id="4" name="テキスト ボックス 3">
          <a:extLst>
            <a:ext uri="{FF2B5EF4-FFF2-40B4-BE49-F238E27FC236}">
              <a16:creationId xmlns:a16="http://schemas.microsoft.com/office/drawing/2014/main" id="{67F0E09D-54AD-44BC-B1FB-4970876E7454}"/>
            </a:ext>
          </a:extLst>
        </xdr:cNvPr>
        <xdr:cNvSpPr txBox="1"/>
      </xdr:nvSpPr>
      <xdr:spPr>
        <a:xfrm>
          <a:off x="15209248" y="3383279"/>
          <a:ext cx="6134100" cy="203708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48078</xdr:colOff>
      <xdr:row>9</xdr:row>
      <xdr:rowOff>29479</xdr:rowOff>
    </xdr:from>
    <xdr:to>
      <xdr:col>57</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26080</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8957</xdr:colOff>
      <xdr:row>12</xdr:row>
      <xdr:rowOff>266586</xdr:rowOff>
    </xdr:from>
    <xdr:to>
      <xdr:col>19</xdr:col>
      <xdr:colOff>183468</xdr:colOff>
      <xdr:row>14</xdr:row>
      <xdr:rowOff>219418</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102849</xdr:colOff>
      <xdr:row>12</xdr:row>
      <xdr:rowOff>237328</xdr:rowOff>
    </xdr:from>
    <xdr:to>
      <xdr:col>29</xdr:col>
      <xdr:colOff>17917</xdr:colOff>
      <xdr:row>14</xdr:row>
      <xdr:rowOff>125641</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145596</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254454</xdr:colOff>
      <xdr:row>15</xdr:row>
      <xdr:rowOff>93438</xdr:rowOff>
    </xdr:from>
    <xdr:to>
      <xdr:col>28</xdr:col>
      <xdr:colOff>221796</xdr:colOff>
      <xdr:row>16</xdr:row>
      <xdr:rowOff>182791</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47171</xdr:rowOff>
    </xdr:from>
    <xdr:to>
      <xdr:col>28</xdr:col>
      <xdr:colOff>221796</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172810</xdr:colOff>
      <xdr:row>38</xdr:row>
      <xdr:rowOff>244929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556985" y="8558893"/>
          <a:ext cx="10773682" cy="89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9</xdr:row>
      <xdr:rowOff>26304</xdr:rowOff>
    </xdr:from>
    <xdr:to>
      <xdr:col>56</xdr:col>
      <xdr:colOff>495300</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830470</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uzz0\Downloads\&#12456;&#12501;&#12463;&#12521;&#12540;&#12472;&#12517;&#27178;&#24029;&#12304;LED&#23566;&#20837;&#65404;&#65424;&#65389;&#65434;&#65392;&#65404;&#65390;&#65437;&#12305;.xlsx" TargetMode="External"/><Relationship Id="rId1" Type="http://schemas.openxmlformats.org/officeDocument/2006/relationships/externalLinkPath" Target="&#12456;&#12501;&#12463;&#12521;&#12540;&#12472;&#12517;&#27178;&#24029;&#12304;LED&#23566;&#20837;&#65404;&#65424;&#65389;&#65434;&#65392;&#65404;&#65390;&#65437;&#12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D計算式"/>
      <sheetName val="選定"/>
      <sheetName val="☆入力"/>
      <sheetName val="①表紙"/>
      <sheetName val="②LEDをいま検討しないといけない理由"/>
      <sheetName val="③LED導入のメリット"/>
      <sheetName val="②前a"/>
      <sheetName val="③後a"/>
      <sheetName val="④前後a"/>
      <sheetName val="④照明の交換方法"/>
      <sheetName val="⑤前"/>
      <sheetName val="⑥後"/>
      <sheetName val="⑦前後"/>
      <sheetName val="⑦一式"/>
      <sheetName val="✖⑤複数"/>
      <sheetName val="✖⑤複数+詳細"/>
      <sheetName val="✖⑤詳細"/>
      <sheetName val="✖⑤複数+詳細2"/>
      <sheetName val="⑧見積書"/>
      <sheetName val="⑦小単体"/>
      <sheetName val="⑨シミュレーション"/>
      <sheetName val="⑧-bｼﾐｭ"/>
      <sheetName val="⑥非あり"/>
      <sheetName val="⑦非あり"/>
      <sheetName val="⑧複非なし"/>
      <sheetName val="⑧複非あり"/>
      <sheetName val="⑧ｼﾝｴﾅ案内"/>
      <sheetName val="⑩内訳"/>
      <sheetName val="⑪除外"/>
      <sheetName val="代理店入力用"/>
      <sheetName val="発注書兼発注請書"/>
    </sheetNames>
    <sheetDataSet>
      <sheetData sheetId="0"/>
      <sheetData sheetId="1"/>
      <sheetData sheetId="2">
        <row r="9">
          <cell r="AR9">
            <v>2500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dataCellStyle="桁区切り"/>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Y103"/>
  <sheetViews>
    <sheetView topLeftCell="A28" zoomScale="80" zoomScaleNormal="80" workbookViewId="0">
      <selection activeCell="P37" sqref="P37"/>
    </sheetView>
  </sheetViews>
  <sheetFormatPr defaultColWidth="8.625" defaultRowHeight="18" customHeight="1"/>
  <cols>
    <col min="1" max="16384" width="8.625" style="255"/>
  </cols>
  <sheetData>
    <row r="1" spans="1:25" ht="18" customHeight="1">
      <c r="A1" s="393"/>
      <c r="B1" s="393"/>
      <c r="C1" s="393"/>
      <c r="D1" s="393"/>
      <c r="E1" s="393"/>
      <c r="F1" s="393"/>
      <c r="G1" s="393"/>
      <c r="H1" s="393"/>
      <c r="I1" s="393"/>
      <c r="J1" s="393"/>
      <c r="K1" s="393"/>
      <c r="L1" s="393"/>
      <c r="M1" s="393"/>
      <c r="N1" s="393"/>
      <c r="O1" s="393"/>
      <c r="P1" s="393"/>
      <c r="Q1" s="393"/>
      <c r="R1" s="393"/>
      <c r="S1" s="393"/>
      <c r="T1" s="393"/>
      <c r="U1" s="393"/>
    </row>
    <row r="2" spans="1:25" ht="18" customHeight="1">
      <c r="A2" s="393"/>
      <c r="F2" s="255">
        <v>12</v>
      </c>
      <c r="G2" s="255">
        <v>12</v>
      </c>
      <c r="H2" s="255">
        <v>12</v>
      </c>
      <c r="I2" s="255">
        <v>12</v>
      </c>
      <c r="J2" s="255">
        <v>12</v>
      </c>
      <c r="K2" s="255">
        <v>12</v>
      </c>
      <c r="L2" s="255">
        <v>12</v>
      </c>
      <c r="M2" s="255">
        <v>12</v>
      </c>
      <c r="N2" s="255">
        <v>12</v>
      </c>
      <c r="O2" s="255">
        <v>12</v>
      </c>
      <c r="P2" s="218"/>
      <c r="S2" s="274"/>
      <c r="T2" s="394">
        <f>SUM(T4:T33)</f>
        <v>0</v>
      </c>
      <c r="U2" s="394">
        <f>SUM(U4:U33)</f>
        <v>0</v>
      </c>
      <c r="V2" s="37"/>
    </row>
    <row r="3" spans="1:25" ht="18" customHeight="1">
      <c r="A3" s="393"/>
      <c r="B3" s="255" t="s">
        <v>0</v>
      </c>
      <c r="C3" s="255" t="s">
        <v>1</v>
      </c>
      <c r="E3" s="395">
        <v>0</v>
      </c>
      <c r="F3" s="395">
        <v>1</v>
      </c>
      <c r="G3" s="395">
        <v>2</v>
      </c>
      <c r="H3" s="395">
        <v>3</v>
      </c>
      <c r="I3" s="395">
        <v>4</v>
      </c>
      <c r="J3" s="395">
        <v>5</v>
      </c>
      <c r="K3" s="395">
        <v>6</v>
      </c>
      <c r="L3" s="395">
        <v>7</v>
      </c>
      <c r="M3" s="395">
        <v>8</v>
      </c>
      <c r="N3" s="395">
        <v>9</v>
      </c>
      <c r="O3" s="395">
        <v>10</v>
      </c>
      <c r="P3" s="218"/>
      <c r="S3" s="396" t="s">
        <v>2</v>
      </c>
      <c r="T3" s="396" t="s">
        <v>3</v>
      </c>
      <c r="U3" s="396" t="s">
        <v>4</v>
      </c>
      <c r="V3" s="397" t="s">
        <v>5</v>
      </c>
    </row>
    <row r="4" spans="1:25" ht="18" customHeight="1">
      <c r="A4" s="393"/>
      <c r="B4" s="398">
        <f>②前!AS41</f>
        <v>0</v>
      </c>
      <c r="C4" s="398">
        <f>ROUNDDOWN(B4/120,1)</f>
        <v>0</v>
      </c>
      <c r="E4" s="399">
        <v>0</v>
      </c>
      <c r="F4" s="399">
        <f>ROUNDDOWN($C$4*F2*F3,0)</f>
        <v>0</v>
      </c>
      <c r="G4" s="399">
        <f t="shared" ref="G4:O4" si="0">ROUNDDOWN($C$4*G2*G3,0)</f>
        <v>0</v>
      </c>
      <c r="H4" s="399">
        <f t="shared" si="0"/>
        <v>0</v>
      </c>
      <c r="I4" s="399">
        <f t="shared" si="0"/>
        <v>0</v>
      </c>
      <c r="J4" s="399">
        <f t="shared" si="0"/>
        <v>0</v>
      </c>
      <c r="K4" s="399">
        <f t="shared" si="0"/>
        <v>0</v>
      </c>
      <c r="L4" s="399">
        <f t="shared" si="0"/>
        <v>0</v>
      </c>
      <c r="M4" s="399">
        <f t="shared" si="0"/>
        <v>0</v>
      </c>
      <c r="N4" s="399">
        <f t="shared" si="0"/>
        <v>0</v>
      </c>
      <c r="O4" s="399">
        <f t="shared" si="0"/>
        <v>0</v>
      </c>
      <c r="P4" s="218"/>
      <c r="Q4" s="255">
        <v>1</v>
      </c>
      <c r="S4" s="400" t="str">
        <f>IFERROR(VLOOKUP(☆入力!$G16,選定!$C$1:$AG$100,8,FALSE),"0")</f>
        <v>0</v>
      </c>
      <c r="T4" s="401">
        <f>S4*☆入力!L16</f>
        <v>0</v>
      </c>
      <c r="U4" s="401">
        <f>☆入力!AE16*☆入力!L16</f>
        <v>0</v>
      </c>
      <c r="V4" s="401">
        <f>ROUNDDOWN((T4+U4),0)</f>
        <v>0</v>
      </c>
      <c r="X4" s="397" t="str">
        <f>IFERROR((代理店入力用!$D$5/☆入力!$AH$14)*☆入力!$AH16,"0")</f>
        <v>0</v>
      </c>
      <c r="Y4" s="397">
        <f t="shared" ref="Y4:Y33" si="1">X4/54</f>
        <v>0</v>
      </c>
    </row>
    <row r="5" spans="1:25" ht="18" customHeight="1">
      <c r="A5" s="393"/>
      <c r="B5" s="398"/>
      <c r="C5" s="398"/>
      <c r="P5" s="219"/>
      <c r="Q5" s="255">
        <v>2</v>
      </c>
      <c r="S5" s="400" t="str">
        <f>IFERROR(VLOOKUP(☆入力!$G17,選定!$C$1:$AG$100,8,FALSE),"0")</f>
        <v>0</v>
      </c>
      <c r="T5" s="401">
        <f>S5*☆入力!L17</f>
        <v>0</v>
      </c>
      <c r="U5" s="401">
        <f>☆入力!AE17*☆入力!L17</f>
        <v>0</v>
      </c>
      <c r="V5" s="401">
        <f t="shared" ref="V5:V33" si="2">ROUNDDOWN((T5+U5),0)</f>
        <v>0</v>
      </c>
      <c r="X5" s="402" t="str">
        <f>IFERROR((代理店入力用!$D$5/☆入力!$AH$14)*☆入力!$AH17,"0")</f>
        <v>0</v>
      </c>
      <c r="Y5" s="402">
        <f t="shared" si="1"/>
        <v>0</v>
      </c>
    </row>
    <row r="6" spans="1:25" ht="18" customHeight="1">
      <c r="A6" s="393"/>
      <c r="B6" s="398"/>
      <c r="C6" s="398"/>
      <c r="E6" s="403">
        <f ca="1">(☆入力!$AL$14+代理店入力用!$D$5)*(100%-☆入力!$AR$11)</f>
        <v>0</v>
      </c>
      <c r="F6" s="403">
        <f ca="1">(☆入力!$AL$14+代理店入力用!$D$5)*(100%-☆入力!$AR$11)</f>
        <v>0</v>
      </c>
      <c r="G6" s="403">
        <f ca="1">(☆入力!$AL$14+代理店入力用!$D$5)*(100%-☆入力!$AR$11)</f>
        <v>0</v>
      </c>
      <c r="H6" s="403">
        <f ca="1">(☆入力!$AL$14+代理店入力用!$D$5)*(100%-☆入力!$AR$11)</f>
        <v>0</v>
      </c>
      <c r="I6" s="403">
        <f ca="1">(☆入力!$AL$14+代理店入力用!$D$5)*(100%-☆入力!$AR$11)</f>
        <v>0</v>
      </c>
      <c r="J6" s="403">
        <f ca="1">(☆入力!$AL$14+代理店入力用!$D$5)*(100%-☆入力!$AR$11)</f>
        <v>0</v>
      </c>
      <c r="K6" s="403">
        <f ca="1">(☆入力!$AL$14+代理店入力用!$D$5)*(100%-☆入力!$AR$11)</f>
        <v>0</v>
      </c>
      <c r="L6" s="403">
        <f ca="1">(☆入力!$AL$14+代理店入力用!$D$5)*(100%-☆入力!$AR$11)</f>
        <v>0</v>
      </c>
      <c r="M6" s="403">
        <f ca="1">(☆入力!$AL$14+代理店入力用!$D$5)*(100%-☆入力!$AR$11)</f>
        <v>0</v>
      </c>
      <c r="N6" s="403">
        <f ca="1">(☆入力!$AL$14+代理店入力用!$D$5)*(100%-☆入力!$AR$11)</f>
        <v>0</v>
      </c>
      <c r="O6" s="403">
        <f ca="1">(☆入力!$AL$14+代理店入力用!$D$5)*(100%-☆入力!$AR$11)</f>
        <v>0</v>
      </c>
      <c r="P6" s="219"/>
      <c r="Q6" s="255">
        <v>3</v>
      </c>
      <c r="S6" s="400" t="str">
        <f>IFERROR(VLOOKUP(☆入力!$G18,選定!$C$1:$AG$100,8,FALSE),"0")</f>
        <v>0</v>
      </c>
      <c r="T6" s="401">
        <f>S6*☆入力!L18</f>
        <v>0</v>
      </c>
      <c r="U6" s="401">
        <f>☆入力!AE18*☆入力!L18</f>
        <v>0</v>
      </c>
      <c r="V6" s="401">
        <f t="shared" si="2"/>
        <v>0</v>
      </c>
      <c r="X6" s="402" t="str">
        <f>IFERROR((代理店入力用!$D$5/☆入力!$AH$14)*☆入力!$AH18,"0")</f>
        <v>0</v>
      </c>
      <c r="Y6" s="402">
        <f t="shared" si="1"/>
        <v>0</v>
      </c>
    </row>
    <row r="7" spans="1:25" ht="18" customHeight="1">
      <c r="A7" s="393"/>
      <c r="B7" s="398">
        <f>③後!AS41</f>
        <v>0</v>
      </c>
      <c r="C7" s="398">
        <f>ROUNDDOWN(B7/120,1)</f>
        <v>0</v>
      </c>
      <c r="E7" s="404">
        <v>0</v>
      </c>
      <c r="F7" s="405">
        <f t="shared" ref="F7:O7" si="3">ROUNDDOWN($C$7*F2*F3,0)</f>
        <v>0</v>
      </c>
      <c r="G7" s="405">
        <f t="shared" si="3"/>
        <v>0</v>
      </c>
      <c r="H7" s="405">
        <f t="shared" si="3"/>
        <v>0</v>
      </c>
      <c r="I7" s="405">
        <f t="shared" si="3"/>
        <v>0</v>
      </c>
      <c r="J7" s="405">
        <f t="shared" si="3"/>
        <v>0</v>
      </c>
      <c r="K7" s="405">
        <f t="shared" si="3"/>
        <v>0</v>
      </c>
      <c r="L7" s="405">
        <f t="shared" si="3"/>
        <v>0</v>
      </c>
      <c r="M7" s="405">
        <f t="shared" si="3"/>
        <v>0</v>
      </c>
      <c r="N7" s="405">
        <f t="shared" si="3"/>
        <v>0</v>
      </c>
      <c r="O7" s="405">
        <f t="shared" si="3"/>
        <v>0</v>
      </c>
      <c r="P7" s="219"/>
      <c r="Q7" s="255">
        <v>4</v>
      </c>
      <c r="S7" s="400" t="str">
        <f>IFERROR(VLOOKUP(☆入力!$G19,選定!$C$1:$AG$100,8,FALSE),"0")</f>
        <v>0</v>
      </c>
      <c r="T7" s="401">
        <f>S7*☆入力!L19</f>
        <v>0</v>
      </c>
      <c r="U7" s="401">
        <f>☆入力!AE19*☆入力!L19</f>
        <v>0</v>
      </c>
      <c r="V7" s="401">
        <f t="shared" si="2"/>
        <v>0</v>
      </c>
      <c r="X7" s="402" t="str">
        <f>IFERROR((代理店入力用!$D$5/☆入力!$AH$14)*☆入力!$AH19,"0")</f>
        <v>0</v>
      </c>
      <c r="Y7" s="402">
        <f t="shared" si="1"/>
        <v>0</v>
      </c>
    </row>
    <row r="8" spans="1:25" ht="18" customHeight="1">
      <c r="A8" s="393"/>
      <c r="B8" s="398"/>
      <c r="C8" s="398"/>
      <c r="E8" s="406">
        <f t="shared" ref="E8:O8" ca="1" si="4">E6+E7</f>
        <v>0</v>
      </c>
      <c r="F8" s="406">
        <f t="shared" ca="1" si="4"/>
        <v>0</v>
      </c>
      <c r="G8" s="406">
        <f t="shared" ca="1" si="4"/>
        <v>0</v>
      </c>
      <c r="H8" s="406">
        <f t="shared" ca="1" si="4"/>
        <v>0</v>
      </c>
      <c r="I8" s="406">
        <f t="shared" ca="1" si="4"/>
        <v>0</v>
      </c>
      <c r="J8" s="406">
        <f t="shared" ca="1" si="4"/>
        <v>0</v>
      </c>
      <c r="K8" s="406">
        <f t="shared" ca="1" si="4"/>
        <v>0</v>
      </c>
      <c r="L8" s="406">
        <f t="shared" ca="1" si="4"/>
        <v>0</v>
      </c>
      <c r="M8" s="406">
        <f t="shared" ca="1" si="4"/>
        <v>0</v>
      </c>
      <c r="N8" s="406">
        <f t="shared" ca="1" si="4"/>
        <v>0</v>
      </c>
      <c r="O8" s="406">
        <f t="shared" ca="1" si="4"/>
        <v>0</v>
      </c>
      <c r="P8" s="219"/>
      <c r="Q8" s="255">
        <v>5</v>
      </c>
      <c r="S8" s="400" t="str">
        <f>IFERROR(VLOOKUP(☆入力!$G20,選定!$C$1:$AG$100,8,FALSE),"0")</f>
        <v>0</v>
      </c>
      <c r="T8" s="401">
        <f>S8*☆入力!L20</f>
        <v>0</v>
      </c>
      <c r="U8" s="401">
        <f>☆入力!AE20*☆入力!L20</f>
        <v>0</v>
      </c>
      <c r="V8" s="401">
        <f t="shared" si="2"/>
        <v>0</v>
      </c>
      <c r="X8" s="402" t="str">
        <f>IFERROR((代理店入力用!$D$5/☆入力!$AH$14)*☆入力!$AH20,"0")</f>
        <v>0</v>
      </c>
      <c r="Y8" s="402">
        <f t="shared" si="1"/>
        <v>0</v>
      </c>
    </row>
    <row r="9" spans="1:25" ht="18" customHeight="1">
      <c r="A9" s="393"/>
      <c r="B9" s="398"/>
      <c r="C9" s="398"/>
      <c r="P9" s="219"/>
      <c r="Q9" s="255">
        <v>6</v>
      </c>
      <c r="S9" s="400" t="str">
        <f>IFERROR(VLOOKUP(☆入力!$G21,選定!$C$1:$AG$100,8,FALSE),"0")</f>
        <v>0</v>
      </c>
      <c r="T9" s="401">
        <f>S9*☆入力!L21</f>
        <v>0</v>
      </c>
      <c r="U9" s="401">
        <f>☆入力!AE21*☆入力!L21</f>
        <v>0</v>
      </c>
      <c r="V9" s="401">
        <f t="shared" si="2"/>
        <v>0</v>
      </c>
      <c r="X9" s="402" t="str">
        <f>IFERROR((代理店入力用!$D$5/☆入力!$AH$14)*☆入力!$AH21,"0")</f>
        <v>0</v>
      </c>
      <c r="Y9" s="402">
        <f t="shared" si="1"/>
        <v>0</v>
      </c>
    </row>
    <row r="10" spans="1:25" ht="18" customHeight="1">
      <c r="A10" s="393"/>
      <c r="B10" s="398"/>
      <c r="C10" s="398"/>
      <c r="P10" s="219"/>
      <c r="Q10" s="255">
        <v>7</v>
      </c>
      <c r="S10" s="400" t="str">
        <f>IFERROR(VLOOKUP(☆入力!$G22,選定!$C$1:$AG$100,8,FALSE),"0")</f>
        <v>0</v>
      </c>
      <c r="T10" s="401">
        <f>S10*☆入力!L22</f>
        <v>0</v>
      </c>
      <c r="U10" s="401">
        <f>☆入力!AE22*☆入力!L22</f>
        <v>0</v>
      </c>
      <c r="V10" s="401">
        <f t="shared" si="2"/>
        <v>0</v>
      </c>
      <c r="X10" s="402" t="str">
        <f>IFERROR((代理店入力用!$D$5/☆入力!$AH$14)*☆入力!$AH22,"0")</f>
        <v>0</v>
      </c>
      <c r="Y10" s="402">
        <f t="shared" si="1"/>
        <v>0</v>
      </c>
    </row>
    <row r="11" spans="1:25" ht="18" customHeight="1">
      <c r="A11" s="393"/>
      <c r="B11" s="398"/>
      <c r="C11" s="398"/>
      <c r="E11" s="403">
        <f ca="1">(☆入力!$AL$14+代理店入力用!$D$5)*(100%-☆入力!$AR$11-☆入力!$AR$12)</f>
        <v>0</v>
      </c>
      <c r="F11" s="403">
        <f ca="1">(☆入力!$AL$14+代理店入力用!$D$5)*(100%-☆入力!$AR$11-☆入力!$AR$12)</f>
        <v>0</v>
      </c>
      <c r="G11" s="403">
        <f ca="1">(☆入力!$AL$14+代理店入力用!$D$5)*(100%-☆入力!$AR$11-☆入力!$AR$12)</f>
        <v>0</v>
      </c>
      <c r="H11" s="403">
        <f ca="1">(☆入力!$AL$14+代理店入力用!$D$5)*(100%-☆入力!$AR$11-☆入力!$AR$12)</f>
        <v>0</v>
      </c>
      <c r="I11" s="403">
        <f ca="1">(☆入力!$AL$14+代理店入力用!$D$5)*(100%-☆入力!$AR$11-☆入力!$AR$12)</f>
        <v>0</v>
      </c>
      <c r="J11" s="403">
        <f ca="1">(☆入力!$AL$14+代理店入力用!$D$5)*(100%-☆入力!$AR$11-☆入力!$AR$12)</f>
        <v>0</v>
      </c>
      <c r="K11" s="403">
        <f ca="1">(☆入力!$AL$14+代理店入力用!$D$5)*(100%-☆入力!$AR$11-☆入力!$AR$12)</f>
        <v>0</v>
      </c>
      <c r="L11" s="403">
        <f ca="1">(☆入力!$AL$14+代理店入力用!$D$5)*(100%-☆入力!$AR$11-☆入力!$AR$12)</f>
        <v>0</v>
      </c>
      <c r="M11" s="403">
        <f ca="1">(☆入力!$AL$14+代理店入力用!$D$5)*(100%-☆入力!$AR$11-☆入力!$AR$12)</f>
        <v>0</v>
      </c>
      <c r="N11" s="403">
        <f ca="1">(☆入力!$AL$14+代理店入力用!$D$5)*(100%-☆入力!$AR$11-☆入力!$AR$12)</f>
        <v>0</v>
      </c>
      <c r="O11" s="403">
        <f ca="1">(☆入力!$AL$14+代理店入力用!$D$5)*(100%-☆入力!$AR$11-☆入力!$AR$12)</f>
        <v>0</v>
      </c>
      <c r="P11" s="219"/>
      <c r="Q11" s="255">
        <v>8</v>
      </c>
      <c r="S11" s="400" t="str">
        <f>IFERROR(VLOOKUP(☆入力!$G23,選定!$C$1:$AG$100,8,FALSE),"0")</f>
        <v>0</v>
      </c>
      <c r="T11" s="401">
        <f>S11*☆入力!L23</f>
        <v>0</v>
      </c>
      <c r="U11" s="401">
        <f>☆入力!AE23*☆入力!L23</f>
        <v>0</v>
      </c>
      <c r="V11" s="401">
        <f t="shared" si="2"/>
        <v>0</v>
      </c>
      <c r="X11" s="402" t="str">
        <f>IFERROR((代理店入力用!$D$5/☆入力!$AH$14)*☆入力!$AH23,"0")</f>
        <v>0</v>
      </c>
      <c r="Y11" s="402">
        <f t="shared" si="1"/>
        <v>0</v>
      </c>
    </row>
    <row r="12" spans="1:25" ht="18" customHeight="1">
      <c r="A12" s="393"/>
      <c r="B12" s="398">
        <f>B7</f>
        <v>0</v>
      </c>
      <c r="C12" s="398">
        <f>ROUNDDOWN(B12/120,1)</f>
        <v>0</v>
      </c>
      <c r="E12" s="404">
        <v>0</v>
      </c>
      <c r="F12" s="405">
        <f t="shared" ref="F12:O12" si="5">ROUNDDOWN($C$12*F2*F3,0)</f>
        <v>0</v>
      </c>
      <c r="G12" s="405">
        <f t="shared" si="5"/>
        <v>0</v>
      </c>
      <c r="H12" s="405">
        <f t="shared" si="5"/>
        <v>0</v>
      </c>
      <c r="I12" s="405">
        <f t="shared" si="5"/>
        <v>0</v>
      </c>
      <c r="J12" s="405">
        <f t="shared" si="5"/>
        <v>0</v>
      </c>
      <c r="K12" s="405">
        <f t="shared" si="5"/>
        <v>0</v>
      </c>
      <c r="L12" s="405">
        <f t="shared" si="5"/>
        <v>0</v>
      </c>
      <c r="M12" s="405">
        <f t="shared" si="5"/>
        <v>0</v>
      </c>
      <c r="N12" s="405">
        <f t="shared" si="5"/>
        <v>0</v>
      </c>
      <c r="O12" s="405">
        <f t="shared" si="5"/>
        <v>0</v>
      </c>
      <c r="P12" s="219"/>
      <c r="Q12" s="255">
        <v>9</v>
      </c>
      <c r="S12" s="400" t="str">
        <f>IFERROR(VLOOKUP(☆入力!$G24,選定!$C$1:$AG$100,8,FALSE),"0")</f>
        <v>0</v>
      </c>
      <c r="T12" s="401">
        <f>S12*☆入力!L24</f>
        <v>0</v>
      </c>
      <c r="U12" s="401">
        <f>☆入力!AE24*☆入力!L24</f>
        <v>0</v>
      </c>
      <c r="V12" s="401">
        <f t="shared" si="2"/>
        <v>0</v>
      </c>
      <c r="X12" s="402" t="str">
        <f>IFERROR((代理店入力用!$D$5/☆入力!$AH$14)*☆入力!$AH24,"0")</f>
        <v>0</v>
      </c>
      <c r="Y12" s="402">
        <f t="shared" si="1"/>
        <v>0</v>
      </c>
    </row>
    <row r="13" spans="1:25" ht="18" customHeight="1">
      <c r="A13" s="393"/>
      <c r="E13" s="406">
        <f t="shared" ref="E13:O13" ca="1" si="6">E11+E12</f>
        <v>0</v>
      </c>
      <c r="F13" s="406">
        <f t="shared" ca="1" si="6"/>
        <v>0</v>
      </c>
      <c r="G13" s="406">
        <f t="shared" ca="1" si="6"/>
        <v>0</v>
      </c>
      <c r="H13" s="406">
        <f t="shared" ca="1" si="6"/>
        <v>0</v>
      </c>
      <c r="I13" s="406">
        <f t="shared" ca="1" si="6"/>
        <v>0</v>
      </c>
      <c r="J13" s="406">
        <f t="shared" ca="1" si="6"/>
        <v>0</v>
      </c>
      <c r="K13" s="406">
        <f t="shared" ca="1" si="6"/>
        <v>0</v>
      </c>
      <c r="L13" s="406">
        <f t="shared" ca="1" si="6"/>
        <v>0</v>
      </c>
      <c r="M13" s="406">
        <f t="shared" ca="1" si="6"/>
        <v>0</v>
      </c>
      <c r="N13" s="406">
        <f t="shared" ca="1" si="6"/>
        <v>0</v>
      </c>
      <c r="O13" s="406">
        <f t="shared" ca="1" si="6"/>
        <v>0</v>
      </c>
      <c r="P13" s="219"/>
      <c r="Q13" s="255">
        <v>10</v>
      </c>
      <c r="S13" s="400" t="str">
        <f>IFERROR(VLOOKUP(☆入力!$G25,選定!$C$1:$AG$100,8,FALSE),"0")</f>
        <v>0</v>
      </c>
      <c r="T13" s="401">
        <f>S13*☆入力!L25</f>
        <v>0</v>
      </c>
      <c r="U13" s="401">
        <f>☆入力!AE25*☆入力!L25</f>
        <v>0</v>
      </c>
      <c r="V13" s="401">
        <f t="shared" si="2"/>
        <v>0</v>
      </c>
      <c r="X13" s="402" t="str">
        <f>IFERROR((代理店入力用!$D$5/☆入力!$AH$14)*☆入力!$AH25,"0")</f>
        <v>0</v>
      </c>
      <c r="Y13" s="402">
        <f t="shared" si="1"/>
        <v>0</v>
      </c>
    </row>
    <row r="14" spans="1:25" ht="18" customHeight="1">
      <c r="A14" s="393"/>
      <c r="B14" s="393"/>
      <c r="C14" s="393"/>
      <c r="D14" s="393"/>
      <c r="E14" s="218"/>
      <c r="F14" s="218"/>
      <c r="G14" s="219"/>
      <c r="H14" s="219"/>
      <c r="I14" s="219"/>
      <c r="J14" s="219"/>
      <c r="K14" s="219"/>
      <c r="L14" s="219"/>
      <c r="M14" s="219"/>
      <c r="N14" s="219"/>
      <c r="O14" s="219"/>
      <c r="P14" s="219"/>
      <c r="Q14" s="255">
        <v>11</v>
      </c>
      <c r="S14" s="400" t="str">
        <f>IFERROR(VLOOKUP(☆入力!$G26,選定!$C$1:$AG$100,8,FALSE),"0")</f>
        <v>0</v>
      </c>
      <c r="T14" s="401">
        <f>S14*☆入力!L26</f>
        <v>0</v>
      </c>
      <c r="U14" s="401">
        <f>☆入力!AE26*☆入力!L26</f>
        <v>0</v>
      </c>
      <c r="V14" s="401">
        <f t="shared" si="2"/>
        <v>0</v>
      </c>
      <c r="X14" s="402" t="str">
        <f>IFERROR((代理店入力用!$D$5/☆入力!$AH$14)*☆入力!$AH26,"0")</f>
        <v>0</v>
      </c>
      <c r="Y14" s="402">
        <f t="shared" si="1"/>
        <v>0</v>
      </c>
    </row>
    <row r="15" spans="1:25" ht="18" customHeight="1">
      <c r="A15" s="393"/>
      <c r="B15" s="393"/>
      <c r="C15" s="393"/>
      <c r="D15" s="393"/>
      <c r="E15" s="218"/>
      <c r="F15" s="218"/>
      <c r="G15" s="219"/>
      <c r="H15" s="219"/>
      <c r="I15" s="219"/>
      <c r="J15" s="219"/>
      <c r="K15" s="219"/>
      <c r="L15" s="219"/>
      <c r="M15" s="219"/>
      <c r="N15" s="219"/>
      <c r="O15" s="219"/>
      <c r="P15" s="219"/>
      <c r="Q15" s="255">
        <v>12</v>
      </c>
      <c r="S15" s="400" t="str">
        <f>IFERROR(VLOOKUP(☆入力!$G27,選定!$C$1:$AG$100,8,FALSE),"0")</f>
        <v>0</v>
      </c>
      <c r="T15" s="401">
        <f>S15*☆入力!L27</f>
        <v>0</v>
      </c>
      <c r="U15" s="401">
        <f>☆入力!AE27*☆入力!L27</f>
        <v>0</v>
      </c>
      <c r="V15" s="401">
        <f t="shared" si="2"/>
        <v>0</v>
      </c>
      <c r="X15" s="402" t="str">
        <f>IFERROR((代理店入力用!$D$5/☆入力!$AH$14)*☆入力!$AH27,"0")</f>
        <v>0</v>
      </c>
      <c r="Y15" s="402">
        <f t="shared" si="1"/>
        <v>0</v>
      </c>
    </row>
    <row r="16" spans="1:25" ht="18" customHeight="1">
      <c r="A16" s="393"/>
      <c r="B16" s="123"/>
      <c r="C16" s="123" t="s">
        <v>6</v>
      </c>
      <c r="D16" s="123" t="s">
        <v>7</v>
      </c>
      <c r="E16" s="123" t="s">
        <v>8</v>
      </c>
      <c r="F16" s="20"/>
      <c r="G16" s="21"/>
      <c r="H16" s="144" t="s">
        <v>9</v>
      </c>
      <c r="I16" s="144" t="s">
        <v>10</v>
      </c>
      <c r="J16" s="20"/>
      <c r="K16" s="20"/>
      <c r="L16" s="218"/>
      <c r="M16" s="407">
        <v>360</v>
      </c>
      <c r="N16" s="407">
        <f>SUMIF(☆入力!H16:H40,360,☆入力!L16:L40)</f>
        <v>0</v>
      </c>
      <c r="O16" s="218"/>
      <c r="P16" s="218"/>
      <c r="Q16" s="255">
        <v>13</v>
      </c>
      <c r="S16" s="400" t="str">
        <f>IFERROR(VLOOKUP(☆入力!$G28,選定!$C$1:$AG$100,8,FALSE),"0")</f>
        <v>0</v>
      </c>
      <c r="T16" s="401">
        <f>S16*☆入力!L28</f>
        <v>0</v>
      </c>
      <c r="U16" s="401">
        <f>☆入力!AE28*☆入力!L28</f>
        <v>0</v>
      </c>
      <c r="V16" s="401">
        <f t="shared" si="2"/>
        <v>0</v>
      </c>
      <c r="X16" s="402" t="str">
        <f>IFERROR((代理店入力用!$D$5/☆入力!$AH$14)*☆入力!$AH28,"0")</f>
        <v>0</v>
      </c>
      <c r="Y16" s="402">
        <f t="shared" si="1"/>
        <v>0</v>
      </c>
    </row>
    <row r="17" spans="1:25" ht="18" customHeight="1">
      <c r="A17" s="393"/>
      <c r="B17" s="123" t="s">
        <v>11</v>
      </c>
      <c r="C17" s="123"/>
      <c r="D17" s="123"/>
      <c r="E17" s="123"/>
      <c r="F17" s="20"/>
      <c r="G17" s="20"/>
      <c r="I17" s="20"/>
      <c r="J17" s="20"/>
      <c r="K17" s="20"/>
      <c r="L17" s="220"/>
      <c r="M17" s="407">
        <v>720</v>
      </c>
      <c r="N17" s="407">
        <f>SUMIF(☆入力!H16:H40,720,☆入力!L16:L40)</f>
        <v>0</v>
      </c>
      <c r="O17" s="220"/>
      <c r="P17" s="220"/>
      <c r="Q17" s="255">
        <v>14</v>
      </c>
      <c r="S17" s="400" t="str">
        <f>IFERROR(VLOOKUP(☆入力!$G29,選定!$C$1:$AG$100,8,FALSE),"0")</f>
        <v>0</v>
      </c>
      <c r="T17" s="401">
        <f>S17*☆入力!L29</f>
        <v>0</v>
      </c>
      <c r="U17" s="401">
        <f>☆入力!AE29*☆入力!L29</f>
        <v>0</v>
      </c>
      <c r="V17" s="401">
        <f t="shared" si="2"/>
        <v>0</v>
      </c>
      <c r="X17" s="402" t="str">
        <f>IFERROR((代理店入力用!$D$5/☆入力!$AH$14)*☆入力!$AH29,"0")</f>
        <v>0</v>
      </c>
      <c r="Y17" s="402">
        <f t="shared" si="1"/>
        <v>0</v>
      </c>
    </row>
    <row r="18" spans="1:25" ht="18" customHeight="1">
      <c r="A18" s="393"/>
      <c r="B18" s="124" t="s">
        <v>12</v>
      </c>
      <c r="C18" s="123"/>
      <c r="D18" s="123"/>
      <c r="E18" s="123"/>
      <c r="F18" s="20"/>
      <c r="G18" s="20"/>
      <c r="H18" s="22" t="s">
        <v>13</v>
      </c>
      <c r="I18" s="20"/>
      <c r="J18" s="408"/>
      <c r="K18" s="83"/>
      <c r="L18" s="218"/>
      <c r="M18" s="218"/>
      <c r="N18" s="218"/>
      <c r="O18" s="218"/>
      <c r="P18" s="218"/>
      <c r="Q18" s="255">
        <v>15</v>
      </c>
      <c r="S18" s="400" t="str">
        <f>IFERROR(VLOOKUP(☆入力!$G30,選定!$C$1:$AG$100,8,FALSE),"0")</f>
        <v>0</v>
      </c>
      <c r="T18" s="401">
        <f>S18*☆入力!L30</f>
        <v>0</v>
      </c>
      <c r="U18" s="401">
        <f>☆入力!AE30*☆入力!L30</f>
        <v>0</v>
      </c>
      <c r="V18" s="401">
        <f t="shared" si="2"/>
        <v>0</v>
      </c>
      <c r="X18" s="402" t="str">
        <f>IFERROR((代理店入力用!$D$5/☆入力!$AH$14)*☆入力!$AH30,"0")</f>
        <v>0</v>
      </c>
      <c r="Y18" s="402">
        <f t="shared" si="1"/>
        <v>0</v>
      </c>
    </row>
    <row r="19" spans="1:25" ht="18" customHeight="1">
      <c r="A19" s="393"/>
      <c r="B19" s="125" t="s">
        <v>13</v>
      </c>
      <c r="C19" s="125"/>
      <c r="D19" s="125"/>
      <c r="E19" s="125"/>
      <c r="F19" s="20"/>
      <c r="G19" s="20"/>
      <c r="H19" s="23" t="s">
        <v>14</v>
      </c>
      <c r="I19" s="409"/>
      <c r="J19" s="81">
        <f ca="1">ROUNDDOWN((☆入力!AK14)*(100%-☆入力!AR11)+(代理店入力用!D5/54),0)</f>
        <v>0</v>
      </c>
      <c r="K19" s="409"/>
      <c r="L19" s="218"/>
      <c r="M19" s="218"/>
      <c r="N19" s="218"/>
      <c r="O19" s="218"/>
      <c r="P19" s="218"/>
      <c r="Q19" s="255">
        <v>16</v>
      </c>
      <c r="S19" s="400" t="str">
        <f>IFERROR(VLOOKUP(☆入力!$G31,選定!$C$1:$AG$100,8,FALSE),"0")</f>
        <v>0</v>
      </c>
      <c r="T19" s="401">
        <f>S19*☆入力!L31</f>
        <v>0</v>
      </c>
      <c r="U19" s="401">
        <f>☆入力!AE31*☆入力!L31</f>
        <v>0</v>
      </c>
      <c r="V19" s="401">
        <f t="shared" si="2"/>
        <v>0</v>
      </c>
      <c r="X19" s="402" t="str">
        <f>IFERROR((代理店入力用!$D$5/☆入力!$AH$14)*☆入力!$AH31,"0")</f>
        <v>0</v>
      </c>
      <c r="Y19" s="402">
        <f t="shared" si="1"/>
        <v>0</v>
      </c>
    </row>
    <row r="20" spans="1:25" ht="18" customHeight="1">
      <c r="A20" s="393"/>
      <c r="B20" s="126" t="s">
        <v>14</v>
      </c>
      <c r="C20" s="127"/>
      <c r="D20" s="127" t="e">
        <f>ROUNDDOWN(LED計算式!#REF!,1)</f>
        <v>#REF!</v>
      </c>
      <c r="E20" s="127"/>
      <c r="F20" s="20"/>
      <c r="G20" s="20"/>
      <c r="H20" s="24" t="s">
        <v>15</v>
      </c>
      <c r="I20" s="139">
        <f>ROUNDDOWN((②前!AS13+②前!AS24)/120,0)</f>
        <v>0</v>
      </c>
      <c r="J20" s="25">
        <f>ROUNDDOWN((③後!AS13+③後!AS24)/120,0)</f>
        <v>0</v>
      </c>
      <c r="K20" s="25">
        <f>ROUNDDOWN((③後!AS13+③後!AS24)/120,0)</f>
        <v>0</v>
      </c>
      <c r="L20" s="218"/>
      <c r="M20" s="410" t="s">
        <v>16</v>
      </c>
      <c r="N20" s="411" t="s">
        <v>17</v>
      </c>
      <c r="O20" s="218"/>
      <c r="P20" s="218"/>
      <c r="Q20" s="255">
        <v>17</v>
      </c>
      <c r="S20" s="400" t="str">
        <f>IFERROR(VLOOKUP(☆入力!$G32,選定!$C$1:$AG$100,8,FALSE),"0")</f>
        <v>0</v>
      </c>
      <c r="T20" s="401">
        <f>S20*☆入力!L32</f>
        <v>0</v>
      </c>
      <c r="U20" s="401">
        <f>☆入力!AE32*☆入力!L32</f>
        <v>0</v>
      </c>
      <c r="V20" s="401">
        <f t="shared" si="2"/>
        <v>0</v>
      </c>
      <c r="X20" s="402" t="str">
        <f>IFERROR((代理店入力用!$D$5/☆入力!$AH$14)*☆入力!$AH32,"0")</f>
        <v>0</v>
      </c>
      <c r="Y20" s="402">
        <f t="shared" si="1"/>
        <v>0</v>
      </c>
    </row>
    <row r="21" spans="1:25" ht="18" customHeight="1">
      <c r="A21" s="393"/>
      <c r="B21" s="128" t="s">
        <v>18</v>
      </c>
      <c r="C21" s="129">
        <f>ROUNDDOWN(☆入力!Y14,1)</f>
        <v>0</v>
      </c>
      <c r="D21" s="129">
        <f>ROUNDDOWN(☆入力!AC14,1)</f>
        <v>0</v>
      </c>
      <c r="E21" s="129">
        <f>ROUNDDOWN(☆入力!AC14,1)</f>
        <v>0</v>
      </c>
      <c r="F21" s="20"/>
      <c r="G21" s="20"/>
      <c r="H21" s="24" t="s">
        <v>18</v>
      </c>
      <c r="I21" s="25">
        <f>ROUNDDOWN(C21,0)</f>
        <v>0</v>
      </c>
      <c r="J21" s="25">
        <f>ROUNDDOWN(D21,0)</f>
        <v>0</v>
      </c>
      <c r="K21" s="25">
        <f>ROUNDDOWN(E21,0)</f>
        <v>0</v>
      </c>
      <c r="L21" s="218"/>
      <c r="M21" s="412">
        <v>0</v>
      </c>
      <c r="N21" s="413">
        <v>1</v>
      </c>
      <c r="O21" s="218"/>
      <c r="P21" s="218"/>
      <c r="Q21" s="255">
        <v>18</v>
      </c>
      <c r="S21" s="400" t="str">
        <f>IFERROR(VLOOKUP(☆入力!$G33,選定!$C$1:$AG$100,8,FALSE),"0")</f>
        <v>0</v>
      </c>
      <c r="T21" s="401">
        <f>S21*☆入力!L33</f>
        <v>0</v>
      </c>
      <c r="U21" s="401">
        <f>☆入力!AE33*☆入力!L33</f>
        <v>0</v>
      </c>
      <c r="V21" s="401">
        <f t="shared" si="2"/>
        <v>0</v>
      </c>
      <c r="X21" s="402" t="str">
        <f>IFERROR((代理店入力用!$D$5/☆入力!$AH$14)*☆入力!$AH33,"0")</f>
        <v>0</v>
      </c>
      <c r="Y21" s="402">
        <f t="shared" si="1"/>
        <v>0</v>
      </c>
    </row>
    <row r="22" spans="1:25" ht="18" customHeight="1">
      <c r="A22" s="393"/>
      <c r="B22" s="130" t="s">
        <v>19</v>
      </c>
      <c r="C22" s="131">
        <f>SUM(C19:C21)</f>
        <v>0</v>
      </c>
      <c r="D22" s="131" t="e">
        <f>SUM(D19:D21)</f>
        <v>#REF!</v>
      </c>
      <c r="E22" s="131">
        <f>SUM(E19:E21)</f>
        <v>0</v>
      </c>
      <c r="F22" s="20"/>
      <c r="G22" s="20"/>
      <c r="H22" s="142" t="s">
        <v>19</v>
      </c>
      <c r="I22" s="143">
        <f>SUM(I20:I21)</f>
        <v>0</v>
      </c>
      <c r="J22" s="143">
        <f ca="1">SUM(J19:J21)</f>
        <v>0</v>
      </c>
      <c r="K22" s="143">
        <f>SUM(K19:K21)</f>
        <v>0</v>
      </c>
      <c r="L22" s="218"/>
      <c r="M22" s="412">
        <v>21</v>
      </c>
      <c r="N22" s="413">
        <v>2</v>
      </c>
      <c r="O22" s="218"/>
      <c r="P22" s="218"/>
      <c r="Q22" s="255">
        <v>19</v>
      </c>
      <c r="S22" s="400" t="str">
        <f>IFERROR(VLOOKUP(☆入力!$G34,選定!$C$1:$AG$100,8,FALSE),"0")</f>
        <v>0</v>
      </c>
      <c r="T22" s="401">
        <f>S22*☆入力!L34</f>
        <v>0</v>
      </c>
      <c r="U22" s="401">
        <f>☆入力!AE34*☆入力!L34</f>
        <v>0</v>
      </c>
      <c r="V22" s="401">
        <f t="shared" si="2"/>
        <v>0</v>
      </c>
      <c r="X22" s="402" t="str">
        <f>IFERROR((代理店入力用!$D$5/☆入力!$AH$14)*☆入力!$AH34,"0")</f>
        <v>0</v>
      </c>
      <c r="Y22" s="402">
        <f t="shared" si="1"/>
        <v>0</v>
      </c>
    </row>
    <row r="23" spans="1:25" ht="18" customHeight="1">
      <c r="A23" s="393"/>
      <c r="B23" s="124"/>
      <c r="C23" s="124"/>
      <c r="D23" s="132" t="e">
        <f>C22-D22</f>
        <v>#REF!</v>
      </c>
      <c r="E23" s="132">
        <f>C22-E22</f>
        <v>0</v>
      </c>
      <c r="F23" s="20"/>
      <c r="G23" s="20"/>
      <c r="H23" s="140"/>
      <c r="I23" s="140"/>
      <c r="J23" s="141">
        <f ca="1">INT(I22-J22)</f>
        <v>0</v>
      </c>
      <c r="K23" s="141">
        <f>INT(I22-K22)</f>
        <v>0</v>
      </c>
      <c r="L23" s="219"/>
      <c r="M23" s="412">
        <v>41</v>
      </c>
      <c r="N23" s="413">
        <v>3</v>
      </c>
      <c r="O23" s="219"/>
      <c r="P23" s="219"/>
      <c r="Q23" s="255">
        <v>20</v>
      </c>
      <c r="S23" s="400" t="str">
        <f>IFERROR(VLOOKUP(☆入力!$G35,選定!$C$1:$AG$100,8,FALSE),"0")</f>
        <v>0</v>
      </c>
      <c r="T23" s="401">
        <f>S23*☆入力!L35</f>
        <v>0</v>
      </c>
      <c r="U23" s="401">
        <f>☆入力!AE35*☆入力!L35</f>
        <v>0</v>
      </c>
      <c r="V23" s="401">
        <f t="shared" si="2"/>
        <v>0</v>
      </c>
      <c r="X23" s="402" t="str">
        <f>IFERROR((代理店入力用!$D$5/☆入力!$AH$14)*☆入力!$AH35,"0")</f>
        <v>0</v>
      </c>
      <c r="Y23" s="402">
        <f t="shared" si="1"/>
        <v>0</v>
      </c>
    </row>
    <row r="24" spans="1:25" ht="18" customHeight="1">
      <c r="A24" s="393"/>
      <c r="B24" s="123"/>
      <c r="C24" s="123"/>
      <c r="D24" s="133" t="e">
        <f>100%-(D22/C22)</f>
        <v>#REF!</v>
      </c>
      <c r="E24" s="133" t="e">
        <f>100%-(E22/C22)</f>
        <v>#DIV/0!</v>
      </c>
      <c r="F24" s="20"/>
      <c r="G24" s="20"/>
      <c r="H24" s="101"/>
      <c r="I24" s="101"/>
      <c r="J24" s="310" t="e">
        <f ca="1">100%-(J22/I22)</f>
        <v>#DIV/0!</v>
      </c>
      <c r="K24" s="102" t="e">
        <f>100%-(K22/I22)</f>
        <v>#DIV/0!</v>
      </c>
      <c r="L24" s="219"/>
      <c r="M24" s="412">
        <v>61</v>
      </c>
      <c r="N24" s="413">
        <v>4</v>
      </c>
      <c r="O24" s="219"/>
      <c r="P24" s="219"/>
      <c r="Q24" s="255">
        <v>21</v>
      </c>
      <c r="S24" s="400" t="str">
        <f>IFERROR(VLOOKUP(☆入力!$G36,選定!$C$1:$AG$100,8,FALSE),"0")</f>
        <v>0</v>
      </c>
      <c r="T24" s="401">
        <f>S24*☆入力!L36</f>
        <v>0</v>
      </c>
      <c r="U24" s="401">
        <f>☆入力!AE36*☆入力!L36</f>
        <v>0</v>
      </c>
      <c r="V24" s="401">
        <f t="shared" si="2"/>
        <v>0</v>
      </c>
      <c r="X24" s="402" t="str">
        <f>IFERROR((代理店入力用!$D$5/☆入力!$AH$14)*☆入力!$AH36,"0")</f>
        <v>0</v>
      </c>
      <c r="Y24" s="402">
        <f t="shared" si="1"/>
        <v>0</v>
      </c>
    </row>
    <row r="25" spans="1:25" ht="18" customHeight="1">
      <c r="A25" s="393"/>
      <c r="B25" s="123"/>
      <c r="C25" s="123"/>
      <c r="D25" s="134" t="e">
        <f>-(C22-D22)</f>
        <v>#REF!</v>
      </c>
      <c r="E25" s="123"/>
      <c r="F25" s="20"/>
      <c r="G25" s="20"/>
      <c r="H25" s="20"/>
      <c r="I25" s="20"/>
      <c r="J25" s="26">
        <f ca="1">-(I22-J22)</f>
        <v>0</v>
      </c>
      <c r="K25" s="20"/>
      <c r="L25" s="219"/>
      <c r="M25" s="412">
        <v>81</v>
      </c>
      <c r="N25" s="413">
        <v>5</v>
      </c>
      <c r="O25" s="219"/>
      <c r="P25" s="219"/>
      <c r="Q25" s="255">
        <v>22</v>
      </c>
      <c r="S25" s="400" t="str">
        <f>IFERROR(VLOOKUP(☆入力!$G37,選定!$C$1:$AG$100,8,FALSE),"0")</f>
        <v>0</v>
      </c>
      <c r="T25" s="401">
        <f>S25*☆入力!L37</f>
        <v>0</v>
      </c>
      <c r="U25" s="401">
        <f>☆入力!AE37*☆入力!L37</f>
        <v>0</v>
      </c>
      <c r="V25" s="401">
        <f t="shared" si="2"/>
        <v>0</v>
      </c>
      <c r="X25" s="402" t="str">
        <f>IFERROR((代理店入力用!$D$5/☆入力!$AH$14)*☆入力!$AH37,"0")</f>
        <v>0</v>
      </c>
      <c r="Y25" s="402">
        <f t="shared" si="1"/>
        <v>0</v>
      </c>
    </row>
    <row r="26" spans="1:25" ht="18" customHeight="1">
      <c r="A26" s="393"/>
      <c r="B26" s="22"/>
      <c r="C26" s="20"/>
      <c r="D26" s="20"/>
      <c r="E26" s="20"/>
      <c r="F26" s="20"/>
      <c r="G26" s="20"/>
      <c r="H26" s="22"/>
      <c r="I26" s="20"/>
      <c r="J26" s="20"/>
      <c r="K26" s="20"/>
      <c r="L26" s="219"/>
      <c r="M26" s="414">
        <v>100</v>
      </c>
      <c r="N26" s="415">
        <v>6</v>
      </c>
      <c r="O26" s="219"/>
      <c r="P26" s="219"/>
      <c r="Q26" s="255">
        <v>23</v>
      </c>
      <c r="S26" s="400" t="str">
        <f>IFERROR(VLOOKUP(☆入力!$G38,選定!$C$1:$AG$100,8,FALSE),"0")</f>
        <v>0</v>
      </c>
      <c r="T26" s="401">
        <f>S26*☆入力!L38</f>
        <v>0</v>
      </c>
      <c r="U26" s="401">
        <f>☆入力!AE38*☆入力!L38</f>
        <v>0</v>
      </c>
      <c r="V26" s="401">
        <f t="shared" si="2"/>
        <v>0</v>
      </c>
      <c r="X26" s="402" t="str">
        <f>IFERROR((代理店入力用!$D$5/☆入力!$AH$14)*☆入力!$AH38,"0")</f>
        <v>0</v>
      </c>
      <c r="Y26" s="402">
        <f t="shared" si="1"/>
        <v>0</v>
      </c>
    </row>
    <row r="27" spans="1:25" ht="18" customHeight="1">
      <c r="A27" s="393"/>
      <c r="B27" s="135"/>
      <c r="C27" s="135"/>
      <c r="D27" s="135"/>
      <c r="E27" s="135"/>
      <c r="F27" s="20"/>
      <c r="G27" s="20"/>
      <c r="H27" s="135"/>
      <c r="I27" s="135"/>
      <c r="J27" s="135"/>
      <c r="K27" s="135"/>
      <c r="L27" s="219"/>
      <c r="M27" s="416">
        <v>1000</v>
      </c>
      <c r="N27" s="415">
        <v>50</v>
      </c>
      <c r="O27" s="219"/>
      <c r="P27" s="219"/>
      <c r="Q27" s="255">
        <v>24</v>
      </c>
      <c r="S27" s="400" t="str">
        <f>IFERROR(VLOOKUP(☆入力!$G39,選定!$C$1:$AG$100,8,FALSE),"0")</f>
        <v>0</v>
      </c>
      <c r="T27" s="401">
        <f>S27*☆入力!L39</f>
        <v>0</v>
      </c>
      <c r="U27" s="401">
        <f>☆入力!AE39*☆入力!L39</f>
        <v>0</v>
      </c>
      <c r="V27" s="401">
        <f t="shared" si="2"/>
        <v>0</v>
      </c>
      <c r="X27" s="402" t="str">
        <f>IFERROR((代理店入力用!$D$5/☆入力!$AH$14)*☆入力!$AH39,"0")</f>
        <v>0</v>
      </c>
      <c r="Y27" s="402">
        <f t="shared" si="1"/>
        <v>0</v>
      </c>
    </row>
    <row r="28" spans="1:25" ht="18" customHeight="1">
      <c r="A28" s="393"/>
      <c r="B28" s="135"/>
      <c r="C28" s="136"/>
      <c r="D28" s="136"/>
      <c r="E28" s="136"/>
      <c r="F28" s="20"/>
      <c r="G28" s="20"/>
      <c r="H28" s="135"/>
      <c r="I28" s="136"/>
      <c r="J28" s="136"/>
      <c r="K28" s="136"/>
      <c r="L28" s="219"/>
      <c r="M28" s="219"/>
      <c r="N28" s="219"/>
      <c r="O28" s="219"/>
      <c r="P28" s="219"/>
      <c r="Q28" s="255">
        <v>25</v>
      </c>
      <c r="S28" s="400" t="str">
        <f>IFERROR(VLOOKUP(☆入力!$G40,選定!$C$1:$AG$100,8,FALSE),"0")</f>
        <v>0</v>
      </c>
      <c r="T28" s="401">
        <f>S28*☆入力!L40</f>
        <v>0</v>
      </c>
      <c r="U28" s="401">
        <f>☆入力!AE40*☆入力!L40</f>
        <v>0</v>
      </c>
      <c r="V28" s="401">
        <f t="shared" si="2"/>
        <v>0</v>
      </c>
      <c r="X28" s="402" t="str">
        <f>IFERROR((代理店入力用!$D$5/☆入力!$AH$14)*☆入力!$AH40,"0")</f>
        <v>0</v>
      </c>
      <c r="Y28" s="402">
        <f t="shared" si="1"/>
        <v>0</v>
      </c>
    </row>
    <row r="29" spans="1:25" ht="18" customHeight="1">
      <c r="A29" s="393"/>
      <c r="B29" s="135"/>
      <c r="C29" s="136"/>
      <c r="D29" s="417" t="e">
        <f>100%-(③後!AS6/②前!AS6)</f>
        <v>#DIV/0!</v>
      </c>
      <c r="E29" s="136"/>
      <c r="F29" s="20"/>
      <c r="G29" s="20"/>
      <c r="H29" s="145" t="s">
        <v>20</v>
      </c>
      <c r="I29" s="145" t="s">
        <v>21</v>
      </c>
      <c r="J29" s="20"/>
      <c r="K29" s="20"/>
      <c r="L29" s="219"/>
      <c r="M29" s="219"/>
      <c r="N29" s="219"/>
      <c r="O29" s="219"/>
      <c r="P29" s="219"/>
      <c r="Q29" s="255">
        <v>26</v>
      </c>
      <c r="S29" s="400" t="str">
        <f>IFERROR(VLOOKUP(☆入力!$G41,選定!$C$1:$AG$100,8,FALSE),"0")</f>
        <v>0</v>
      </c>
      <c r="T29" s="401">
        <f>S29*☆入力!L41</f>
        <v>0</v>
      </c>
      <c r="U29" s="401">
        <f>☆入力!AE41*☆入力!L41</f>
        <v>0</v>
      </c>
      <c r="V29" s="401">
        <f t="shared" si="2"/>
        <v>0</v>
      </c>
      <c r="X29" s="402" t="str">
        <f>IFERROR((代理店入力用!$D$5/☆入力!$AH$14)*☆入力!$AH41,"0")</f>
        <v>0</v>
      </c>
      <c r="Y29" s="402">
        <f t="shared" si="1"/>
        <v>0</v>
      </c>
    </row>
    <row r="30" spans="1:25" ht="18" customHeight="1">
      <c r="A30" s="393"/>
      <c r="B30" s="135"/>
      <c r="C30" s="136"/>
      <c r="D30" s="418"/>
      <c r="E30" s="136"/>
      <c r="F30" s="20"/>
      <c r="G30" s="20"/>
      <c r="I30" s="20"/>
      <c r="J30" s="20"/>
      <c r="K30" s="20"/>
      <c r="L30" s="219"/>
      <c r="M30" s="219"/>
      <c r="N30" s="219"/>
      <c r="O30" s="219"/>
      <c r="P30" s="219"/>
      <c r="Q30" s="255">
        <v>27</v>
      </c>
      <c r="S30" s="400" t="str">
        <f>IFERROR(VLOOKUP(☆入力!$G42,選定!$C$1:$AG$100,8,FALSE),"0")</f>
        <v>0</v>
      </c>
      <c r="T30" s="401">
        <f>S30*☆入力!L42</f>
        <v>0</v>
      </c>
      <c r="U30" s="401">
        <f>☆入力!AE42*☆入力!L42</f>
        <v>0</v>
      </c>
      <c r="V30" s="401">
        <f t="shared" si="2"/>
        <v>0</v>
      </c>
      <c r="X30" s="402" t="str">
        <f>IFERROR((代理店入力用!$D$5/☆入力!$AH$14)*☆入力!$AH42,"0")</f>
        <v>0</v>
      </c>
      <c r="Y30" s="402">
        <f t="shared" si="1"/>
        <v>0</v>
      </c>
    </row>
    <row r="31" spans="1:25" ht="18" customHeight="1">
      <c r="A31" s="393"/>
      <c r="B31" s="135"/>
      <c r="C31" s="135"/>
      <c r="D31" s="419">
        <f>②前!AS41-③後!AS41</f>
        <v>0</v>
      </c>
      <c r="E31" s="137"/>
      <c r="F31" s="20"/>
      <c r="G31" s="20"/>
      <c r="H31" s="22" t="s">
        <v>13</v>
      </c>
      <c r="I31" s="20"/>
      <c r="J31" s="408"/>
      <c r="K31" s="83"/>
      <c r="L31" s="219"/>
      <c r="M31" s="219"/>
      <c r="N31" s="219"/>
      <c r="O31" s="219"/>
      <c r="P31" s="219"/>
      <c r="Q31" s="255">
        <v>28</v>
      </c>
      <c r="S31" s="400" t="str">
        <f>IFERROR(VLOOKUP(☆入力!$G43,選定!$C$1:$AG$100,8,FALSE),"0")</f>
        <v>0</v>
      </c>
      <c r="T31" s="401">
        <f>S31*☆入力!L43</f>
        <v>0</v>
      </c>
      <c r="U31" s="401">
        <f>☆入力!AE43*☆入力!L43</f>
        <v>0</v>
      </c>
      <c r="V31" s="401">
        <f t="shared" si="2"/>
        <v>0</v>
      </c>
      <c r="X31" s="402" t="str">
        <f>IFERROR((代理店入力用!$D$5/☆入力!$AH$14)*☆入力!$AH43,"0")</f>
        <v>0</v>
      </c>
      <c r="Y31" s="402">
        <f t="shared" si="1"/>
        <v>0</v>
      </c>
    </row>
    <row r="32" spans="1:25" ht="18" customHeight="1">
      <c r="A32" s="393"/>
      <c r="B32" s="389">
        <f ca="1">ROUNDDOWN((☆入力!AL14)*(100%-☆入力!AR11)+代理店入力用!D5,0)</f>
        <v>0</v>
      </c>
      <c r="C32" s="20"/>
      <c r="D32" s="418"/>
      <c r="E32" s="138"/>
      <c r="F32" s="20"/>
      <c r="G32" s="20"/>
      <c r="H32" s="23" t="s">
        <v>14</v>
      </c>
      <c r="I32" s="409"/>
      <c r="J32" s="420">
        <f ca="1">B33/54</f>
        <v>0</v>
      </c>
      <c r="K32" s="409"/>
      <c r="L32" s="219"/>
      <c r="M32" s="302" t="str">
        <f>VLOOKUP(☆入力!B14,N32:O33,2,)</f>
        <v>試算エリア</v>
      </c>
      <c r="N32" s="270" t="s">
        <v>22</v>
      </c>
      <c r="O32" s="302" t="s">
        <v>23</v>
      </c>
      <c r="P32" s="219"/>
      <c r="Q32" s="255">
        <v>29</v>
      </c>
      <c r="S32" s="400" t="str">
        <f>IFERROR(VLOOKUP(☆入力!$G44,選定!$C$1:$AG$100,8,FALSE),"0")</f>
        <v>0</v>
      </c>
      <c r="T32" s="401">
        <f>S32*☆入力!L44</f>
        <v>0</v>
      </c>
      <c r="U32" s="401">
        <f>☆入力!AE44*☆入力!L44</f>
        <v>0</v>
      </c>
      <c r="V32" s="401">
        <f t="shared" si="2"/>
        <v>0</v>
      </c>
      <c r="X32" s="402" t="str">
        <f>IFERROR((代理店入力用!$D$5/☆入力!$AH$14)*☆入力!$AH44,"0")</f>
        <v>0</v>
      </c>
      <c r="Y32" s="402">
        <f t="shared" si="1"/>
        <v>0</v>
      </c>
    </row>
    <row r="33" spans="1:25" ht="18" customHeight="1">
      <c r="A33" s="393"/>
      <c r="B33" s="389">
        <f ca="1">(B32/(100%-☆入力!AR11))*(100%-☆入力!AR11-☆入力!AR12)</f>
        <v>0</v>
      </c>
      <c r="C33" s="20"/>
      <c r="D33" s="421">
        <f>☆入力!AR11</f>
        <v>0</v>
      </c>
      <c r="E33" s="20"/>
      <c r="F33" s="20"/>
      <c r="G33" s="20"/>
      <c r="H33" s="24" t="s">
        <v>15</v>
      </c>
      <c r="I33" s="139">
        <f t="shared" ref="I33:K34" si="7">I20</f>
        <v>0</v>
      </c>
      <c r="J33" s="25">
        <f t="shared" si="7"/>
        <v>0</v>
      </c>
      <c r="K33" s="25">
        <f t="shared" si="7"/>
        <v>0</v>
      </c>
      <c r="L33" s="219"/>
      <c r="M33" s="37"/>
      <c r="N33" s="270" t="s">
        <v>24</v>
      </c>
      <c r="O33" s="302" t="s">
        <v>25</v>
      </c>
      <c r="P33" s="219"/>
      <c r="Q33" s="255">
        <v>30</v>
      </c>
      <c r="S33" s="400" t="str">
        <f>IFERROR(VLOOKUP(☆入力!$G45,選定!$C$1:$AG$100,8,FALSE),"0")</f>
        <v>0</v>
      </c>
      <c r="T33" s="401">
        <f>S33*☆入力!L45</f>
        <v>0</v>
      </c>
      <c r="U33" s="401">
        <f>☆入力!AE45*☆入力!L45</f>
        <v>0</v>
      </c>
      <c r="V33" s="401">
        <f t="shared" si="2"/>
        <v>0</v>
      </c>
      <c r="X33" s="422" t="str">
        <f>IFERROR((代理店入力用!$D$5/☆入力!$AH$14)*☆入力!$AH45,"0")</f>
        <v>0</v>
      </c>
      <c r="Y33" s="422">
        <f t="shared" si="1"/>
        <v>0</v>
      </c>
    </row>
    <row r="34" spans="1:25" ht="18" customHeight="1">
      <c r="A34" s="393"/>
      <c r="B34" s="20"/>
      <c r="C34" s="20"/>
      <c r="D34" s="20"/>
      <c r="E34" s="20"/>
      <c r="F34" s="20"/>
      <c r="G34" s="20"/>
      <c r="H34" s="24" t="s">
        <v>18</v>
      </c>
      <c r="I34" s="25">
        <f t="shared" si="7"/>
        <v>0</v>
      </c>
      <c r="J34" s="25">
        <f t="shared" si="7"/>
        <v>0</v>
      </c>
      <c r="K34" s="25">
        <f t="shared" si="7"/>
        <v>0</v>
      </c>
      <c r="L34" s="218"/>
      <c r="M34" s="218"/>
      <c r="N34" s="218"/>
      <c r="O34" s="218"/>
      <c r="P34" s="218"/>
      <c r="Q34" s="218"/>
      <c r="R34" s="218"/>
      <c r="S34" s="218"/>
      <c r="T34" s="423"/>
      <c r="U34" s="424"/>
    </row>
    <row r="35" spans="1:25" ht="18" customHeight="1">
      <c r="A35" s="393"/>
      <c r="B35" s="20"/>
      <c r="C35" s="20"/>
      <c r="D35" s="20"/>
      <c r="E35" s="20"/>
      <c r="F35" s="20"/>
      <c r="G35" s="20"/>
      <c r="H35" s="142" t="s">
        <v>19</v>
      </c>
      <c r="I35" s="143">
        <f>SUM(I32:I34)</f>
        <v>0</v>
      </c>
      <c r="J35" s="143">
        <f ca="1">SUM(J32:J34)</f>
        <v>0</v>
      </c>
      <c r="K35" s="143">
        <f>SUM(K32:K34)</f>
        <v>0</v>
      </c>
      <c r="L35" s="219"/>
      <c r="M35" s="219"/>
      <c r="N35" s="219"/>
      <c r="O35" s="219"/>
      <c r="P35" s="219"/>
      <c r="Q35" s="218"/>
      <c r="R35" s="218"/>
      <c r="S35" s="218"/>
      <c r="T35" s="423"/>
      <c r="U35" s="424"/>
    </row>
    <row r="36" spans="1:25" ht="18" customHeight="1">
      <c r="A36" s="393"/>
      <c r="B36" s="20"/>
      <c r="C36" s="222" t="s">
        <v>26</v>
      </c>
      <c r="D36" s="20"/>
      <c r="E36" s="20"/>
      <c r="F36" s="20"/>
      <c r="G36" s="20"/>
      <c r="H36" s="140"/>
      <c r="I36" s="140"/>
      <c r="J36" s="141">
        <f ca="1">INT(I35-J35)</f>
        <v>0</v>
      </c>
      <c r="K36" s="141">
        <f>INT(I35-K35)</f>
        <v>0</v>
      </c>
      <c r="L36" s="219"/>
      <c r="M36" s="37" t="s">
        <v>27</v>
      </c>
      <c r="N36" s="351">
        <v>3000</v>
      </c>
      <c r="O36" s="339">
        <f>SUMIFS(☆入力!$L$16:$L$45,☆入力!$AE$16:$AE$45,N36)</f>
        <v>0</v>
      </c>
      <c r="P36" s="219"/>
      <c r="Q36" s="218"/>
      <c r="R36" s="218"/>
      <c r="S36" s="218"/>
      <c r="T36" s="218"/>
      <c r="U36" s="218"/>
    </row>
    <row r="37" spans="1:25" ht="18" customHeight="1">
      <c r="A37" s="393"/>
      <c r="B37" s="393"/>
      <c r="C37" s="255" t="s">
        <v>28</v>
      </c>
      <c r="D37" s="393"/>
      <c r="E37" s="218"/>
      <c r="F37" s="218"/>
      <c r="G37" s="218"/>
      <c r="H37" s="218"/>
      <c r="I37" s="219"/>
      <c r="J37" s="219"/>
      <c r="K37" s="219"/>
      <c r="L37" s="219"/>
      <c r="M37" s="37" t="s">
        <v>29</v>
      </c>
      <c r="N37" s="351">
        <v>5000</v>
      </c>
      <c r="O37" s="339">
        <f>SUMIFS(☆入力!$L$16:$L$45,☆入力!$AE$16:$AE$45,N37)</f>
        <v>0</v>
      </c>
      <c r="P37" s="219"/>
      <c r="Q37" s="218"/>
      <c r="R37" s="218"/>
      <c r="S37" s="218"/>
      <c r="T37" s="218"/>
      <c r="U37" s="218"/>
    </row>
    <row r="38" spans="1:25" ht="18" customHeight="1">
      <c r="A38" s="393"/>
      <c r="B38" s="393"/>
      <c r="C38" s="255" t="s">
        <v>30</v>
      </c>
      <c r="D38" s="393"/>
      <c r="E38" s="218"/>
      <c r="F38" s="218"/>
      <c r="G38" s="218"/>
      <c r="H38" s="218"/>
      <c r="I38" s="218"/>
      <c r="J38" s="219"/>
      <c r="K38" s="219"/>
      <c r="L38" s="219"/>
      <c r="M38" s="37" t="s">
        <v>31</v>
      </c>
      <c r="N38" s="351"/>
      <c r="O38" s="339">
        <f>SUMIFS(☆入力!$L$16:$L$45,☆入力!$AE$16:$AE$45,N38)</f>
        <v>0</v>
      </c>
      <c r="P38" s="219"/>
      <c r="Q38" s="218"/>
      <c r="R38" s="218"/>
      <c r="S38" s="218"/>
      <c r="T38" s="218"/>
      <c r="U38" s="218"/>
    </row>
    <row r="39" spans="1:25" ht="18" customHeight="1">
      <c r="A39" s="393"/>
      <c r="B39" s="393"/>
      <c r="C39" s="255" t="s">
        <v>32</v>
      </c>
      <c r="D39" s="393"/>
      <c r="E39" s="218"/>
      <c r="F39" s="218"/>
      <c r="G39" s="218"/>
      <c r="H39" s="218"/>
      <c r="I39" s="218"/>
      <c r="J39" s="218"/>
      <c r="K39" s="219"/>
      <c r="L39" s="219"/>
      <c r="M39" s="37" t="s">
        <v>33</v>
      </c>
      <c r="N39" s="351"/>
      <c r="O39" s="339">
        <f>SUMIFS(☆入力!$L$16:$L$45,☆入力!$AE$16:$AE$45,N39)</f>
        <v>0</v>
      </c>
      <c r="P39" s="219"/>
      <c r="Q39" s="218"/>
      <c r="R39" s="218"/>
      <c r="S39" s="218"/>
      <c r="T39" s="218"/>
      <c r="U39" s="218"/>
    </row>
    <row r="40" spans="1:25" ht="18" customHeight="1">
      <c r="A40" s="393"/>
      <c r="B40" s="393"/>
      <c r="C40" s="393" t="s">
        <v>34</v>
      </c>
      <c r="D40" s="393"/>
      <c r="E40" s="218"/>
      <c r="F40" s="218"/>
      <c r="G40" s="221"/>
      <c r="H40" s="221"/>
      <c r="I40" s="221"/>
      <c r="J40" s="221"/>
      <c r="K40" s="221"/>
      <c r="L40" s="221"/>
      <c r="M40" s="221"/>
      <c r="N40" s="221"/>
      <c r="O40" s="221"/>
      <c r="P40" s="221"/>
      <c r="Q40" s="218"/>
      <c r="R40" s="218"/>
      <c r="S40" s="218"/>
      <c r="T40" s="218"/>
      <c r="U40" s="218"/>
    </row>
    <row r="41" spans="1:25" ht="18" customHeight="1" thickBot="1">
      <c r="A41" s="425"/>
      <c r="B41" s="425"/>
      <c r="C41" s="425"/>
      <c r="D41" s="425"/>
      <c r="E41" s="425"/>
      <c r="F41" s="425"/>
      <c r="G41" s="425"/>
      <c r="H41" s="425"/>
      <c r="I41" s="425"/>
      <c r="J41" s="425"/>
      <c r="K41" s="425"/>
      <c r="L41" s="425"/>
      <c r="M41" s="425"/>
      <c r="N41" s="425"/>
      <c r="O41" s="425"/>
      <c r="P41" s="425"/>
      <c r="Q41" s="425"/>
      <c r="R41" s="425"/>
      <c r="S41" s="425"/>
      <c r="T41" s="425"/>
      <c r="U41" s="425"/>
      <c r="V41" s="425"/>
      <c r="W41" s="425"/>
      <c r="X41" s="425"/>
      <c r="Y41" s="425"/>
    </row>
    <row r="42" spans="1:25" ht="18" customHeight="1" thickTop="1">
      <c r="A42" s="452" t="s">
        <v>35</v>
      </c>
    </row>
    <row r="43" spans="1:25" ht="18" customHeight="1">
      <c r="B43" s="255">
        <f>☆入力!AG16</f>
        <v>0</v>
      </c>
      <c r="G43" s="255">
        <f>☆入力!AG17</f>
        <v>0</v>
      </c>
      <c r="L43" s="255">
        <f>☆入力!AG18</f>
        <v>0</v>
      </c>
      <c r="Q43" s="255">
        <f>☆入力!AG19</f>
        <v>0</v>
      </c>
    </row>
    <row r="44" spans="1:25" ht="18" customHeight="1">
      <c r="B44" s="409"/>
      <c r="C44" s="409" t="s">
        <v>6</v>
      </c>
      <c r="D44" s="409" t="s">
        <v>7</v>
      </c>
      <c r="E44" s="409" t="s">
        <v>36</v>
      </c>
      <c r="G44" s="409"/>
      <c r="H44" s="409" t="s">
        <v>6</v>
      </c>
      <c r="I44" s="409" t="s">
        <v>7</v>
      </c>
      <c r="J44" s="409" t="s">
        <v>36</v>
      </c>
      <c r="L44" s="409"/>
      <c r="M44" s="409" t="s">
        <v>6</v>
      </c>
      <c r="N44" s="409" t="s">
        <v>7</v>
      </c>
      <c r="O44" s="409" t="s">
        <v>36</v>
      </c>
      <c r="Q44" s="409"/>
      <c r="R44" s="409" t="s">
        <v>6</v>
      </c>
      <c r="S44" s="409" t="s">
        <v>7</v>
      </c>
      <c r="T44" s="409" t="s">
        <v>36</v>
      </c>
    </row>
    <row r="45" spans="1:25" ht="18" customHeight="1">
      <c r="B45" s="426" t="s">
        <v>14</v>
      </c>
      <c r="C45" s="438"/>
      <c r="D45" s="439">
        <f ca="1">☆入力!AR16</f>
        <v>0</v>
      </c>
      <c r="E45" s="438"/>
      <c r="G45" s="426" t="s">
        <v>14</v>
      </c>
      <c r="H45" s="438"/>
      <c r="I45" s="439">
        <f ca="1">☆入力!AR17</f>
        <v>0</v>
      </c>
      <c r="J45" s="438"/>
      <c r="L45" s="426" t="s">
        <v>14</v>
      </c>
      <c r="M45" s="438"/>
      <c r="N45" s="439">
        <f ca="1">☆入力!AR18</f>
        <v>0</v>
      </c>
      <c r="O45" s="438"/>
      <c r="Q45" s="426" t="s">
        <v>14</v>
      </c>
      <c r="R45" s="438"/>
      <c r="S45" s="439">
        <f ca="1">☆入力!AR19</f>
        <v>0</v>
      </c>
      <c r="T45" s="438"/>
    </row>
    <row r="46" spans="1:25" ht="18" customHeight="1">
      <c r="B46" s="426" t="s">
        <v>15</v>
      </c>
      <c r="C46" s="439">
        <f>K66</f>
        <v>0</v>
      </c>
      <c r="D46" s="438"/>
      <c r="E46" s="438"/>
      <c r="G46" s="426" t="s">
        <v>15</v>
      </c>
      <c r="H46" s="439">
        <f>K67</f>
        <v>0</v>
      </c>
      <c r="I46" s="438"/>
      <c r="J46" s="438"/>
      <c r="L46" s="426" t="s">
        <v>15</v>
      </c>
      <c r="M46" s="439">
        <f>K68</f>
        <v>0</v>
      </c>
      <c r="N46" s="438"/>
      <c r="O46" s="438"/>
      <c r="Q46" s="426" t="s">
        <v>15</v>
      </c>
      <c r="R46" s="439">
        <f>K69</f>
        <v>0</v>
      </c>
      <c r="S46" s="438"/>
      <c r="T46" s="438"/>
    </row>
    <row r="47" spans="1:25" ht="18" customHeight="1">
      <c r="B47" s="426" t="s">
        <v>37</v>
      </c>
      <c r="C47" s="439">
        <f>C66</f>
        <v>0</v>
      </c>
      <c r="D47" s="439">
        <f>D66</f>
        <v>0</v>
      </c>
      <c r="E47" s="439">
        <f>D66</f>
        <v>0</v>
      </c>
      <c r="G47" s="426" t="s">
        <v>37</v>
      </c>
      <c r="H47" s="439">
        <f>C67</f>
        <v>0</v>
      </c>
      <c r="I47" s="439">
        <f>D67</f>
        <v>0</v>
      </c>
      <c r="J47" s="439">
        <f>D67</f>
        <v>0</v>
      </c>
      <c r="L47" s="426" t="s">
        <v>37</v>
      </c>
      <c r="M47" s="439">
        <f>C68</f>
        <v>0</v>
      </c>
      <c r="N47" s="439">
        <f>D68</f>
        <v>0</v>
      </c>
      <c r="O47" s="439">
        <f>D68</f>
        <v>0</v>
      </c>
      <c r="Q47" s="426" t="s">
        <v>37</v>
      </c>
      <c r="R47" s="439">
        <f>C69</f>
        <v>0</v>
      </c>
      <c r="S47" s="439">
        <f>D69</f>
        <v>0</v>
      </c>
      <c r="T47" s="439">
        <f>D69</f>
        <v>0</v>
      </c>
    </row>
    <row r="48" spans="1:25" ht="18" customHeight="1">
      <c r="B48" s="428" t="s">
        <v>19</v>
      </c>
      <c r="C48" s="440">
        <f>SUM(C45:C47)</f>
        <v>0</v>
      </c>
      <c r="D48" s="440">
        <f t="shared" ref="D48:E48" ca="1" si="8">SUM(D45:D47)</f>
        <v>0</v>
      </c>
      <c r="E48" s="440">
        <f t="shared" si="8"/>
        <v>0</v>
      </c>
      <c r="G48" s="428" t="s">
        <v>19</v>
      </c>
      <c r="H48" s="440">
        <f>SUM(H45:H47)</f>
        <v>0</v>
      </c>
      <c r="I48" s="440">
        <f t="shared" ref="I48:J48" ca="1" si="9">SUM(I45:I47)</f>
        <v>0</v>
      </c>
      <c r="J48" s="440">
        <f t="shared" si="9"/>
        <v>0</v>
      </c>
      <c r="L48" s="428" t="s">
        <v>19</v>
      </c>
      <c r="M48" s="440">
        <f>SUM(M45:M47)</f>
        <v>0</v>
      </c>
      <c r="N48" s="440">
        <f t="shared" ref="N48:O48" ca="1" si="10">SUM(N45:N47)</f>
        <v>0</v>
      </c>
      <c r="O48" s="440">
        <f t="shared" si="10"/>
        <v>0</v>
      </c>
      <c r="Q48" s="428" t="s">
        <v>19</v>
      </c>
      <c r="R48" s="440">
        <f>SUM(R45:R47)</f>
        <v>0</v>
      </c>
      <c r="S48" s="440">
        <f t="shared" ref="S48:T48" ca="1" si="11">SUM(S45:S47)</f>
        <v>0</v>
      </c>
      <c r="T48" s="440">
        <f t="shared" si="11"/>
        <v>0</v>
      </c>
    </row>
    <row r="49" spans="1:21" ht="18" customHeight="1">
      <c r="B49" s="453" t="s">
        <v>38</v>
      </c>
      <c r="C49" s="454"/>
      <c r="D49" s="454">
        <f ca="1">C48-D48</f>
        <v>0</v>
      </c>
      <c r="E49" s="454">
        <f>C48-E48</f>
        <v>0</v>
      </c>
      <c r="F49" s="455"/>
      <c r="G49" s="453" t="s">
        <v>38</v>
      </c>
      <c r="H49" s="454"/>
      <c r="I49" s="454">
        <f ca="1">H48-I48</f>
        <v>0</v>
      </c>
      <c r="J49" s="454">
        <f>H48-J48</f>
        <v>0</v>
      </c>
      <c r="K49" s="455"/>
      <c r="L49" s="453" t="s">
        <v>38</v>
      </c>
      <c r="M49" s="454"/>
      <c r="N49" s="454">
        <f ca="1">M48-N48</f>
        <v>0</v>
      </c>
      <c r="O49" s="454">
        <f>M48-O48</f>
        <v>0</v>
      </c>
      <c r="P49" s="455"/>
      <c r="Q49" s="453" t="s">
        <v>38</v>
      </c>
      <c r="R49" s="454"/>
      <c r="S49" s="454">
        <f ca="1">R48-S48</f>
        <v>0</v>
      </c>
      <c r="T49" s="454">
        <f>R48-T48</f>
        <v>0</v>
      </c>
    </row>
    <row r="50" spans="1:21" ht="18" customHeight="1">
      <c r="B50" s="255" t="s">
        <v>39</v>
      </c>
      <c r="C50" s="408">
        <f ca="1">(C48-D48)*60</f>
        <v>0</v>
      </c>
      <c r="D50" s="408"/>
      <c r="E50" s="408"/>
      <c r="H50" s="408">
        <f ca="1">(H48-I48)*60</f>
        <v>0</v>
      </c>
      <c r="I50" s="408"/>
      <c r="J50" s="408"/>
      <c r="M50" s="408">
        <f ca="1">(M48-N48)*60</f>
        <v>0</v>
      </c>
      <c r="N50" s="408"/>
      <c r="O50" s="408"/>
      <c r="R50" s="408">
        <f ca="1">(R48-S48)*60</f>
        <v>0</v>
      </c>
      <c r="S50" s="408"/>
      <c r="T50" s="408"/>
    </row>
    <row r="51" spans="1:21" ht="18" customHeight="1">
      <c r="B51" s="255" t="s">
        <v>40</v>
      </c>
      <c r="C51" s="408">
        <f>(C48-E48)*60</f>
        <v>0</v>
      </c>
      <c r="D51" s="408"/>
      <c r="E51" s="408"/>
      <c r="H51" s="408">
        <f>(H48-J48)*60</f>
        <v>0</v>
      </c>
      <c r="I51" s="408"/>
      <c r="J51" s="408"/>
      <c r="M51" s="408">
        <f>(M48-O48)*60</f>
        <v>0</v>
      </c>
      <c r="N51" s="408"/>
      <c r="O51" s="408"/>
      <c r="R51" s="408">
        <f>(R48-T48)*60</f>
        <v>0</v>
      </c>
      <c r="S51" s="408"/>
      <c r="T51" s="408"/>
    </row>
    <row r="52" spans="1:21" ht="18" customHeight="1">
      <c r="B52" s="255" t="s">
        <v>41</v>
      </c>
      <c r="C52" s="408">
        <f ca="1">C50+C51</f>
        <v>0</v>
      </c>
      <c r="D52" s="408"/>
      <c r="E52" s="408"/>
      <c r="H52" s="408">
        <f ca="1">H50+H51</f>
        <v>0</v>
      </c>
      <c r="I52" s="408"/>
      <c r="J52" s="408"/>
      <c r="M52" s="408">
        <f ca="1">M50+M51</f>
        <v>0</v>
      </c>
      <c r="N52" s="408"/>
      <c r="O52" s="408"/>
      <c r="R52" s="408">
        <f ca="1">R50+R51</f>
        <v>0</v>
      </c>
      <c r="S52" s="408"/>
      <c r="T52" s="408"/>
    </row>
    <row r="53" spans="1:21" ht="18" customHeight="1">
      <c r="A53" s="451" t="s">
        <v>42</v>
      </c>
      <c r="B53" s="450"/>
      <c r="C53" s="450"/>
      <c r="D53" s="450"/>
      <c r="E53" s="450"/>
      <c r="F53" s="450"/>
      <c r="G53" s="450"/>
      <c r="H53" s="450"/>
      <c r="I53" s="450"/>
      <c r="J53" s="450"/>
      <c r="K53" s="450"/>
      <c r="L53" s="450"/>
      <c r="M53" s="450"/>
      <c r="N53" s="450"/>
      <c r="O53" s="450"/>
      <c r="P53" s="450"/>
      <c r="Q53" s="450"/>
      <c r="R53" s="450"/>
      <c r="S53" s="450"/>
      <c r="T53" s="450"/>
      <c r="U53" s="450"/>
    </row>
    <row r="54" spans="1:21" ht="18" customHeight="1">
      <c r="B54" s="255">
        <f>B43</f>
        <v>0</v>
      </c>
      <c r="G54" s="255">
        <f>G43</f>
        <v>0</v>
      </c>
      <c r="L54" s="255">
        <f>L43</f>
        <v>0</v>
      </c>
      <c r="Q54" s="255">
        <f>Q43</f>
        <v>0</v>
      </c>
    </row>
    <row r="55" spans="1:21" ht="18" customHeight="1">
      <c r="B55" s="409"/>
      <c r="C55" s="409" t="s">
        <v>6</v>
      </c>
      <c r="D55" s="409" t="s">
        <v>7</v>
      </c>
      <c r="E55" s="409" t="s">
        <v>36</v>
      </c>
      <c r="G55" s="409"/>
      <c r="H55" s="409" t="s">
        <v>6</v>
      </c>
      <c r="I55" s="409" t="s">
        <v>7</v>
      </c>
      <c r="J55" s="409" t="s">
        <v>36</v>
      </c>
      <c r="L55" s="409"/>
      <c r="M55" s="409" t="s">
        <v>6</v>
      </c>
      <c r="N55" s="409" t="s">
        <v>7</v>
      </c>
      <c r="O55" s="409" t="s">
        <v>36</v>
      </c>
      <c r="Q55" s="409"/>
      <c r="R55" s="409" t="s">
        <v>6</v>
      </c>
      <c r="S55" s="409" t="s">
        <v>7</v>
      </c>
      <c r="T55" s="409" t="s">
        <v>36</v>
      </c>
    </row>
    <row r="56" spans="1:21" ht="18" customHeight="1">
      <c r="B56" s="426" t="s">
        <v>14</v>
      </c>
      <c r="C56" s="427"/>
      <c r="D56" s="439">
        <f ca="1">D45</f>
        <v>0</v>
      </c>
      <c r="E56" s="427"/>
      <c r="G56" s="426" t="s">
        <v>14</v>
      </c>
      <c r="H56" s="427"/>
      <c r="I56" s="439">
        <f ca="1">I45</f>
        <v>0</v>
      </c>
      <c r="J56" s="427"/>
      <c r="L56" s="426" t="s">
        <v>14</v>
      </c>
      <c r="M56" s="427"/>
      <c r="N56" s="439">
        <f ca="1">N45</f>
        <v>0</v>
      </c>
      <c r="O56" s="427"/>
      <c r="Q56" s="426" t="s">
        <v>14</v>
      </c>
      <c r="R56" s="427"/>
      <c r="S56" s="439">
        <f ca="1">S45</f>
        <v>0</v>
      </c>
      <c r="T56" s="427"/>
    </row>
    <row r="57" spans="1:21" ht="18" customHeight="1">
      <c r="B57" s="426" t="s">
        <v>15</v>
      </c>
      <c r="C57" s="439">
        <f>P66</f>
        <v>0</v>
      </c>
      <c r="D57" s="443">
        <f>O66</f>
        <v>0</v>
      </c>
      <c r="E57" s="443">
        <f>O66</f>
        <v>0</v>
      </c>
      <c r="G57" s="426" t="s">
        <v>15</v>
      </c>
      <c r="H57" s="439">
        <f>P67</f>
        <v>0</v>
      </c>
      <c r="I57" s="443">
        <f>O67</f>
        <v>0</v>
      </c>
      <c r="J57" s="443">
        <f>O67</f>
        <v>0</v>
      </c>
      <c r="L57" s="426" t="s">
        <v>15</v>
      </c>
      <c r="M57" s="439">
        <f>P68</f>
        <v>0</v>
      </c>
      <c r="N57" s="443">
        <f>O68</f>
        <v>0</v>
      </c>
      <c r="O57" s="443">
        <f>O68</f>
        <v>0</v>
      </c>
      <c r="Q57" s="426" t="s">
        <v>15</v>
      </c>
      <c r="R57" s="439">
        <f>P69</f>
        <v>0</v>
      </c>
      <c r="S57" s="443">
        <f>O69</f>
        <v>0</v>
      </c>
      <c r="T57" s="443">
        <f>O69</f>
        <v>0</v>
      </c>
    </row>
    <row r="58" spans="1:21" ht="18" customHeight="1">
      <c r="B58" s="426" t="s">
        <v>37</v>
      </c>
      <c r="C58" s="439">
        <f>C47</f>
        <v>0</v>
      </c>
      <c r="D58" s="439">
        <f>D47</f>
        <v>0</v>
      </c>
      <c r="E58" s="439">
        <f>E47</f>
        <v>0</v>
      </c>
      <c r="G58" s="426" t="s">
        <v>37</v>
      </c>
      <c r="H58" s="439">
        <f>H47</f>
        <v>0</v>
      </c>
      <c r="I58" s="439">
        <f>I47</f>
        <v>0</v>
      </c>
      <c r="J58" s="439">
        <f>J47</f>
        <v>0</v>
      </c>
      <c r="L58" s="426" t="s">
        <v>37</v>
      </c>
      <c r="M58" s="439">
        <f>M47</f>
        <v>0</v>
      </c>
      <c r="N58" s="439">
        <f>N47</f>
        <v>0</v>
      </c>
      <c r="O58" s="439">
        <f>O47</f>
        <v>0</v>
      </c>
      <c r="Q58" s="426" t="s">
        <v>37</v>
      </c>
      <c r="R58" s="439">
        <f>R47</f>
        <v>0</v>
      </c>
      <c r="S58" s="439">
        <f>S47</f>
        <v>0</v>
      </c>
      <c r="T58" s="439">
        <f>T47</f>
        <v>0</v>
      </c>
    </row>
    <row r="59" spans="1:21" ht="18" customHeight="1">
      <c r="B59" s="428" t="s">
        <v>19</v>
      </c>
      <c r="C59" s="440">
        <f>SUM(C56:C58)</f>
        <v>0</v>
      </c>
      <c r="D59" s="440">
        <f t="shared" ref="D59:E59" ca="1" si="12">SUM(D56:D58)</f>
        <v>0</v>
      </c>
      <c r="E59" s="440">
        <f t="shared" si="12"/>
        <v>0</v>
      </c>
      <c r="G59" s="428" t="s">
        <v>19</v>
      </c>
      <c r="H59" s="440">
        <f>SUM(H56:H58)</f>
        <v>0</v>
      </c>
      <c r="I59" s="440">
        <f t="shared" ref="I59:J59" ca="1" si="13">SUM(I56:I58)</f>
        <v>0</v>
      </c>
      <c r="J59" s="440">
        <f t="shared" si="13"/>
        <v>0</v>
      </c>
      <c r="L59" s="428" t="s">
        <v>19</v>
      </c>
      <c r="M59" s="440">
        <f>SUM(M56:M58)</f>
        <v>0</v>
      </c>
      <c r="N59" s="440">
        <f t="shared" ref="N59:O59" ca="1" si="14">SUM(N56:N58)</f>
        <v>0</v>
      </c>
      <c r="O59" s="440">
        <f t="shared" si="14"/>
        <v>0</v>
      </c>
      <c r="Q59" s="428" t="s">
        <v>19</v>
      </c>
      <c r="R59" s="440">
        <f>SUM(R56:R58)</f>
        <v>0</v>
      </c>
      <c r="S59" s="440">
        <f t="shared" ref="S59:T59" ca="1" si="15">SUM(S56:S58)</f>
        <v>0</v>
      </c>
      <c r="T59" s="440">
        <f t="shared" si="15"/>
        <v>0</v>
      </c>
    </row>
    <row r="60" spans="1:21" ht="18" customHeight="1">
      <c r="B60" s="453" t="s">
        <v>38</v>
      </c>
      <c r="C60" s="453"/>
      <c r="D60" s="454">
        <f ca="1">C59-D59</f>
        <v>0</v>
      </c>
      <c r="E60" s="454">
        <f>C59-E59</f>
        <v>0</v>
      </c>
      <c r="F60" s="455"/>
      <c r="G60" s="453" t="s">
        <v>38</v>
      </c>
      <c r="H60" s="453"/>
      <c r="I60" s="454">
        <f ca="1">H59-I59</f>
        <v>0</v>
      </c>
      <c r="J60" s="454">
        <f>H59-J59</f>
        <v>0</v>
      </c>
      <c r="K60" s="455"/>
      <c r="L60" s="453" t="s">
        <v>38</v>
      </c>
      <c r="M60" s="453"/>
      <c r="N60" s="454">
        <f ca="1">M59-N59</f>
        <v>0</v>
      </c>
      <c r="O60" s="454">
        <f>M59-O59</f>
        <v>0</v>
      </c>
      <c r="P60" s="455"/>
      <c r="Q60" s="453" t="s">
        <v>38</v>
      </c>
      <c r="R60" s="453"/>
      <c r="S60" s="454">
        <f ca="1">R59-S59</f>
        <v>0</v>
      </c>
      <c r="T60" s="454">
        <f>R59-T59</f>
        <v>0</v>
      </c>
    </row>
    <row r="61" spans="1:21" ht="18" customHeight="1">
      <c r="B61" s="255" t="s">
        <v>39</v>
      </c>
      <c r="C61" s="408">
        <f ca="1">(C59-D59)*60</f>
        <v>0</v>
      </c>
      <c r="H61" s="408">
        <f ca="1">(H59-I59)*60</f>
        <v>0</v>
      </c>
      <c r="M61" s="408">
        <f ca="1">(M59-N59)*60</f>
        <v>0</v>
      </c>
      <c r="R61" s="408">
        <f ca="1">(R59-S59)*60</f>
        <v>0</v>
      </c>
    </row>
    <row r="62" spans="1:21" ht="18" customHeight="1">
      <c r="B62" s="255" t="s">
        <v>40</v>
      </c>
      <c r="C62" s="408">
        <f>(C59-E59)*60</f>
        <v>0</v>
      </c>
      <c r="H62" s="408">
        <f>(H59-J59)*60</f>
        <v>0</v>
      </c>
      <c r="M62" s="408">
        <f>(M59-O59)*60</f>
        <v>0</v>
      </c>
      <c r="R62" s="408">
        <f>(R59-T59)*60</f>
        <v>0</v>
      </c>
    </row>
    <row r="63" spans="1:21" ht="18" customHeight="1">
      <c r="B63" s="255" t="s">
        <v>41</v>
      </c>
      <c r="C63" s="408">
        <f ca="1">C61+C62</f>
        <v>0</v>
      </c>
      <c r="H63" s="408">
        <f ca="1">H61+H62</f>
        <v>0</v>
      </c>
      <c r="M63" s="408">
        <f ca="1">M61+M62</f>
        <v>0</v>
      </c>
      <c r="R63" s="408">
        <f ca="1">R61+R62</f>
        <v>0</v>
      </c>
    </row>
    <row r="65" spans="1:17" ht="18" customHeight="1">
      <c r="B65" s="431"/>
      <c r="C65" s="431" t="s">
        <v>43</v>
      </c>
      <c r="D65" s="431" t="s">
        <v>44</v>
      </c>
      <c r="E65" s="431">
        <v>360</v>
      </c>
      <c r="F65" s="431">
        <v>720</v>
      </c>
      <c r="G65" s="431" t="s">
        <v>45</v>
      </c>
      <c r="H65" s="431" t="s">
        <v>46</v>
      </c>
      <c r="I65" s="431" t="s">
        <v>47</v>
      </c>
      <c r="J65" s="431" t="s">
        <v>48</v>
      </c>
      <c r="K65" s="431"/>
      <c r="L65" s="431" t="s">
        <v>49</v>
      </c>
      <c r="M65" s="431" t="s">
        <v>50</v>
      </c>
      <c r="N65" s="431" t="s">
        <v>51</v>
      </c>
      <c r="O65" s="431"/>
    </row>
    <row r="66" spans="1:17" ht="18" customHeight="1">
      <c r="B66" s="429">
        <f>☆入力!AG16</f>
        <v>0</v>
      </c>
      <c r="C66" s="429">
        <f>SUMIF(☆入力!$B$16:$B$45,☆入力!$AG16,☆入力!$Y$16:$Y$45)</f>
        <v>0</v>
      </c>
      <c r="D66" s="429">
        <f>SUMIF(☆入力!$B$16:$B$45,☆入力!$AG16,☆入力!$AC$16:$AC$45)</f>
        <v>0</v>
      </c>
      <c r="E66" s="429">
        <f>SUMIFS(☆入力!$L$16:$L$45,☆入力!$H$16:$H$45,$E$65,☆入力!$B$16:$B$45,☆入力!$AG16)</f>
        <v>0</v>
      </c>
      <c r="F66" s="429">
        <f>SUMIFS(☆入力!$L$16:$L$45,☆入力!$H$16:$H$45,$F$65,☆入力!$B$16:$B$45,☆入力!$AG16)</f>
        <v>0</v>
      </c>
      <c r="G66" s="432">
        <f>☆入力!$AR$9*$E66*7</f>
        <v>0</v>
      </c>
      <c r="H66" s="432">
        <f>☆入力!$AR$9*$F66*15</f>
        <v>0</v>
      </c>
      <c r="I66" s="432">
        <f>☆入力!$M$12*10000*2</f>
        <v>0</v>
      </c>
      <c r="J66" s="432">
        <f>SUM(G66:H66)</f>
        <v>0</v>
      </c>
      <c r="K66" s="434">
        <f>J66/120</f>
        <v>0</v>
      </c>
      <c r="L66" s="432">
        <f>F66*3000*1</f>
        <v>0</v>
      </c>
      <c r="M66" s="432">
        <f>☆入力!$M$12*8000*2</f>
        <v>0</v>
      </c>
      <c r="N66" s="436">
        <f>SUM(L66:M66)</f>
        <v>0</v>
      </c>
      <c r="O66" s="434">
        <f>N66/120</f>
        <v>0</v>
      </c>
      <c r="P66" s="398">
        <f>(J66+I66)/120</f>
        <v>0</v>
      </c>
    </row>
    <row r="67" spans="1:17" ht="18" customHeight="1">
      <c r="B67" s="429">
        <f>☆入力!AG17</f>
        <v>0</v>
      </c>
      <c r="C67" s="429">
        <f>SUMIF(☆入力!$B$16:$B$45,☆入力!$AG17,☆入力!$Y$16:$Y$45)</f>
        <v>0</v>
      </c>
      <c r="D67" s="429">
        <f>SUMIF(☆入力!$B$16:$B$45,☆入力!$AG17,☆入力!$AC$16:$AC$45)</f>
        <v>0</v>
      </c>
      <c r="E67" s="429">
        <f>SUMIFS(☆入力!$L$16:$L$45,☆入力!$H$16:$H$45,$E$65,☆入力!$B$16:$B$45,☆入力!$AG17)</f>
        <v>0</v>
      </c>
      <c r="F67" s="429">
        <f>SUMIFS(☆入力!$L$16:$L$45,☆入力!$H$16:$H$45,$F$65,☆入力!$B$16:$B$45,☆入力!$AG17)</f>
        <v>0</v>
      </c>
      <c r="G67" s="432">
        <f>☆入力!$AR$9*$E67*7</f>
        <v>0</v>
      </c>
      <c r="H67" s="432">
        <f>☆入力!$AR$9*$F67*15</f>
        <v>0</v>
      </c>
      <c r="I67" s="432">
        <f>☆入力!$N$12*10000*2</f>
        <v>0</v>
      </c>
      <c r="J67" s="432">
        <f>SUM(G67:H67)</f>
        <v>0</v>
      </c>
      <c r="K67" s="434">
        <f t="shared" ref="K67:K69" si="16">J67/120</f>
        <v>0</v>
      </c>
      <c r="L67" s="432">
        <f>F67*3000*1</f>
        <v>0</v>
      </c>
      <c r="M67" s="432">
        <f>☆入力!$N$12*8000*2</f>
        <v>0</v>
      </c>
      <c r="N67" s="436">
        <f t="shared" ref="N67:N69" si="17">SUM(L67:M67)</f>
        <v>0</v>
      </c>
      <c r="O67" s="434">
        <f t="shared" ref="O67:O69" si="18">N67/120</f>
        <v>0</v>
      </c>
      <c r="P67" s="398">
        <f t="shared" ref="P67:P69" si="19">(J67+I67)/120</f>
        <v>0</v>
      </c>
    </row>
    <row r="68" spans="1:17" ht="18" customHeight="1">
      <c r="B68" s="429">
        <f>☆入力!AG18</f>
        <v>0</v>
      </c>
      <c r="C68" s="429">
        <f>SUMIF(☆入力!$B$16:$B$45,☆入力!$AG18,☆入力!$Y$16:$Y$45)</f>
        <v>0</v>
      </c>
      <c r="D68" s="429">
        <f>SUMIF(☆入力!$B$16:$B$45,☆入力!$AG18,☆入力!$AC$16:$AC$45)</f>
        <v>0</v>
      </c>
      <c r="E68" s="429">
        <f>SUMIFS(☆入力!$L$16:$L$45,☆入力!$H$16:$H$45,$E$65,☆入力!$B$16:$B$45,☆入力!$AG18)</f>
        <v>0</v>
      </c>
      <c r="F68" s="429">
        <f>SUMIFS(☆入力!$L$16:$L$45,☆入力!$H$16:$H$45,$F$65,☆入力!$B$16:$B$45,☆入力!$AG18)</f>
        <v>0</v>
      </c>
      <c r="G68" s="432">
        <f>☆入力!$AR$9*$E68*7</f>
        <v>0</v>
      </c>
      <c r="H68" s="432">
        <f>☆入力!$AR$9*$F68*15</f>
        <v>0</v>
      </c>
      <c r="I68" s="432">
        <f>☆入力!$O$12*10000*2</f>
        <v>0</v>
      </c>
      <c r="J68" s="432">
        <f>SUM(G68:H68)</f>
        <v>0</v>
      </c>
      <c r="K68" s="434">
        <f t="shared" si="16"/>
        <v>0</v>
      </c>
      <c r="L68" s="432">
        <f>F68*3000*1</f>
        <v>0</v>
      </c>
      <c r="M68" s="432">
        <f>☆入力!$O$12*8000*2</f>
        <v>0</v>
      </c>
      <c r="N68" s="436">
        <f t="shared" si="17"/>
        <v>0</v>
      </c>
      <c r="O68" s="434">
        <f t="shared" si="18"/>
        <v>0</v>
      </c>
      <c r="P68" s="398">
        <f t="shared" si="19"/>
        <v>0</v>
      </c>
    </row>
    <row r="69" spans="1:17" ht="18" customHeight="1">
      <c r="B69" s="430">
        <f>☆入力!AG19</f>
        <v>0</v>
      </c>
      <c r="C69" s="430">
        <f>SUMIF(☆入力!$B$16:$B$45,☆入力!$AG19,☆入力!$Y$16:$Y$45)</f>
        <v>0</v>
      </c>
      <c r="D69" s="430">
        <f>SUMIF(☆入力!$B$16:$B$45,☆入力!$AG19,☆入力!$AC$16:$AC$45)</f>
        <v>0</v>
      </c>
      <c r="E69" s="430">
        <f>SUMIFS(☆入力!$L$16:$L$45,☆入力!$H$16:$H$45,$E$65,☆入力!$B$16:$B$45,☆入力!$AG19)</f>
        <v>0</v>
      </c>
      <c r="F69" s="430">
        <f>SUMIFS(☆入力!$L$16:$L$45,☆入力!$H$16:$H$45,$F$65,☆入力!$B$16:$B$45,☆入力!$AG19)</f>
        <v>0</v>
      </c>
      <c r="G69" s="433">
        <f>☆入力!$AR$9*$E69*7</f>
        <v>0</v>
      </c>
      <c r="H69" s="433">
        <f>☆入力!$AR$9*$F69*15</f>
        <v>0</v>
      </c>
      <c r="I69" s="458">
        <f>☆入力!$P$12*10000*2</f>
        <v>0</v>
      </c>
      <c r="J69" s="433">
        <f>SUM(G69:H69)</f>
        <v>0</v>
      </c>
      <c r="K69" s="435">
        <f t="shared" si="16"/>
        <v>0</v>
      </c>
      <c r="L69" s="433">
        <f>F69*3000*1</f>
        <v>0</v>
      </c>
      <c r="M69" s="433">
        <f>☆入力!$P$12*8000*2</f>
        <v>0</v>
      </c>
      <c r="N69" s="437">
        <f t="shared" si="17"/>
        <v>0</v>
      </c>
      <c r="O69" s="435">
        <f t="shared" si="18"/>
        <v>0</v>
      </c>
      <c r="P69" s="398">
        <f t="shared" si="19"/>
        <v>0</v>
      </c>
    </row>
    <row r="70" spans="1:17" ht="18" customHeight="1">
      <c r="C70" s="255">
        <f>SUM(C66:C69)</f>
        <v>0</v>
      </c>
      <c r="D70" s="255">
        <f>SUM(D66:D69)</f>
        <v>0</v>
      </c>
      <c r="G70" s="456">
        <f>SUM(G66:G69)</f>
        <v>0</v>
      </c>
      <c r="I70" s="456">
        <f>SUM(I66:I69)</f>
        <v>0</v>
      </c>
      <c r="K70" s="456">
        <f>SUM(K66:K69)</f>
        <v>0</v>
      </c>
      <c r="O70" s="456">
        <f>SUM(O66:O69)</f>
        <v>0</v>
      </c>
      <c r="P70" s="457">
        <f>SUM(P66:P69)</f>
        <v>0</v>
      </c>
    </row>
    <row r="74" spans="1:17" ht="18" customHeight="1">
      <c r="A74" s="255" t="s">
        <v>52</v>
      </c>
      <c r="B74" s="463">
        <f>☆入力!AG16</f>
        <v>0</v>
      </c>
      <c r="E74" s="255">
        <v>12</v>
      </c>
      <c r="F74" s="255">
        <v>12</v>
      </c>
      <c r="G74" s="255">
        <v>12</v>
      </c>
      <c r="H74" s="255">
        <v>12</v>
      </c>
      <c r="I74" s="255">
        <v>12</v>
      </c>
      <c r="J74" s="255">
        <v>12</v>
      </c>
      <c r="K74" s="255">
        <v>12</v>
      </c>
      <c r="L74" s="255">
        <v>12</v>
      </c>
      <c r="M74" s="255">
        <v>12</v>
      </c>
      <c r="N74" s="255">
        <v>12</v>
      </c>
      <c r="O74" s="255">
        <v>12</v>
      </c>
      <c r="P74" s="255" t="s">
        <v>53</v>
      </c>
    </row>
    <row r="75" spans="1:17" ht="18" customHeight="1">
      <c r="B75" s="255" t="s">
        <v>54</v>
      </c>
      <c r="C75" s="255" t="s">
        <v>55</v>
      </c>
      <c r="D75" s="255" t="s">
        <v>15</v>
      </c>
      <c r="E75" s="461">
        <v>0</v>
      </c>
      <c r="F75" s="461">
        <v>1</v>
      </c>
      <c r="G75" s="461">
        <v>2</v>
      </c>
      <c r="H75" s="461">
        <v>3</v>
      </c>
      <c r="I75" s="461">
        <v>4</v>
      </c>
      <c r="J75" s="461">
        <v>5</v>
      </c>
      <c r="K75" s="461">
        <v>6</v>
      </c>
      <c r="L75" s="461">
        <v>7</v>
      </c>
      <c r="M75" s="461">
        <v>8</v>
      </c>
      <c r="N75" s="461">
        <v>9</v>
      </c>
      <c r="O75" s="461">
        <v>10</v>
      </c>
      <c r="P75" s="255" t="s">
        <v>56</v>
      </c>
    </row>
    <row r="76" spans="1:17" ht="18" customHeight="1">
      <c r="B76" s="462"/>
      <c r="C76" s="398">
        <f>C66</f>
        <v>0</v>
      </c>
      <c r="D76" s="398">
        <f>K66</f>
        <v>0</v>
      </c>
      <c r="E76" s="467">
        <f>($C76+$D76)*E$75*E$74</f>
        <v>0</v>
      </c>
      <c r="F76" s="467">
        <f>($C$76+$D$76)*F$75*F$74</f>
        <v>0</v>
      </c>
      <c r="G76" s="467">
        <f>($C$76+$D$76)*G$75*G$74</f>
        <v>0</v>
      </c>
      <c r="H76" s="467">
        <f t="shared" ref="H76:O76" si="20">($C$76+$D$76)*H$75*H$74</f>
        <v>0</v>
      </c>
      <c r="I76" s="467">
        <f t="shared" si="20"/>
        <v>0</v>
      </c>
      <c r="J76" s="467">
        <f t="shared" si="20"/>
        <v>0</v>
      </c>
      <c r="K76" s="467">
        <f t="shared" si="20"/>
        <v>0</v>
      </c>
      <c r="L76" s="467">
        <f t="shared" si="20"/>
        <v>0</v>
      </c>
      <c r="M76" s="467">
        <f t="shared" si="20"/>
        <v>0</v>
      </c>
      <c r="N76" s="467">
        <f t="shared" si="20"/>
        <v>0</v>
      </c>
      <c r="O76" s="467">
        <f t="shared" si="20"/>
        <v>0</v>
      </c>
      <c r="P76" s="255" t="s">
        <v>6</v>
      </c>
      <c r="Q76" s="255" t="s">
        <v>57</v>
      </c>
    </row>
    <row r="77" spans="1:17" ht="18" customHeight="1">
      <c r="B77" s="462"/>
      <c r="C77" s="398">
        <f>C66</f>
        <v>0</v>
      </c>
      <c r="D77" s="398">
        <f>P66</f>
        <v>0</v>
      </c>
      <c r="E77" s="469">
        <f>($C77+$D77)*E$75*E$74</f>
        <v>0</v>
      </c>
      <c r="F77" s="469">
        <f t="shared" ref="F77:O77" si="21">($C77+$D77)*F$75*F$74</f>
        <v>0</v>
      </c>
      <c r="G77" s="469">
        <f t="shared" si="21"/>
        <v>0</v>
      </c>
      <c r="H77" s="469">
        <f t="shared" si="21"/>
        <v>0</v>
      </c>
      <c r="I77" s="469">
        <f t="shared" si="21"/>
        <v>0</v>
      </c>
      <c r="J77" s="469">
        <f t="shared" si="21"/>
        <v>0</v>
      </c>
      <c r="K77" s="469">
        <f t="shared" si="21"/>
        <v>0</v>
      </c>
      <c r="L77" s="469">
        <f t="shared" si="21"/>
        <v>0</v>
      </c>
      <c r="M77" s="469">
        <f t="shared" si="21"/>
        <v>0</v>
      </c>
      <c r="N77" s="469">
        <f t="shared" si="21"/>
        <v>0</v>
      </c>
      <c r="O77" s="469">
        <f t="shared" si="21"/>
        <v>0</v>
      </c>
      <c r="P77" s="255" t="s">
        <v>6</v>
      </c>
      <c r="Q77" s="255" t="s">
        <v>42</v>
      </c>
    </row>
    <row r="78" spans="1:17" ht="18" customHeight="1">
      <c r="B78" s="456">
        <f ca="1">☆入力!AO16</f>
        <v>0</v>
      </c>
      <c r="C78" s="398">
        <f>D66</f>
        <v>0</v>
      </c>
      <c r="D78" s="398">
        <v>0</v>
      </c>
      <c r="E78" s="468">
        <f ca="1">(($C78+$D78)*E$75*E$74)+$B78</f>
        <v>0</v>
      </c>
      <c r="F78" s="468">
        <f ca="1">(($C78+$D78)*F$75*F$74)+$B78</f>
        <v>0</v>
      </c>
      <c r="G78" s="468">
        <f ca="1">(($C78+$D78)*G$75*G$74)+$B78</f>
        <v>0</v>
      </c>
      <c r="H78" s="468">
        <f ca="1">(($C78+$D78)*H$75*H$74)+$B78</f>
        <v>0</v>
      </c>
      <c r="I78" s="468">
        <f t="shared" ref="E78:O79" ca="1" si="22">(($C78+$D78)*I$75*I$74)+$B78</f>
        <v>0</v>
      </c>
      <c r="J78" s="468">
        <f t="shared" ca="1" si="22"/>
        <v>0</v>
      </c>
      <c r="K78" s="468">
        <f t="shared" ca="1" si="22"/>
        <v>0</v>
      </c>
      <c r="L78" s="468">
        <f t="shared" ca="1" si="22"/>
        <v>0</v>
      </c>
      <c r="M78" s="468">
        <f t="shared" ca="1" si="22"/>
        <v>0</v>
      </c>
      <c r="N78" s="468">
        <f t="shared" ca="1" si="22"/>
        <v>0</v>
      </c>
      <c r="O78" s="468">
        <f t="shared" ca="1" si="22"/>
        <v>0</v>
      </c>
      <c r="P78" s="255" t="s">
        <v>58</v>
      </c>
      <c r="Q78" s="255" t="s">
        <v>57</v>
      </c>
    </row>
    <row r="79" spans="1:17" ht="18" customHeight="1">
      <c r="B79" s="456">
        <f ca="1">☆入力!AO16</f>
        <v>0</v>
      </c>
      <c r="C79" s="398">
        <f>D66</f>
        <v>0</v>
      </c>
      <c r="D79" s="398">
        <f>O66</f>
        <v>0</v>
      </c>
      <c r="E79" s="469">
        <f t="shared" ca="1" si="22"/>
        <v>0</v>
      </c>
      <c r="F79" s="469">
        <f t="shared" ca="1" si="22"/>
        <v>0</v>
      </c>
      <c r="G79" s="469">
        <f t="shared" ca="1" si="22"/>
        <v>0</v>
      </c>
      <c r="H79" s="469">
        <f t="shared" ca="1" si="22"/>
        <v>0</v>
      </c>
      <c r="I79" s="469">
        <f t="shared" ca="1" si="22"/>
        <v>0</v>
      </c>
      <c r="J79" s="469">
        <f t="shared" ca="1" si="22"/>
        <v>0</v>
      </c>
      <c r="K79" s="469">
        <f t="shared" ca="1" si="22"/>
        <v>0</v>
      </c>
      <c r="L79" s="469">
        <f t="shared" ca="1" si="22"/>
        <v>0</v>
      </c>
      <c r="M79" s="469">
        <f t="shared" ca="1" si="22"/>
        <v>0</v>
      </c>
      <c r="N79" s="469">
        <f t="shared" ca="1" si="22"/>
        <v>0</v>
      </c>
      <c r="O79" s="469">
        <f t="shared" ca="1" si="22"/>
        <v>0</v>
      </c>
      <c r="P79" s="255" t="s">
        <v>58</v>
      </c>
      <c r="Q79" s="255" t="s">
        <v>42</v>
      </c>
    </row>
    <row r="82" spans="1:17" ht="18" customHeight="1">
      <c r="A82" s="255" t="s">
        <v>52</v>
      </c>
      <c r="B82" s="464">
        <f>B67</f>
        <v>0</v>
      </c>
      <c r="E82" s="255">
        <v>12</v>
      </c>
      <c r="F82" s="255">
        <v>12</v>
      </c>
      <c r="G82" s="255">
        <v>12</v>
      </c>
      <c r="H82" s="255">
        <v>12</v>
      </c>
      <c r="I82" s="255">
        <v>12</v>
      </c>
      <c r="J82" s="255">
        <v>12</v>
      </c>
      <c r="K82" s="255">
        <v>12</v>
      </c>
      <c r="L82" s="255">
        <v>12</v>
      </c>
      <c r="M82" s="255">
        <v>12</v>
      </c>
      <c r="N82" s="255">
        <v>12</v>
      </c>
      <c r="O82" s="255">
        <v>12</v>
      </c>
      <c r="P82" s="255" t="s">
        <v>53</v>
      </c>
    </row>
    <row r="83" spans="1:17" ht="18" customHeight="1">
      <c r="B83" s="255" t="s">
        <v>54</v>
      </c>
      <c r="C83" s="255" t="s">
        <v>55</v>
      </c>
      <c r="D83" s="255" t="s">
        <v>15</v>
      </c>
      <c r="E83" s="465">
        <v>0</v>
      </c>
      <c r="F83" s="465">
        <v>1</v>
      </c>
      <c r="G83" s="465">
        <v>2</v>
      </c>
      <c r="H83" s="465">
        <v>3</v>
      </c>
      <c r="I83" s="465">
        <v>4</v>
      </c>
      <c r="J83" s="465">
        <v>5</v>
      </c>
      <c r="K83" s="465">
        <v>6</v>
      </c>
      <c r="L83" s="465">
        <v>7</v>
      </c>
      <c r="M83" s="465">
        <v>8</v>
      </c>
      <c r="N83" s="465">
        <v>9</v>
      </c>
      <c r="O83" s="465">
        <v>10</v>
      </c>
      <c r="P83" s="255" t="s">
        <v>56</v>
      </c>
    </row>
    <row r="84" spans="1:17" ht="18" customHeight="1">
      <c r="B84" s="466"/>
      <c r="C84" s="460">
        <f>C67</f>
        <v>0</v>
      </c>
      <c r="D84" s="460">
        <f>K67</f>
        <v>0</v>
      </c>
      <c r="E84" s="468">
        <f t="shared" ref="E84:O85" si="23">($C84+$D84)*E$75*E$74</f>
        <v>0</v>
      </c>
      <c r="F84" s="468">
        <f t="shared" si="23"/>
        <v>0</v>
      </c>
      <c r="G84" s="468">
        <f t="shared" si="23"/>
        <v>0</v>
      </c>
      <c r="H84" s="468">
        <f t="shared" si="23"/>
        <v>0</v>
      </c>
      <c r="I84" s="468">
        <f t="shared" si="23"/>
        <v>0</v>
      </c>
      <c r="J84" s="468">
        <f t="shared" si="23"/>
        <v>0</v>
      </c>
      <c r="K84" s="468">
        <f t="shared" si="23"/>
        <v>0</v>
      </c>
      <c r="L84" s="468">
        <f t="shared" si="23"/>
        <v>0</v>
      </c>
      <c r="M84" s="468">
        <f t="shared" si="23"/>
        <v>0</v>
      </c>
      <c r="N84" s="468">
        <f t="shared" si="23"/>
        <v>0</v>
      </c>
      <c r="O84" s="468">
        <f t="shared" si="23"/>
        <v>0</v>
      </c>
      <c r="P84" s="255" t="s">
        <v>6</v>
      </c>
      <c r="Q84" s="255" t="s">
        <v>57</v>
      </c>
    </row>
    <row r="85" spans="1:17" ht="18" customHeight="1">
      <c r="B85" s="466"/>
      <c r="C85" s="460">
        <f>C67</f>
        <v>0</v>
      </c>
      <c r="D85" s="460">
        <f>P67</f>
        <v>0</v>
      </c>
      <c r="E85" s="469">
        <f t="shared" si="23"/>
        <v>0</v>
      </c>
      <c r="F85" s="469">
        <f t="shared" si="23"/>
        <v>0</v>
      </c>
      <c r="G85" s="469">
        <f t="shared" si="23"/>
        <v>0</v>
      </c>
      <c r="H85" s="469">
        <f t="shared" si="23"/>
        <v>0</v>
      </c>
      <c r="I85" s="469">
        <f t="shared" si="23"/>
        <v>0</v>
      </c>
      <c r="J85" s="469">
        <f t="shared" si="23"/>
        <v>0</v>
      </c>
      <c r="K85" s="469">
        <f t="shared" si="23"/>
        <v>0</v>
      </c>
      <c r="L85" s="469">
        <f t="shared" si="23"/>
        <v>0</v>
      </c>
      <c r="M85" s="469">
        <f t="shared" si="23"/>
        <v>0</v>
      </c>
      <c r="N85" s="469">
        <f t="shared" si="23"/>
        <v>0</v>
      </c>
      <c r="O85" s="469">
        <f t="shared" si="23"/>
        <v>0</v>
      </c>
      <c r="P85" s="255" t="s">
        <v>6</v>
      </c>
      <c r="Q85" s="255" t="s">
        <v>42</v>
      </c>
    </row>
    <row r="86" spans="1:17" ht="18" customHeight="1">
      <c r="B86" s="457">
        <f ca="1">☆入力!AO17</f>
        <v>0</v>
      </c>
      <c r="C86" s="460">
        <f>D67</f>
        <v>0</v>
      </c>
      <c r="D86" s="460">
        <v>0</v>
      </c>
      <c r="E86" s="468">
        <f t="shared" ref="E86:E87" ca="1" si="24">(($C86+$D86)*E$75*E$74)+$B86</f>
        <v>0</v>
      </c>
      <c r="F86" s="468">
        <f t="shared" ref="F86:O87" ca="1" si="25">(($C86+$D86)*F$75*F$74)+$B86</f>
        <v>0</v>
      </c>
      <c r="G86" s="468">
        <f t="shared" ca="1" si="25"/>
        <v>0</v>
      </c>
      <c r="H86" s="468">
        <f t="shared" ca="1" si="25"/>
        <v>0</v>
      </c>
      <c r="I86" s="468">
        <f t="shared" ca="1" si="25"/>
        <v>0</v>
      </c>
      <c r="J86" s="468">
        <f t="shared" ca="1" si="25"/>
        <v>0</v>
      </c>
      <c r="K86" s="468">
        <f t="shared" ca="1" si="25"/>
        <v>0</v>
      </c>
      <c r="L86" s="468">
        <f t="shared" ca="1" si="25"/>
        <v>0</v>
      </c>
      <c r="M86" s="468">
        <f t="shared" ca="1" si="25"/>
        <v>0</v>
      </c>
      <c r="N86" s="468">
        <f t="shared" ca="1" si="25"/>
        <v>0</v>
      </c>
      <c r="O86" s="468">
        <f t="shared" ca="1" si="25"/>
        <v>0</v>
      </c>
      <c r="P86" s="255" t="s">
        <v>58</v>
      </c>
      <c r="Q86" s="255" t="s">
        <v>57</v>
      </c>
    </row>
    <row r="87" spans="1:17" ht="18" customHeight="1">
      <c r="B87" s="457">
        <f ca="1">☆入力!AO17</f>
        <v>0</v>
      </c>
      <c r="C87" s="460">
        <f>D67</f>
        <v>0</v>
      </c>
      <c r="D87" s="460">
        <f>O67</f>
        <v>0</v>
      </c>
      <c r="E87" s="469">
        <f t="shared" ca="1" si="24"/>
        <v>0</v>
      </c>
      <c r="F87" s="469">
        <f t="shared" ca="1" si="25"/>
        <v>0</v>
      </c>
      <c r="G87" s="469">
        <f t="shared" ca="1" si="25"/>
        <v>0</v>
      </c>
      <c r="H87" s="469">
        <f t="shared" ca="1" si="25"/>
        <v>0</v>
      </c>
      <c r="I87" s="469">
        <f t="shared" ca="1" si="25"/>
        <v>0</v>
      </c>
      <c r="J87" s="469">
        <f t="shared" ca="1" si="25"/>
        <v>0</v>
      </c>
      <c r="K87" s="469">
        <f t="shared" ca="1" si="25"/>
        <v>0</v>
      </c>
      <c r="L87" s="469">
        <f t="shared" ca="1" si="25"/>
        <v>0</v>
      </c>
      <c r="M87" s="469">
        <f t="shared" ca="1" si="25"/>
        <v>0</v>
      </c>
      <c r="N87" s="469">
        <f t="shared" ca="1" si="25"/>
        <v>0</v>
      </c>
      <c r="O87" s="469">
        <f t="shared" ca="1" si="25"/>
        <v>0</v>
      </c>
      <c r="P87" s="255" t="s">
        <v>58</v>
      </c>
      <c r="Q87" s="255" t="s">
        <v>42</v>
      </c>
    </row>
    <row r="90" spans="1:17" ht="18" customHeight="1">
      <c r="A90" s="255" t="s">
        <v>52</v>
      </c>
      <c r="B90" s="464">
        <f>B68</f>
        <v>0</v>
      </c>
      <c r="E90" s="255">
        <v>12</v>
      </c>
      <c r="F90" s="255">
        <v>12</v>
      </c>
      <c r="G90" s="255">
        <v>12</v>
      </c>
      <c r="H90" s="255">
        <v>12</v>
      </c>
      <c r="I90" s="255">
        <v>12</v>
      </c>
      <c r="J90" s="255">
        <v>12</v>
      </c>
      <c r="K90" s="255">
        <v>12</v>
      </c>
      <c r="L90" s="255">
        <v>12</v>
      </c>
      <c r="M90" s="255">
        <v>12</v>
      </c>
      <c r="N90" s="255">
        <v>12</v>
      </c>
      <c r="O90" s="255">
        <v>12</v>
      </c>
      <c r="P90" s="255" t="s">
        <v>53</v>
      </c>
    </row>
    <row r="91" spans="1:17" ht="18" customHeight="1">
      <c r="B91" s="255" t="s">
        <v>54</v>
      </c>
      <c r="C91" s="255" t="s">
        <v>55</v>
      </c>
      <c r="D91" s="255" t="s">
        <v>15</v>
      </c>
      <c r="E91" s="465">
        <v>0</v>
      </c>
      <c r="F91" s="465">
        <v>1</v>
      </c>
      <c r="G91" s="465">
        <v>2</v>
      </c>
      <c r="H91" s="465">
        <v>3</v>
      </c>
      <c r="I91" s="465">
        <v>4</v>
      </c>
      <c r="J91" s="465">
        <v>5</v>
      </c>
      <c r="K91" s="465">
        <v>6</v>
      </c>
      <c r="L91" s="465">
        <v>7</v>
      </c>
      <c r="M91" s="465">
        <v>8</v>
      </c>
      <c r="N91" s="465">
        <v>9</v>
      </c>
      <c r="O91" s="465">
        <v>10</v>
      </c>
      <c r="P91" s="255" t="s">
        <v>56</v>
      </c>
    </row>
    <row r="92" spans="1:17" ht="18" customHeight="1">
      <c r="B92" s="466"/>
      <c r="C92" s="460">
        <f>C68</f>
        <v>0</v>
      </c>
      <c r="D92" s="460">
        <f>K68</f>
        <v>0</v>
      </c>
      <c r="E92" s="468">
        <f t="shared" ref="E92:O93" si="26">($C92+$D92)*E$75*E$74</f>
        <v>0</v>
      </c>
      <c r="F92" s="468">
        <f t="shared" si="26"/>
        <v>0</v>
      </c>
      <c r="G92" s="468">
        <f t="shared" si="26"/>
        <v>0</v>
      </c>
      <c r="H92" s="468">
        <f t="shared" si="26"/>
        <v>0</v>
      </c>
      <c r="I92" s="468">
        <f t="shared" si="26"/>
        <v>0</v>
      </c>
      <c r="J92" s="468">
        <f t="shared" si="26"/>
        <v>0</v>
      </c>
      <c r="K92" s="468">
        <f t="shared" si="26"/>
        <v>0</v>
      </c>
      <c r="L92" s="468">
        <f t="shared" si="26"/>
        <v>0</v>
      </c>
      <c r="M92" s="468">
        <f t="shared" si="26"/>
        <v>0</v>
      </c>
      <c r="N92" s="468">
        <f t="shared" si="26"/>
        <v>0</v>
      </c>
      <c r="O92" s="468">
        <f t="shared" si="26"/>
        <v>0</v>
      </c>
      <c r="P92" s="255" t="s">
        <v>6</v>
      </c>
      <c r="Q92" s="255" t="s">
        <v>57</v>
      </c>
    </row>
    <row r="93" spans="1:17" ht="18" customHeight="1">
      <c r="B93" s="466"/>
      <c r="C93" s="460">
        <f>C68</f>
        <v>0</v>
      </c>
      <c r="D93" s="460">
        <f>P68</f>
        <v>0</v>
      </c>
      <c r="E93" s="469">
        <f t="shared" si="26"/>
        <v>0</v>
      </c>
      <c r="F93" s="469">
        <f t="shared" si="26"/>
        <v>0</v>
      </c>
      <c r="G93" s="469">
        <f t="shared" si="26"/>
        <v>0</v>
      </c>
      <c r="H93" s="469">
        <f t="shared" si="26"/>
        <v>0</v>
      </c>
      <c r="I93" s="469">
        <f t="shared" si="26"/>
        <v>0</v>
      </c>
      <c r="J93" s="469">
        <f t="shared" si="26"/>
        <v>0</v>
      </c>
      <c r="K93" s="469">
        <f t="shared" si="26"/>
        <v>0</v>
      </c>
      <c r="L93" s="469">
        <f t="shared" si="26"/>
        <v>0</v>
      </c>
      <c r="M93" s="469">
        <f t="shared" si="26"/>
        <v>0</v>
      </c>
      <c r="N93" s="469">
        <f t="shared" si="26"/>
        <v>0</v>
      </c>
      <c r="O93" s="469">
        <f t="shared" si="26"/>
        <v>0</v>
      </c>
      <c r="P93" s="255" t="s">
        <v>6</v>
      </c>
      <c r="Q93" s="255" t="s">
        <v>42</v>
      </c>
    </row>
    <row r="94" spans="1:17" ht="18" customHeight="1">
      <c r="B94" s="457">
        <f ca="1">☆入力!AO18</f>
        <v>0</v>
      </c>
      <c r="C94" s="460">
        <f>D68</f>
        <v>0</v>
      </c>
      <c r="D94" s="460">
        <v>0</v>
      </c>
      <c r="E94" s="468">
        <f t="shared" ref="E94:O95" ca="1" si="27">(($C94+$D94)*E$75*E$74)+$B94</f>
        <v>0</v>
      </c>
      <c r="F94" s="468">
        <f t="shared" ca="1" si="27"/>
        <v>0</v>
      </c>
      <c r="G94" s="468">
        <f t="shared" ca="1" si="27"/>
        <v>0</v>
      </c>
      <c r="H94" s="468">
        <f t="shared" ca="1" si="27"/>
        <v>0</v>
      </c>
      <c r="I94" s="468">
        <f t="shared" ca="1" si="27"/>
        <v>0</v>
      </c>
      <c r="J94" s="468">
        <f t="shared" ca="1" si="27"/>
        <v>0</v>
      </c>
      <c r="K94" s="468">
        <f t="shared" ca="1" si="27"/>
        <v>0</v>
      </c>
      <c r="L94" s="468">
        <f t="shared" ca="1" si="27"/>
        <v>0</v>
      </c>
      <c r="M94" s="468">
        <f t="shared" ca="1" si="27"/>
        <v>0</v>
      </c>
      <c r="N94" s="468">
        <f t="shared" ca="1" si="27"/>
        <v>0</v>
      </c>
      <c r="O94" s="468">
        <f t="shared" ca="1" si="27"/>
        <v>0</v>
      </c>
      <c r="P94" s="255" t="s">
        <v>58</v>
      </c>
      <c r="Q94" s="255" t="s">
        <v>57</v>
      </c>
    </row>
    <row r="95" spans="1:17" ht="18" customHeight="1">
      <c r="B95" s="457">
        <f ca="1">☆入力!AO18</f>
        <v>0</v>
      </c>
      <c r="C95" s="460">
        <f>D68</f>
        <v>0</v>
      </c>
      <c r="D95" s="460">
        <f>O68</f>
        <v>0</v>
      </c>
      <c r="E95" s="469">
        <f t="shared" ca="1" si="27"/>
        <v>0</v>
      </c>
      <c r="F95" s="469">
        <f t="shared" ca="1" si="27"/>
        <v>0</v>
      </c>
      <c r="G95" s="469">
        <f t="shared" ca="1" si="27"/>
        <v>0</v>
      </c>
      <c r="H95" s="469">
        <f t="shared" ca="1" si="27"/>
        <v>0</v>
      </c>
      <c r="I95" s="469">
        <f t="shared" ca="1" si="27"/>
        <v>0</v>
      </c>
      <c r="J95" s="469">
        <f t="shared" ca="1" si="27"/>
        <v>0</v>
      </c>
      <c r="K95" s="469">
        <f t="shared" ca="1" si="27"/>
        <v>0</v>
      </c>
      <c r="L95" s="469">
        <f t="shared" ca="1" si="27"/>
        <v>0</v>
      </c>
      <c r="M95" s="469">
        <f t="shared" ca="1" si="27"/>
        <v>0</v>
      </c>
      <c r="N95" s="469">
        <f t="shared" ca="1" si="27"/>
        <v>0</v>
      </c>
      <c r="O95" s="469">
        <f t="shared" ca="1" si="27"/>
        <v>0</v>
      </c>
      <c r="P95" s="255" t="s">
        <v>58</v>
      </c>
      <c r="Q95" s="255" t="s">
        <v>42</v>
      </c>
    </row>
    <row r="98" spans="1:17" ht="18" customHeight="1">
      <c r="A98" s="255" t="s">
        <v>52</v>
      </c>
      <c r="B98" s="464">
        <f>B69</f>
        <v>0</v>
      </c>
      <c r="E98" s="255">
        <v>12</v>
      </c>
      <c r="F98" s="255">
        <v>12</v>
      </c>
      <c r="G98" s="255">
        <v>12</v>
      </c>
      <c r="H98" s="255">
        <v>12</v>
      </c>
      <c r="I98" s="255">
        <v>12</v>
      </c>
      <c r="J98" s="255">
        <v>12</v>
      </c>
      <c r="K98" s="255">
        <v>12</v>
      </c>
      <c r="L98" s="255">
        <v>12</v>
      </c>
      <c r="M98" s="255">
        <v>12</v>
      </c>
      <c r="N98" s="255">
        <v>12</v>
      </c>
      <c r="O98" s="255">
        <v>12</v>
      </c>
      <c r="P98" s="255" t="s">
        <v>53</v>
      </c>
    </row>
    <row r="99" spans="1:17" ht="18" customHeight="1">
      <c r="B99" s="255" t="s">
        <v>54</v>
      </c>
      <c r="C99" s="255" t="s">
        <v>55</v>
      </c>
      <c r="D99" s="255" t="s">
        <v>15</v>
      </c>
      <c r="E99" s="465">
        <v>0</v>
      </c>
      <c r="F99" s="465">
        <v>1</v>
      </c>
      <c r="G99" s="465">
        <v>2</v>
      </c>
      <c r="H99" s="465">
        <v>3</v>
      </c>
      <c r="I99" s="465">
        <v>4</v>
      </c>
      <c r="J99" s="465">
        <v>5</v>
      </c>
      <c r="K99" s="465">
        <v>6</v>
      </c>
      <c r="L99" s="465">
        <v>7</v>
      </c>
      <c r="M99" s="465">
        <v>8</v>
      </c>
      <c r="N99" s="465">
        <v>9</v>
      </c>
      <c r="O99" s="465">
        <v>10</v>
      </c>
      <c r="P99" s="255" t="s">
        <v>56</v>
      </c>
    </row>
    <row r="100" spans="1:17" ht="18" customHeight="1">
      <c r="B100" s="466"/>
      <c r="C100" s="460">
        <f>C69</f>
        <v>0</v>
      </c>
      <c r="D100" s="460">
        <f>K69</f>
        <v>0</v>
      </c>
      <c r="E100" s="468">
        <f t="shared" ref="E100:O101" si="28">($C100+$D100)*E$75*E$74</f>
        <v>0</v>
      </c>
      <c r="F100" s="468">
        <f t="shared" si="28"/>
        <v>0</v>
      </c>
      <c r="G100" s="468">
        <f t="shared" si="28"/>
        <v>0</v>
      </c>
      <c r="H100" s="468">
        <f t="shared" si="28"/>
        <v>0</v>
      </c>
      <c r="I100" s="468">
        <f t="shared" si="28"/>
        <v>0</v>
      </c>
      <c r="J100" s="468">
        <f t="shared" si="28"/>
        <v>0</v>
      </c>
      <c r="K100" s="468">
        <f t="shared" si="28"/>
        <v>0</v>
      </c>
      <c r="L100" s="468">
        <f t="shared" si="28"/>
        <v>0</v>
      </c>
      <c r="M100" s="468">
        <f t="shared" si="28"/>
        <v>0</v>
      </c>
      <c r="N100" s="468">
        <f t="shared" si="28"/>
        <v>0</v>
      </c>
      <c r="O100" s="468">
        <f t="shared" si="28"/>
        <v>0</v>
      </c>
      <c r="P100" s="255" t="s">
        <v>6</v>
      </c>
      <c r="Q100" s="255" t="s">
        <v>57</v>
      </c>
    </row>
    <row r="101" spans="1:17" ht="18" customHeight="1">
      <c r="B101" s="466"/>
      <c r="C101" s="460">
        <f>C69</f>
        <v>0</v>
      </c>
      <c r="D101" s="460">
        <f>P69</f>
        <v>0</v>
      </c>
      <c r="E101" s="469">
        <f t="shared" si="28"/>
        <v>0</v>
      </c>
      <c r="F101" s="469">
        <f t="shared" si="28"/>
        <v>0</v>
      </c>
      <c r="G101" s="469">
        <f t="shared" si="28"/>
        <v>0</v>
      </c>
      <c r="H101" s="469">
        <f t="shared" si="28"/>
        <v>0</v>
      </c>
      <c r="I101" s="469">
        <f t="shared" si="28"/>
        <v>0</v>
      </c>
      <c r="J101" s="469">
        <f t="shared" si="28"/>
        <v>0</v>
      </c>
      <c r="K101" s="469">
        <f t="shared" si="28"/>
        <v>0</v>
      </c>
      <c r="L101" s="469">
        <f t="shared" si="28"/>
        <v>0</v>
      </c>
      <c r="M101" s="469">
        <f t="shared" si="28"/>
        <v>0</v>
      </c>
      <c r="N101" s="469">
        <f t="shared" si="28"/>
        <v>0</v>
      </c>
      <c r="O101" s="469">
        <f t="shared" si="28"/>
        <v>0</v>
      </c>
      <c r="P101" s="255" t="s">
        <v>6</v>
      </c>
      <c r="Q101" s="255" t="s">
        <v>42</v>
      </c>
    </row>
    <row r="102" spans="1:17" ht="18" customHeight="1">
      <c r="B102" s="457">
        <f ca="1">☆入力!AO19</f>
        <v>0</v>
      </c>
      <c r="C102" s="460">
        <f>D69</f>
        <v>0</v>
      </c>
      <c r="D102" s="460">
        <v>0</v>
      </c>
      <c r="E102" s="468">
        <f t="shared" ref="E102:O103" ca="1" si="29">(($C102+$D102)*E$75*E$74)+$B102</f>
        <v>0</v>
      </c>
      <c r="F102" s="468">
        <f t="shared" ca="1" si="29"/>
        <v>0</v>
      </c>
      <c r="G102" s="468">
        <f t="shared" ca="1" si="29"/>
        <v>0</v>
      </c>
      <c r="H102" s="468">
        <f t="shared" ca="1" si="29"/>
        <v>0</v>
      </c>
      <c r="I102" s="468">
        <f t="shared" ca="1" si="29"/>
        <v>0</v>
      </c>
      <c r="J102" s="468">
        <f t="shared" ca="1" si="29"/>
        <v>0</v>
      </c>
      <c r="K102" s="468">
        <f t="shared" ca="1" si="29"/>
        <v>0</v>
      </c>
      <c r="L102" s="468">
        <f t="shared" ca="1" si="29"/>
        <v>0</v>
      </c>
      <c r="M102" s="468">
        <f t="shared" ca="1" si="29"/>
        <v>0</v>
      </c>
      <c r="N102" s="468">
        <f t="shared" ca="1" si="29"/>
        <v>0</v>
      </c>
      <c r="O102" s="468">
        <f t="shared" ca="1" si="29"/>
        <v>0</v>
      </c>
      <c r="P102" s="255" t="s">
        <v>58</v>
      </c>
      <c r="Q102" s="255" t="s">
        <v>57</v>
      </c>
    </row>
    <row r="103" spans="1:17" ht="18" customHeight="1">
      <c r="B103" s="457">
        <f ca="1">☆入力!AO19</f>
        <v>0</v>
      </c>
      <c r="C103" s="460">
        <f>D69</f>
        <v>0</v>
      </c>
      <c r="D103" s="460">
        <f>O69</f>
        <v>0</v>
      </c>
      <c r="E103" s="469">
        <f t="shared" ca="1" si="29"/>
        <v>0</v>
      </c>
      <c r="F103" s="469">
        <f t="shared" ca="1" si="29"/>
        <v>0</v>
      </c>
      <c r="G103" s="469">
        <f t="shared" ca="1" si="29"/>
        <v>0</v>
      </c>
      <c r="H103" s="469">
        <f t="shared" ca="1" si="29"/>
        <v>0</v>
      </c>
      <c r="I103" s="469">
        <f t="shared" ca="1" si="29"/>
        <v>0</v>
      </c>
      <c r="J103" s="469">
        <f t="shared" ca="1" si="29"/>
        <v>0</v>
      </c>
      <c r="K103" s="469">
        <f t="shared" ca="1" si="29"/>
        <v>0</v>
      </c>
      <c r="L103" s="469">
        <f t="shared" ca="1" si="29"/>
        <v>0</v>
      </c>
      <c r="M103" s="469">
        <f t="shared" ca="1" si="29"/>
        <v>0</v>
      </c>
      <c r="N103" s="469">
        <f t="shared" ca="1" si="29"/>
        <v>0</v>
      </c>
      <c r="O103" s="469">
        <f t="shared" ca="1" si="29"/>
        <v>0</v>
      </c>
      <c r="P103" s="255" t="s">
        <v>58</v>
      </c>
      <c r="Q103" s="255" t="s">
        <v>42</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AP65"/>
  <sheetViews>
    <sheetView zoomScale="70" zoomScaleNormal="70" workbookViewId="0">
      <pane ySplit="1" topLeftCell="A6" activePane="bottomLeft" state="frozen"/>
      <selection pane="bottomLeft" activeCell="A6" sqref="A6"/>
      <selection activeCell="C27" sqref="C27:K27"/>
    </sheetView>
  </sheetViews>
  <sheetFormatPr defaultColWidth="8.625" defaultRowHeight="70.349999999999994" customHeight="1"/>
  <cols>
    <col min="1" max="2" width="7" style="4" bestFit="1" customWidth="1"/>
    <col min="3" max="3" width="30.75" style="4" bestFit="1" customWidth="1"/>
    <col min="4" max="4" width="8.25" style="4" customWidth="1"/>
    <col min="5" max="5" width="8.25" style="184" customWidth="1"/>
    <col min="6" max="6" width="13.625" style="184" bestFit="1" customWidth="1"/>
    <col min="7" max="10" width="8.25" style="625" customWidth="1"/>
    <col min="11" max="14" width="8.25" style="4" customWidth="1"/>
    <col min="15" max="15" width="21.625" style="4" customWidth="1"/>
    <col min="16" max="17" width="8.25" style="4" customWidth="1"/>
    <col min="18" max="18" width="21.625" style="4" customWidth="1"/>
    <col min="19" max="20" width="8.25" style="4" customWidth="1"/>
    <col min="21" max="21" width="21.625" style="4" customWidth="1"/>
    <col min="22" max="23" width="8.25" style="4" customWidth="1"/>
    <col min="24" max="24" width="21.625" style="4" customWidth="1"/>
    <col min="25" max="36" width="8.25" style="4" customWidth="1"/>
    <col min="37" max="16384" width="8.625" style="4"/>
  </cols>
  <sheetData>
    <row r="1" spans="1:42" s="537" customFormat="1" ht="35.25" customHeight="1">
      <c r="A1" s="537" t="s">
        <v>59</v>
      </c>
      <c r="B1" s="537" t="s">
        <v>60</v>
      </c>
      <c r="C1" s="537" t="s">
        <v>61</v>
      </c>
      <c r="D1" s="542" t="s">
        <v>62</v>
      </c>
      <c r="E1" s="542" t="s">
        <v>63</v>
      </c>
      <c r="F1" s="543" t="s">
        <v>64</v>
      </c>
      <c r="G1" s="622" t="s">
        <v>65</v>
      </c>
      <c r="H1" s="623" t="s">
        <v>66</v>
      </c>
      <c r="I1" s="624" t="s">
        <v>67</v>
      </c>
      <c r="J1" s="624" t="s">
        <v>68</v>
      </c>
      <c r="K1" s="542" t="s">
        <v>69</v>
      </c>
      <c r="L1" s="542" t="s">
        <v>61</v>
      </c>
      <c r="M1" s="542" t="s">
        <v>70</v>
      </c>
      <c r="N1" s="542" t="s">
        <v>71</v>
      </c>
      <c r="O1" s="538" t="s">
        <v>72</v>
      </c>
      <c r="P1" s="541" t="s">
        <v>73</v>
      </c>
      <c r="Q1" s="556" t="s">
        <v>74</v>
      </c>
      <c r="R1" s="558" t="s">
        <v>75</v>
      </c>
      <c r="S1" s="561" t="s">
        <v>76</v>
      </c>
      <c r="T1" s="562" t="s">
        <v>77</v>
      </c>
      <c r="U1" s="558" t="s">
        <v>78</v>
      </c>
      <c r="V1" s="561" t="s">
        <v>79</v>
      </c>
      <c r="W1" s="562" t="s">
        <v>80</v>
      </c>
      <c r="X1" s="558" t="s">
        <v>81</v>
      </c>
      <c r="Y1" s="561" t="s">
        <v>79</v>
      </c>
      <c r="Z1" s="562" t="s">
        <v>80</v>
      </c>
      <c r="AA1" s="539" t="s">
        <v>82</v>
      </c>
      <c r="AB1" s="539" t="s">
        <v>83</v>
      </c>
      <c r="AC1" s="537" t="s">
        <v>84</v>
      </c>
      <c r="AD1" s="540" t="s">
        <v>85</v>
      </c>
      <c r="AE1" s="540" t="s">
        <v>86</v>
      </c>
      <c r="AF1" s="540" t="s">
        <v>87</v>
      </c>
      <c r="AG1" s="540" t="s">
        <v>88</v>
      </c>
      <c r="AH1" s="537" t="s">
        <v>89</v>
      </c>
      <c r="AI1" s="537" t="s">
        <v>90</v>
      </c>
      <c r="AJ1" s="540" t="s">
        <v>91</v>
      </c>
    </row>
    <row r="2" spans="1:42" ht="18.75">
      <c r="A2" s="4">
        <v>0</v>
      </c>
      <c r="B2" s="4">
        <v>0</v>
      </c>
      <c r="C2" s="4">
        <v>1</v>
      </c>
      <c r="D2" s="208">
        <v>2</v>
      </c>
      <c r="E2" s="544">
        <v>3</v>
      </c>
      <c r="F2" s="544">
        <v>4</v>
      </c>
      <c r="G2" s="625">
        <v>5</v>
      </c>
      <c r="H2" s="625">
        <v>6</v>
      </c>
      <c r="I2" s="625">
        <v>7</v>
      </c>
      <c r="J2" s="625">
        <v>8</v>
      </c>
      <c r="K2" s="208">
        <v>9</v>
      </c>
      <c r="L2" s="208">
        <v>10</v>
      </c>
      <c r="M2" s="208">
        <v>11</v>
      </c>
      <c r="N2" s="208">
        <v>12</v>
      </c>
      <c r="O2" s="559">
        <v>13</v>
      </c>
      <c r="P2" s="553">
        <v>14</v>
      </c>
      <c r="Q2" s="557">
        <v>15</v>
      </c>
      <c r="R2" s="559">
        <v>16</v>
      </c>
      <c r="S2" s="553">
        <v>17</v>
      </c>
      <c r="T2" s="557">
        <v>18</v>
      </c>
      <c r="U2" s="559">
        <v>19</v>
      </c>
      <c r="V2" s="553">
        <v>20</v>
      </c>
      <c r="W2" s="557">
        <v>21</v>
      </c>
      <c r="X2" s="559">
        <v>22</v>
      </c>
      <c r="Y2" s="553">
        <v>23</v>
      </c>
      <c r="Z2" s="557">
        <v>24</v>
      </c>
      <c r="AA2" s="208">
        <v>25</v>
      </c>
      <c r="AB2" s="208">
        <v>26</v>
      </c>
      <c r="AC2" s="4">
        <v>27</v>
      </c>
      <c r="AD2" s="4">
        <v>28</v>
      </c>
      <c r="AE2" s="4">
        <v>29</v>
      </c>
      <c r="AF2" s="4">
        <v>30</v>
      </c>
      <c r="AG2" s="4">
        <v>31</v>
      </c>
      <c r="AH2" s="4">
        <v>32</v>
      </c>
      <c r="AI2" s="4">
        <v>33</v>
      </c>
      <c r="AJ2" s="4">
        <v>34</v>
      </c>
    </row>
    <row r="3" spans="1:42" s="568" customFormat="1" ht="70.150000000000006" customHeight="1">
      <c r="C3" s="4" t="s">
        <v>92</v>
      </c>
      <c r="D3" s="569"/>
      <c r="E3" s="569"/>
      <c r="F3" s="569"/>
      <c r="G3" s="626"/>
      <c r="H3" s="627"/>
      <c r="I3" s="628"/>
      <c r="J3" s="628"/>
      <c r="K3" s="569"/>
      <c r="L3" s="569"/>
      <c r="M3" s="569"/>
      <c r="N3" s="569"/>
      <c r="O3" s="570"/>
      <c r="P3" s="571"/>
      <c r="Q3" s="572"/>
      <c r="R3" s="573"/>
      <c r="S3" s="574"/>
      <c r="T3" s="575"/>
      <c r="U3" s="573"/>
      <c r="V3" s="574"/>
      <c r="W3" s="575"/>
      <c r="X3" s="573"/>
      <c r="Y3" s="574"/>
      <c r="Z3" s="575"/>
      <c r="AA3" s="576"/>
      <c r="AB3" s="577"/>
      <c r="AF3" s="578"/>
      <c r="AI3" s="579"/>
    </row>
    <row r="4" spans="1:42" s="325" customFormat="1" ht="70.349999999999994" customHeight="1">
      <c r="A4" s="4"/>
      <c r="B4" s="362"/>
      <c r="C4" s="4" t="s">
        <v>92</v>
      </c>
      <c r="D4" s="208"/>
      <c r="E4" s="544"/>
      <c r="F4" s="544"/>
      <c r="G4" s="625"/>
      <c r="H4" s="625"/>
      <c r="I4" s="625"/>
      <c r="J4" s="625"/>
      <c r="K4" s="208"/>
      <c r="L4" s="208"/>
      <c r="M4" s="208"/>
      <c r="N4" s="208"/>
      <c r="O4" s="559"/>
      <c r="P4" s="553"/>
      <c r="Q4" s="557"/>
      <c r="R4" s="559"/>
      <c r="S4" s="553"/>
      <c r="T4" s="564"/>
      <c r="U4" s="560"/>
      <c r="V4" s="554"/>
      <c r="W4" s="564"/>
      <c r="X4" s="560"/>
      <c r="Y4" s="554"/>
      <c r="Z4" s="564"/>
      <c r="AA4" s="545"/>
      <c r="AB4" s="545"/>
    </row>
    <row r="5" spans="1:42" ht="70.349999999999994" customHeight="1">
      <c r="C5" s="4" t="s">
        <v>92</v>
      </c>
      <c r="D5" s="208"/>
      <c r="E5" s="208"/>
      <c r="F5" s="208"/>
      <c r="K5" s="549"/>
      <c r="L5" s="208"/>
      <c r="M5" s="208"/>
      <c r="N5" s="208"/>
      <c r="O5" s="559"/>
      <c r="P5" s="553"/>
      <c r="Q5" s="557"/>
      <c r="R5" s="559"/>
      <c r="S5" s="553"/>
      <c r="T5" s="563"/>
      <c r="U5" s="560"/>
      <c r="V5" s="554"/>
      <c r="W5" s="564"/>
      <c r="X5" s="560"/>
      <c r="Y5" s="554"/>
      <c r="Z5" s="564"/>
      <c r="AA5" s="208"/>
      <c r="AB5" s="208"/>
    </row>
    <row r="6" spans="1:42" ht="69.75" customHeight="1">
      <c r="B6" s="325"/>
      <c r="C6" s="4" t="s">
        <v>92</v>
      </c>
      <c r="D6" s="545"/>
      <c r="E6" s="546"/>
      <c r="F6" s="546"/>
      <c r="G6" s="629"/>
      <c r="H6" s="629"/>
      <c r="I6" s="629"/>
      <c r="J6" s="629"/>
      <c r="K6" s="550"/>
      <c r="L6" s="545"/>
      <c r="M6" s="545"/>
      <c r="N6" s="545"/>
      <c r="O6" s="560"/>
      <c r="P6" s="554"/>
      <c r="Q6" s="557"/>
      <c r="R6" s="559"/>
      <c r="S6" s="553"/>
      <c r="T6" s="557"/>
      <c r="U6" s="559"/>
      <c r="V6" s="553"/>
      <c r="W6" s="557"/>
      <c r="X6" s="559"/>
      <c r="Y6" s="553"/>
      <c r="Z6" s="557"/>
      <c r="AA6" s="208"/>
      <c r="AB6" s="208"/>
    </row>
    <row r="7" spans="1:42" ht="70.349999999999994" customHeight="1">
      <c r="B7" s="325"/>
      <c r="C7" s="4" t="s">
        <v>92</v>
      </c>
      <c r="D7" s="545"/>
      <c r="E7" s="546"/>
      <c r="F7" s="546"/>
      <c r="G7" s="629"/>
      <c r="H7" s="629"/>
      <c r="I7" s="629"/>
      <c r="J7" s="629"/>
      <c r="K7" s="550"/>
      <c r="L7" s="545"/>
      <c r="M7" s="545"/>
      <c r="N7" s="545"/>
      <c r="O7" s="560"/>
      <c r="P7" s="554"/>
      <c r="Q7" s="557"/>
      <c r="R7" s="559"/>
      <c r="S7" s="553"/>
      <c r="T7" s="557"/>
      <c r="U7" s="559"/>
      <c r="V7" s="553"/>
      <c r="W7" s="557"/>
      <c r="X7" s="559"/>
      <c r="Y7" s="553"/>
      <c r="Z7" s="557"/>
      <c r="AA7" s="551"/>
      <c r="AB7" s="208"/>
      <c r="AC7" s="316"/>
      <c r="AE7" s="317"/>
      <c r="AF7" s="317"/>
      <c r="AH7" s="316"/>
      <c r="AI7" s="316"/>
      <c r="AJ7" s="316"/>
      <c r="AK7" s="318"/>
      <c r="AL7" s="316"/>
      <c r="AM7" s="316"/>
      <c r="AN7" s="316"/>
      <c r="AO7" s="316"/>
      <c r="AP7" s="319"/>
    </row>
    <row r="8" spans="1:42" ht="70.349999999999994" customHeight="1">
      <c r="C8" s="4" t="s">
        <v>92</v>
      </c>
      <c r="D8" s="208"/>
      <c r="E8" s="547"/>
      <c r="F8" s="547"/>
      <c r="K8" s="549"/>
      <c r="L8" s="208"/>
      <c r="M8" s="208"/>
      <c r="N8" s="208"/>
      <c r="O8" s="559"/>
      <c r="P8" s="553"/>
      <c r="Q8" s="557"/>
      <c r="R8" s="559"/>
      <c r="S8" s="553"/>
      <c r="T8" s="557"/>
      <c r="U8" s="559"/>
      <c r="V8" s="553"/>
      <c r="W8" s="557"/>
      <c r="X8" s="559"/>
      <c r="Y8" s="553"/>
      <c r="Z8" s="557"/>
      <c r="AA8" s="208"/>
      <c r="AB8" s="208"/>
      <c r="AE8" s="299"/>
      <c r="AF8" s="184"/>
      <c r="AK8" s="5"/>
    </row>
    <row r="9" spans="1:42" ht="70.349999999999994" customHeight="1">
      <c r="C9" s="4" t="s">
        <v>92</v>
      </c>
      <c r="D9" s="208"/>
      <c r="E9" s="547"/>
      <c r="F9" s="547"/>
      <c r="G9" s="630"/>
      <c r="K9" s="549"/>
      <c r="L9" s="208"/>
      <c r="M9" s="208"/>
      <c r="N9" s="208"/>
      <c r="O9" s="559"/>
      <c r="P9" s="553"/>
      <c r="Q9" s="557"/>
      <c r="R9" s="559"/>
      <c r="S9" s="553"/>
      <c r="T9" s="557"/>
      <c r="U9" s="559"/>
      <c r="V9" s="553"/>
      <c r="W9" s="557"/>
      <c r="X9" s="559"/>
      <c r="Y9" s="553"/>
      <c r="Z9" s="557"/>
      <c r="AA9" s="208"/>
      <c r="AB9" s="208"/>
    </row>
    <row r="10" spans="1:42" ht="70.150000000000006" customHeight="1">
      <c r="C10" s="4" t="s">
        <v>92</v>
      </c>
      <c r="D10" s="548"/>
      <c r="E10" s="547"/>
      <c r="F10" s="547"/>
      <c r="K10" s="549"/>
      <c r="L10" s="208"/>
      <c r="M10" s="208"/>
      <c r="N10" s="208"/>
      <c r="O10" s="559"/>
      <c r="P10" s="553"/>
      <c r="Q10" s="557"/>
      <c r="R10" s="559"/>
      <c r="S10" s="553"/>
      <c r="T10" s="557"/>
      <c r="U10" s="559"/>
      <c r="V10" s="553"/>
      <c r="W10" s="557"/>
      <c r="X10" s="559"/>
      <c r="Y10" s="553"/>
      <c r="Z10" s="557"/>
      <c r="AA10" s="208"/>
      <c r="AB10" s="208"/>
    </row>
    <row r="11" spans="1:42" ht="70.349999999999994" customHeight="1">
      <c r="C11" s="4" t="s">
        <v>92</v>
      </c>
      <c r="D11" s="208"/>
      <c r="E11" s="547"/>
      <c r="F11" s="547"/>
      <c r="G11" s="630"/>
      <c r="K11" s="549"/>
      <c r="L11" s="208"/>
      <c r="M11" s="208"/>
      <c r="N11" s="208"/>
      <c r="O11" s="559"/>
      <c r="P11" s="553"/>
      <c r="Q11" s="557"/>
      <c r="R11" s="559"/>
      <c r="S11" s="553"/>
      <c r="T11" s="557"/>
      <c r="U11" s="559"/>
      <c r="V11" s="553"/>
      <c r="W11" s="557"/>
      <c r="X11" s="559"/>
      <c r="Y11" s="553"/>
      <c r="Z11" s="557"/>
      <c r="AA11" s="208"/>
      <c r="AB11" s="208"/>
    </row>
    <row r="12" spans="1:42" ht="70.349999999999994" customHeight="1">
      <c r="C12" s="4" t="s">
        <v>92</v>
      </c>
      <c r="D12" s="208"/>
      <c r="E12" s="547"/>
      <c r="F12" s="547"/>
      <c r="K12" s="549"/>
      <c r="L12" s="208"/>
      <c r="M12" s="208"/>
      <c r="N12" s="208"/>
      <c r="O12" s="559"/>
      <c r="P12" s="553"/>
      <c r="Q12" s="557"/>
      <c r="R12" s="559"/>
      <c r="S12" s="553"/>
      <c r="T12" s="557"/>
      <c r="U12" s="559"/>
      <c r="V12" s="553"/>
      <c r="W12" s="557"/>
      <c r="X12" s="559"/>
      <c r="Y12" s="553"/>
      <c r="Z12" s="557"/>
      <c r="AA12" s="208"/>
      <c r="AB12" s="208"/>
    </row>
    <row r="13" spans="1:42" ht="69.75" customHeight="1">
      <c r="C13" s="4" t="s">
        <v>92</v>
      </c>
      <c r="D13" s="208"/>
      <c r="E13" s="547"/>
      <c r="F13" s="547"/>
      <c r="K13" s="549"/>
      <c r="L13" s="208"/>
      <c r="M13" s="208"/>
      <c r="N13" s="208"/>
      <c r="O13" s="559"/>
      <c r="P13" s="555"/>
      <c r="Q13" s="557"/>
      <c r="R13" s="559"/>
      <c r="S13" s="553"/>
      <c r="T13" s="557"/>
      <c r="U13" s="565"/>
      <c r="V13" s="566"/>
      <c r="W13" s="567"/>
      <c r="X13" s="565"/>
      <c r="Y13" s="566"/>
      <c r="Z13" s="567"/>
      <c r="AA13" s="552"/>
      <c r="AB13" s="552"/>
      <c r="AC13" s="363"/>
    </row>
    <row r="14" spans="1:42" ht="70.349999999999994" customHeight="1">
      <c r="C14" s="4" t="s">
        <v>92</v>
      </c>
      <c r="D14" s="208"/>
      <c r="E14" s="547"/>
      <c r="F14" s="547"/>
      <c r="K14" s="549"/>
      <c r="L14" s="208"/>
      <c r="M14" s="208"/>
      <c r="N14" s="208"/>
      <c r="O14" s="559"/>
      <c r="P14" s="553"/>
      <c r="Q14" s="557"/>
      <c r="R14" s="559"/>
      <c r="S14" s="553"/>
      <c r="T14" s="557"/>
      <c r="U14" s="559"/>
      <c r="V14" s="553"/>
      <c r="W14" s="557"/>
      <c r="X14" s="559"/>
      <c r="Y14" s="553"/>
      <c r="Z14" s="557"/>
      <c r="AA14" s="208"/>
      <c r="AB14" s="208"/>
    </row>
    <row r="15" spans="1:42" ht="70.349999999999994" customHeight="1">
      <c r="C15" s="4" t="s">
        <v>92</v>
      </c>
      <c r="D15" s="208"/>
      <c r="E15" s="208"/>
      <c r="F15" s="208"/>
      <c r="K15" s="549"/>
      <c r="L15" s="208"/>
      <c r="M15" s="208"/>
      <c r="N15" s="208"/>
      <c r="O15" s="559"/>
      <c r="P15" s="553"/>
      <c r="Q15" s="557"/>
      <c r="R15" s="559"/>
      <c r="S15" s="553"/>
      <c r="T15" s="557"/>
      <c r="U15" s="559"/>
      <c r="V15" s="553"/>
      <c r="W15" s="557"/>
      <c r="X15" s="559"/>
      <c r="Y15" s="553"/>
      <c r="Z15" s="557"/>
      <c r="AA15" s="208"/>
      <c r="AB15" s="208"/>
    </row>
    <row r="16" spans="1:42" ht="70.349999999999994" customHeight="1">
      <c r="C16" s="4" t="s">
        <v>92</v>
      </c>
      <c r="D16" s="208"/>
      <c r="E16" s="544"/>
      <c r="F16" s="544"/>
      <c r="K16" s="549"/>
      <c r="L16" s="208"/>
      <c r="M16" s="208"/>
      <c r="N16" s="208"/>
      <c r="O16" s="559"/>
      <c r="P16" s="553"/>
      <c r="Q16" s="557"/>
      <c r="R16" s="559"/>
      <c r="S16" s="553"/>
      <c r="T16" s="557"/>
      <c r="U16" s="559"/>
      <c r="V16" s="553"/>
      <c r="W16" s="557"/>
      <c r="X16" s="559"/>
      <c r="Y16" s="553"/>
      <c r="Z16" s="557"/>
      <c r="AA16" s="208"/>
      <c r="AB16" s="208"/>
    </row>
    <row r="17" spans="3:28" ht="70.349999999999994" customHeight="1">
      <c r="C17" s="4" t="s">
        <v>92</v>
      </c>
      <c r="D17" s="208"/>
      <c r="E17" s="544"/>
      <c r="F17" s="544"/>
      <c r="K17" s="549"/>
      <c r="L17" s="208"/>
      <c r="M17" s="208"/>
      <c r="N17" s="208"/>
      <c r="O17" s="559"/>
      <c r="P17" s="553"/>
      <c r="Q17" s="557"/>
      <c r="R17" s="559"/>
      <c r="S17" s="553"/>
      <c r="T17" s="557"/>
      <c r="U17" s="559"/>
      <c r="V17" s="553"/>
      <c r="W17" s="557"/>
      <c r="X17" s="559"/>
      <c r="Y17" s="553"/>
      <c r="Z17" s="557"/>
      <c r="AA17" s="208"/>
      <c r="AB17" s="208"/>
    </row>
    <row r="18" spans="3:28" ht="70.349999999999994" customHeight="1">
      <c r="C18" s="4" t="s">
        <v>92</v>
      </c>
      <c r="D18" s="208"/>
      <c r="E18" s="544"/>
      <c r="F18" s="544"/>
      <c r="K18" s="549"/>
      <c r="L18" s="208"/>
      <c r="M18" s="208"/>
      <c r="N18" s="208"/>
      <c r="O18" s="559"/>
      <c r="P18" s="553"/>
      <c r="Q18" s="557"/>
      <c r="R18" s="559"/>
      <c r="S18" s="553"/>
      <c r="T18" s="557"/>
      <c r="U18" s="559"/>
      <c r="V18" s="553"/>
      <c r="W18" s="557"/>
      <c r="X18" s="559"/>
      <c r="Y18" s="553"/>
      <c r="Z18" s="557"/>
      <c r="AA18" s="208"/>
      <c r="AB18" s="208"/>
    </row>
    <row r="19" spans="3:28" ht="70.349999999999994" customHeight="1">
      <c r="C19" s="4" t="s">
        <v>92</v>
      </c>
      <c r="D19" s="208"/>
      <c r="E19" s="544"/>
      <c r="F19" s="544"/>
      <c r="K19" s="549"/>
      <c r="L19" s="208"/>
      <c r="M19" s="208"/>
      <c r="N19" s="208"/>
      <c r="O19" s="559"/>
      <c r="P19" s="553"/>
      <c r="Q19" s="557"/>
      <c r="R19" s="559"/>
      <c r="S19" s="553"/>
      <c r="T19" s="557"/>
      <c r="U19" s="559"/>
      <c r="V19" s="553"/>
      <c r="W19" s="557"/>
      <c r="X19" s="559"/>
      <c r="Y19" s="553"/>
      <c r="Z19" s="557"/>
      <c r="AA19" s="208"/>
      <c r="AB19" s="208"/>
    </row>
    <row r="20" spans="3:28" ht="70.349999999999994" customHeight="1">
      <c r="C20" s="4" t="s">
        <v>92</v>
      </c>
      <c r="D20" s="208"/>
      <c r="E20" s="544"/>
      <c r="F20" s="544"/>
      <c r="K20" s="549"/>
      <c r="L20" s="208"/>
      <c r="M20" s="208"/>
      <c r="N20" s="208"/>
      <c r="O20" s="559"/>
      <c r="P20" s="553"/>
      <c r="Q20" s="557"/>
      <c r="R20" s="559"/>
      <c r="S20" s="553"/>
      <c r="T20" s="557"/>
      <c r="U20" s="559"/>
      <c r="V20" s="553"/>
      <c r="W20" s="557"/>
      <c r="X20" s="559"/>
      <c r="Y20" s="553"/>
      <c r="Z20" s="557"/>
      <c r="AA20" s="208"/>
      <c r="AB20" s="208"/>
    </row>
    <row r="21" spans="3:28" ht="70.349999999999994" customHeight="1">
      <c r="C21" s="4" t="s">
        <v>92</v>
      </c>
      <c r="D21" s="208"/>
      <c r="E21" s="544"/>
      <c r="F21" s="544"/>
      <c r="K21" s="549"/>
      <c r="L21" s="208"/>
      <c r="M21" s="208"/>
      <c r="N21" s="208"/>
      <c r="O21" s="559"/>
      <c r="P21" s="553"/>
      <c r="Q21" s="557"/>
      <c r="R21" s="559"/>
      <c r="S21" s="553"/>
      <c r="T21" s="557"/>
      <c r="U21" s="559"/>
      <c r="V21" s="553"/>
      <c r="W21" s="557"/>
      <c r="X21" s="559"/>
      <c r="Y21" s="553"/>
      <c r="Z21" s="557"/>
      <c r="AA21" s="208"/>
      <c r="AB21" s="208"/>
    </row>
    <row r="22" spans="3:28" ht="70.349999999999994" customHeight="1">
      <c r="C22" s="4" t="s">
        <v>92</v>
      </c>
      <c r="D22" s="208"/>
      <c r="E22" s="544"/>
      <c r="F22" s="544"/>
      <c r="K22" s="549"/>
      <c r="L22" s="208"/>
      <c r="M22" s="208"/>
      <c r="N22" s="208"/>
      <c r="O22" s="559"/>
      <c r="P22" s="553"/>
      <c r="Q22" s="557"/>
      <c r="R22" s="559"/>
      <c r="S22" s="553"/>
      <c r="T22" s="557"/>
      <c r="U22" s="559"/>
      <c r="V22" s="553"/>
      <c r="W22" s="557"/>
      <c r="X22" s="559"/>
      <c r="Y22" s="553"/>
      <c r="Z22" s="557"/>
      <c r="AA22" s="208"/>
      <c r="AB22" s="208"/>
    </row>
    <row r="23" spans="3:28" ht="70.349999999999994" customHeight="1">
      <c r="C23" s="4" t="s">
        <v>92</v>
      </c>
      <c r="D23" s="208"/>
      <c r="E23" s="544"/>
      <c r="F23" s="544"/>
      <c r="K23" s="549"/>
      <c r="L23" s="208"/>
      <c r="M23" s="208"/>
      <c r="N23" s="208"/>
      <c r="O23" s="559"/>
      <c r="P23" s="553"/>
      <c r="Q23" s="557"/>
      <c r="R23" s="559"/>
      <c r="S23" s="553"/>
      <c r="T23" s="557"/>
      <c r="U23" s="559"/>
      <c r="V23" s="553"/>
      <c r="W23" s="557"/>
      <c r="X23" s="559"/>
      <c r="Y23" s="553"/>
      <c r="Z23" s="557"/>
      <c r="AA23" s="208"/>
      <c r="AB23" s="208"/>
    </row>
    <row r="24" spans="3:28" ht="70.349999999999994" customHeight="1">
      <c r="C24" s="4" t="s">
        <v>92</v>
      </c>
      <c r="D24" s="208"/>
      <c r="E24" s="544"/>
      <c r="F24" s="544"/>
      <c r="K24" s="549"/>
      <c r="L24" s="208"/>
      <c r="M24" s="208"/>
      <c r="N24" s="208"/>
      <c r="O24" s="559"/>
      <c r="P24" s="553"/>
      <c r="Q24" s="557"/>
      <c r="R24" s="559"/>
      <c r="S24" s="553"/>
      <c r="T24" s="557"/>
      <c r="U24" s="559"/>
      <c r="V24" s="553"/>
      <c r="W24" s="557"/>
      <c r="X24" s="559"/>
      <c r="Y24" s="553"/>
      <c r="Z24" s="557"/>
      <c r="AA24" s="208"/>
      <c r="AB24" s="208"/>
    </row>
    <row r="25" spans="3:28" ht="70.349999999999994" customHeight="1">
      <c r="C25" s="4" t="s">
        <v>92</v>
      </c>
      <c r="D25" s="208"/>
      <c r="E25" s="544"/>
      <c r="F25" s="544"/>
      <c r="K25" s="549"/>
      <c r="L25" s="208"/>
      <c r="M25" s="208"/>
      <c r="N25" s="208"/>
      <c r="O25" s="559"/>
      <c r="P25" s="553"/>
      <c r="Q25" s="557"/>
      <c r="R25" s="559"/>
      <c r="S25" s="553"/>
      <c r="T25" s="557"/>
      <c r="U25" s="559"/>
      <c r="V25" s="553"/>
      <c r="W25" s="557"/>
      <c r="X25" s="559"/>
      <c r="Y25" s="553"/>
      <c r="Z25" s="557"/>
      <c r="AA25" s="208"/>
      <c r="AB25" s="208"/>
    </row>
    <row r="26" spans="3:28" ht="70.349999999999994" customHeight="1">
      <c r="C26" s="4" t="s">
        <v>92</v>
      </c>
      <c r="D26" s="208"/>
      <c r="E26" s="544"/>
      <c r="F26" s="544"/>
      <c r="K26" s="549"/>
      <c r="L26" s="208"/>
      <c r="M26" s="208"/>
      <c r="N26" s="208"/>
      <c r="O26" s="559"/>
      <c r="P26" s="553"/>
      <c r="Q26" s="557"/>
      <c r="R26" s="559"/>
      <c r="S26" s="553"/>
      <c r="T26" s="557"/>
      <c r="U26" s="559"/>
      <c r="V26" s="553"/>
      <c r="W26" s="557"/>
      <c r="X26" s="559"/>
      <c r="Y26" s="553"/>
      <c r="Z26" s="557"/>
      <c r="AA26" s="208"/>
      <c r="AB26" s="208"/>
    </row>
    <row r="27" spans="3:28" ht="70.349999999999994" customHeight="1">
      <c r="C27" s="4" t="s">
        <v>92</v>
      </c>
      <c r="D27" s="208"/>
      <c r="E27" s="544"/>
      <c r="F27" s="544"/>
      <c r="K27" s="549"/>
      <c r="L27" s="208"/>
      <c r="M27" s="208"/>
      <c r="N27" s="208"/>
      <c r="O27" s="559"/>
      <c r="P27" s="553"/>
      <c r="Q27" s="557"/>
      <c r="R27" s="559"/>
      <c r="S27" s="553"/>
      <c r="T27" s="557"/>
      <c r="U27" s="559"/>
      <c r="V27" s="553"/>
      <c r="W27" s="557"/>
      <c r="X27" s="559"/>
      <c r="Y27" s="553"/>
      <c r="Z27" s="557"/>
      <c r="AA27" s="208"/>
      <c r="AB27" s="208"/>
    </row>
    <row r="28" spans="3:28" ht="70.349999999999994" customHeight="1">
      <c r="C28" s="4" t="s">
        <v>92</v>
      </c>
      <c r="D28" s="208"/>
      <c r="E28" s="544"/>
      <c r="F28" s="544"/>
      <c r="K28" s="549"/>
      <c r="L28" s="208"/>
      <c r="M28" s="208"/>
      <c r="N28" s="208"/>
      <c r="O28" s="559"/>
      <c r="P28" s="553"/>
      <c r="Q28" s="557"/>
      <c r="R28" s="559"/>
      <c r="S28" s="553"/>
      <c r="T28" s="557"/>
      <c r="U28" s="559"/>
      <c r="V28" s="553"/>
      <c r="W28" s="557"/>
      <c r="X28" s="559"/>
      <c r="Y28" s="553"/>
      <c r="Z28" s="557"/>
      <c r="AA28" s="208"/>
      <c r="AB28" s="208"/>
    </row>
    <row r="29" spans="3:28" ht="70.349999999999994" customHeight="1">
      <c r="C29" s="4" t="s">
        <v>92</v>
      </c>
      <c r="D29" s="208"/>
      <c r="E29" s="544"/>
      <c r="F29" s="544"/>
      <c r="K29" s="549"/>
      <c r="L29" s="208"/>
      <c r="M29" s="208"/>
      <c r="N29" s="208"/>
      <c r="O29" s="559"/>
      <c r="P29" s="553"/>
      <c r="Q29" s="557"/>
      <c r="R29" s="559"/>
      <c r="S29" s="553"/>
      <c r="T29" s="557"/>
      <c r="U29" s="559"/>
      <c r="V29" s="553"/>
      <c r="W29" s="557"/>
      <c r="X29" s="559"/>
      <c r="Y29" s="553"/>
      <c r="Z29" s="557"/>
      <c r="AA29" s="208"/>
      <c r="AB29" s="208"/>
    </row>
    <row r="30" spans="3:28" ht="70.349999999999994" customHeight="1">
      <c r="C30" s="4" t="s">
        <v>92</v>
      </c>
      <c r="D30" s="208"/>
      <c r="E30" s="544"/>
      <c r="F30" s="544"/>
      <c r="K30" s="549"/>
      <c r="L30" s="208"/>
      <c r="M30" s="208"/>
      <c r="N30" s="208"/>
      <c r="O30" s="559"/>
      <c r="P30" s="553"/>
      <c r="Q30" s="557"/>
      <c r="R30" s="559"/>
      <c r="S30" s="553"/>
      <c r="T30" s="557"/>
      <c r="U30" s="559"/>
      <c r="V30" s="553"/>
      <c r="W30" s="557"/>
      <c r="X30" s="559"/>
      <c r="Y30" s="553"/>
      <c r="Z30" s="557"/>
      <c r="AA30" s="208"/>
      <c r="AB30" s="208"/>
    </row>
    <row r="31" spans="3:28" ht="70.349999999999994" customHeight="1">
      <c r="C31" s="4" t="s">
        <v>92</v>
      </c>
      <c r="D31" s="208"/>
      <c r="E31" s="544"/>
      <c r="F31" s="544"/>
      <c r="K31" s="549"/>
      <c r="L31" s="208"/>
      <c r="M31" s="208"/>
      <c r="N31" s="208"/>
      <c r="O31" s="559"/>
      <c r="P31" s="553"/>
      <c r="Q31" s="557"/>
      <c r="R31" s="559"/>
      <c r="S31" s="553"/>
      <c r="T31" s="557"/>
      <c r="U31" s="559"/>
      <c r="V31" s="553"/>
      <c r="W31" s="557"/>
      <c r="X31" s="559"/>
      <c r="Y31" s="553"/>
      <c r="Z31" s="557"/>
      <c r="AA31" s="208"/>
      <c r="AB31" s="208"/>
    </row>
    <row r="32" spans="3:28" ht="70.349999999999994" customHeight="1">
      <c r="C32" s="4" t="s">
        <v>92</v>
      </c>
      <c r="D32" s="208"/>
      <c r="E32" s="544"/>
      <c r="F32" s="544"/>
      <c r="K32" s="549"/>
      <c r="L32" s="208"/>
      <c r="M32" s="208"/>
      <c r="N32" s="208"/>
      <c r="O32" s="559"/>
      <c r="P32" s="553"/>
      <c r="Q32" s="557"/>
      <c r="R32" s="559"/>
      <c r="S32" s="553"/>
      <c r="T32" s="557"/>
      <c r="U32" s="559"/>
      <c r="V32" s="553"/>
      <c r="W32" s="557"/>
      <c r="X32" s="559"/>
      <c r="Y32" s="553"/>
      <c r="Z32" s="557"/>
      <c r="AA32" s="208"/>
      <c r="AB32" s="208"/>
    </row>
    <row r="33" spans="3:28" ht="70.349999999999994" customHeight="1">
      <c r="C33" s="4" t="s">
        <v>92</v>
      </c>
      <c r="D33" s="208"/>
      <c r="E33" s="544"/>
      <c r="F33" s="544"/>
      <c r="K33" s="549"/>
      <c r="L33" s="208"/>
      <c r="M33" s="208"/>
      <c r="N33" s="208"/>
      <c r="O33" s="559"/>
      <c r="P33" s="553"/>
      <c r="Q33" s="557"/>
      <c r="R33" s="559"/>
      <c r="S33" s="553"/>
      <c r="T33" s="557"/>
      <c r="U33" s="559"/>
      <c r="V33" s="553"/>
      <c r="W33" s="557"/>
      <c r="X33" s="559"/>
      <c r="Y33" s="553"/>
      <c r="Z33" s="557"/>
      <c r="AA33" s="208"/>
      <c r="AB33" s="208"/>
    </row>
    <row r="34" spans="3:28" ht="70.349999999999994" customHeight="1">
      <c r="C34" s="4" t="s">
        <v>92</v>
      </c>
      <c r="D34" s="208"/>
      <c r="E34" s="544"/>
      <c r="F34" s="544"/>
      <c r="K34" s="549"/>
      <c r="L34" s="208"/>
      <c r="M34" s="208"/>
      <c r="N34" s="208"/>
      <c r="O34" s="559"/>
      <c r="P34" s="553"/>
      <c r="Q34" s="557"/>
      <c r="R34" s="559"/>
      <c r="S34" s="553"/>
      <c r="T34" s="557"/>
      <c r="U34" s="559"/>
      <c r="V34" s="553"/>
      <c r="W34" s="557"/>
      <c r="X34" s="559"/>
      <c r="Y34" s="553"/>
      <c r="Z34" s="557"/>
      <c r="AA34" s="208"/>
      <c r="AB34" s="208"/>
    </row>
    <row r="35" spans="3:28" ht="70.349999999999994" customHeight="1">
      <c r="C35" s="4" t="s">
        <v>92</v>
      </c>
      <c r="D35" s="208"/>
      <c r="E35" s="544"/>
      <c r="F35" s="544"/>
      <c r="K35" s="549"/>
      <c r="L35" s="208"/>
      <c r="M35" s="208"/>
      <c r="N35" s="208"/>
      <c r="O35" s="559"/>
      <c r="P35" s="553"/>
      <c r="Q35" s="557"/>
      <c r="R35" s="559"/>
      <c r="S35" s="553"/>
      <c r="T35" s="557"/>
      <c r="U35" s="559"/>
      <c r="V35" s="553"/>
      <c r="W35" s="557"/>
      <c r="X35" s="559"/>
      <c r="Y35" s="553"/>
      <c r="Z35" s="557"/>
      <c r="AA35" s="208"/>
      <c r="AB35" s="208"/>
    </row>
    <row r="36" spans="3:28" ht="70.349999999999994" customHeight="1">
      <c r="C36" s="4" t="s">
        <v>92</v>
      </c>
      <c r="D36" s="208"/>
      <c r="E36" s="544"/>
      <c r="F36" s="544"/>
      <c r="K36" s="549"/>
      <c r="L36" s="208"/>
      <c r="M36" s="208"/>
      <c r="N36" s="208"/>
      <c r="O36" s="559"/>
      <c r="P36" s="553"/>
      <c r="Q36" s="557"/>
      <c r="R36" s="559"/>
      <c r="S36" s="553"/>
      <c r="T36" s="557"/>
      <c r="U36" s="559"/>
      <c r="V36" s="553"/>
      <c r="W36" s="557"/>
      <c r="X36" s="559"/>
      <c r="Y36" s="553"/>
      <c r="Z36" s="557"/>
      <c r="AA36" s="208"/>
      <c r="AB36" s="208"/>
    </row>
    <row r="37" spans="3:28" ht="70.349999999999994" customHeight="1">
      <c r="C37" s="4" t="s">
        <v>92</v>
      </c>
      <c r="D37" s="208"/>
      <c r="E37" s="544"/>
      <c r="F37" s="544"/>
      <c r="K37" s="549"/>
      <c r="L37" s="208"/>
      <c r="M37" s="208"/>
      <c r="N37" s="208"/>
      <c r="O37" s="559"/>
      <c r="P37" s="553"/>
      <c r="Q37" s="557"/>
      <c r="R37" s="559"/>
      <c r="S37" s="553"/>
      <c r="T37" s="557"/>
      <c r="U37" s="559"/>
      <c r="V37" s="553"/>
      <c r="W37" s="557"/>
      <c r="X37" s="559"/>
      <c r="Y37" s="553"/>
      <c r="Z37" s="557"/>
      <c r="AA37" s="208"/>
      <c r="AB37" s="208"/>
    </row>
    <row r="38" spans="3:28" ht="70.349999999999994" customHeight="1">
      <c r="C38" s="4" t="s">
        <v>92</v>
      </c>
      <c r="D38" s="208"/>
      <c r="E38" s="544"/>
      <c r="F38" s="544"/>
      <c r="K38" s="549"/>
      <c r="L38" s="208"/>
      <c r="M38" s="208"/>
      <c r="N38" s="208"/>
      <c r="O38" s="559"/>
      <c r="P38" s="553"/>
      <c r="Q38" s="557"/>
      <c r="R38" s="559"/>
      <c r="S38" s="553"/>
      <c r="T38" s="557"/>
      <c r="U38" s="559"/>
      <c r="V38" s="553"/>
      <c r="W38" s="557"/>
      <c r="X38" s="559"/>
      <c r="Y38" s="553"/>
      <c r="Z38" s="557"/>
      <c r="AA38" s="208"/>
      <c r="AB38" s="208"/>
    </row>
    <row r="39" spans="3:28" ht="70.349999999999994" customHeight="1">
      <c r="C39" s="4" t="s">
        <v>92</v>
      </c>
      <c r="D39" s="208"/>
      <c r="E39" s="544"/>
      <c r="F39" s="544"/>
      <c r="K39" s="549"/>
      <c r="L39" s="208"/>
      <c r="M39" s="208"/>
      <c r="N39" s="208"/>
      <c r="O39" s="559"/>
      <c r="P39" s="553"/>
      <c r="Q39" s="557"/>
      <c r="R39" s="559"/>
      <c r="S39" s="553"/>
      <c r="T39" s="557"/>
      <c r="U39" s="559"/>
      <c r="V39" s="553"/>
      <c r="W39" s="557"/>
      <c r="X39" s="559"/>
      <c r="Y39" s="553"/>
      <c r="Z39" s="557"/>
      <c r="AA39" s="208"/>
      <c r="AB39" s="208"/>
    </row>
    <row r="40" spans="3:28" ht="70.349999999999994" customHeight="1">
      <c r="C40" s="4" t="s">
        <v>92</v>
      </c>
      <c r="D40" s="208"/>
      <c r="E40" s="544"/>
      <c r="F40" s="544"/>
      <c r="K40" s="549"/>
      <c r="L40" s="208"/>
      <c r="M40" s="208"/>
      <c r="N40" s="208"/>
      <c r="O40" s="559"/>
      <c r="P40" s="553"/>
      <c r="Q40" s="557"/>
      <c r="R40" s="559"/>
      <c r="S40" s="553"/>
      <c r="T40" s="557"/>
      <c r="U40" s="559"/>
      <c r="V40" s="553"/>
      <c r="W40" s="557"/>
      <c r="X40" s="559"/>
      <c r="Y40" s="553"/>
      <c r="Z40" s="557"/>
      <c r="AA40" s="208"/>
      <c r="AB40" s="208"/>
    </row>
    <row r="41" spans="3:28" ht="70.349999999999994" customHeight="1">
      <c r="E41" s="299"/>
      <c r="K41" s="5"/>
    </row>
    <row r="42" spans="3:28" ht="70.349999999999994" customHeight="1">
      <c r="E42" s="299"/>
      <c r="K42" s="5"/>
    </row>
    <row r="43" spans="3:28" ht="70.349999999999994" customHeight="1">
      <c r="E43" s="299"/>
      <c r="K43" s="5"/>
    </row>
    <row r="44" spans="3:28" ht="70.349999999999994" customHeight="1">
      <c r="E44" s="299"/>
      <c r="K44" s="5"/>
    </row>
    <row r="45" spans="3:28" ht="70.349999999999994" customHeight="1">
      <c r="E45" s="299"/>
      <c r="K45" s="5"/>
    </row>
    <row r="46" spans="3:28" ht="70.349999999999994" customHeight="1">
      <c r="E46" s="299"/>
      <c r="K46" s="5"/>
    </row>
    <row r="47" spans="3:28" ht="70.349999999999994" customHeight="1">
      <c r="E47" s="299"/>
      <c r="K47" s="5"/>
    </row>
    <row r="48" spans="3:28" ht="70.349999999999994" customHeight="1">
      <c r="E48" s="299"/>
      <c r="K48" s="5"/>
    </row>
    <row r="49" spans="5:11" ht="70.349999999999994" customHeight="1">
      <c r="E49" s="299"/>
      <c r="K49" s="5"/>
    </row>
    <row r="50" spans="5:11" ht="70.349999999999994" customHeight="1">
      <c r="E50" s="299"/>
      <c r="K50" s="5"/>
    </row>
    <row r="51" spans="5:11" ht="70.349999999999994" customHeight="1">
      <c r="E51" s="299"/>
      <c r="K51" s="5"/>
    </row>
    <row r="52" spans="5:11" ht="70.349999999999994" customHeight="1">
      <c r="E52" s="299"/>
      <c r="K52" s="5"/>
    </row>
    <row r="53" spans="5:11" ht="70.349999999999994" customHeight="1">
      <c r="E53" s="299"/>
      <c r="K53" s="5"/>
    </row>
    <row r="54" spans="5:11" ht="70.349999999999994" customHeight="1">
      <c r="E54" s="299"/>
      <c r="K54" s="5"/>
    </row>
    <row r="55" spans="5:11" ht="70.349999999999994" customHeight="1">
      <c r="E55" s="299"/>
      <c r="K55" s="5"/>
    </row>
    <row r="56" spans="5:11" ht="70.349999999999994" customHeight="1">
      <c r="E56" s="299"/>
      <c r="K56" s="5"/>
    </row>
    <row r="57" spans="5:11" ht="70.349999999999994" customHeight="1">
      <c r="E57" s="299"/>
      <c r="K57" s="5"/>
    </row>
    <row r="58" spans="5:11" ht="70.349999999999994" customHeight="1">
      <c r="E58" s="299"/>
      <c r="K58" s="5"/>
    </row>
    <row r="59" spans="5:11" ht="70.349999999999994" customHeight="1">
      <c r="E59" s="299"/>
      <c r="K59" s="5"/>
    </row>
    <row r="60" spans="5:11" ht="70.349999999999994" customHeight="1">
      <c r="E60" s="299"/>
      <c r="K60" s="5"/>
    </row>
    <row r="61" spans="5:11" ht="70.349999999999994" customHeight="1">
      <c r="E61" s="299"/>
      <c r="K61" s="5"/>
    </row>
    <row r="62" spans="5:11" ht="70.349999999999994" customHeight="1">
      <c r="E62" s="299"/>
      <c r="K62" s="5"/>
    </row>
    <row r="63" spans="5:11" ht="70.349999999999994" customHeight="1">
      <c r="E63" s="299"/>
      <c r="K63" s="5"/>
    </row>
    <row r="64" spans="5:11" ht="70.349999999999994" customHeight="1">
      <c r="E64" s="299"/>
      <c r="K64" s="5"/>
    </row>
    <row r="65" spans="5:11" ht="70.349999999999994" customHeight="1">
      <c r="E65" s="299"/>
      <c r="K65" s="5"/>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zoomScaleNormal="100" workbookViewId="0">
      <pane xSplit="8" ySplit="15" topLeftCell="I16" activePane="bottomRight" state="frozen"/>
      <selection pane="bottomRight" activeCell="AE16" sqref="AE16"/>
      <selection pane="bottomLeft" activeCell="C27" sqref="C27:K27"/>
      <selection pane="topRight" activeCell="C27" sqref="C27:K27"/>
    </sheetView>
  </sheetViews>
  <sheetFormatPr defaultColWidth="9" defaultRowHeight="13.5" customHeight="1" outlineLevelRow="1" outlineLevelCol="1"/>
  <cols>
    <col min="1" max="1" width="2.75" style="37" customWidth="1"/>
    <col min="2" max="4" width="9.5" style="37" customWidth="1"/>
    <col min="5" max="6" width="9.5" style="37" customWidth="1" outlineLevel="1"/>
    <col min="7" max="7" width="19.5" style="37" bestFit="1" customWidth="1" outlineLevel="1"/>
    <col min="8" max="8" width="9" style="37"/>
    <col min="9" max="11" width="6.75" style="37" customWidth="1"/>
    <col min="12" max="12" width="5.375" style="37" customWidth="1"/>
    <col min="13" max="22" width="4.875" style="37" customWidth="1" outlineLevel="1"/>
    <col min="23" max="29" width="9" style="37"/>
    <col min="30" max="30" width="11.125" style="37" customWidth="1"/>
    <col min="31" max="31" width="8" style="37" customWidth="1"/>
    <col min="32" max="33" width="9" style="37"/>
    <col min="34" max="34" width="8.5" style="37" customWidth="1"/>
    <col min="35" max="38" width="9" style="37"/>
    <col min="39" max="41" width="8.875" style="37" customWidth="1"/>
    <col min="42" max="43" width="9" style="37"/>
    <col min="44" max="44" width="10.125" style="37" customWidth="1"/>
    <col min="45" max="45" width="10.125" style="272" customWidth="1"/>
    <col min="46" max="46" width="10.125" style="37" customWidth="1"/>
    <col min="47" max="47" width="10.5" style="37" customWidth="1"/>
    <col min="48" max="49" width="9" style="37" customWidth="1" outlineLevel="1"/>
    <col min="50" max="16384" width="9" style="37"/>
  </cols>
  <sheetData>
    <row r="1" spans="1:59" ht="18.600000000000001" customHeight="1" outlineLevel="1">
      <c r="B1" s="264" t="s">
        <v>93</v>
      </c>
      <c r="C1" s="264" t="s">
        <v>94</v>
      </c>
      <c r="D1" s="264" t="s">
        <v>95</v>
      </c>
      <c r="E1" s="264" t="s">
        <v>14</v>
      </c>
      <c r="F1" s="264" t="s">
        <v>96</v>
      </c>
      <c r="G1" s="264" t="s">
        <v>97</v>
      </c>
      <c r="I1" s="304" t="s">
        <v>98</v>
      </c>
      <c r="X1" s="308" t="s">
        <v>99</v>
      </c>
      <c r="AG1" s="275"/>
      <c r="AS1" s="37"/>
    </row>
    <row r="2" spans="1:59" ht="13.5" customHeight="1" outlineLevel="1">
      <c r="B2" s="265">
        <f t="shared" ref="B2:G2" ca="1" si="0">AO14</f>
        <v>0</v>
      </c>
      <c r="C2" s="265">
        <f t="shared" ca="1" si="0"/>
        <v>0</v>
      </c>
      <c r="D2" s="265">
        <f t="shared" ca="1" si="0"/>
        <v>0</v>
      </c>
      <c r="E2" s="265">
        <f t="shared" ca="1" si="0"/>
        <v>0</v>
      </c>
      <c r="F2" s="265">
        <f t="shared" ca="1" si="0"/>
        <v>0</v>
      </c>
      <c r="G2" s="342">
        <f t="shared" ca="1" si="0"/>
        <v>0</v>
      </c>
      <c r="J2" s="266"/>
      <c r="K2" s="266"/>
      <c r="L2" s="266"/>
      <c r="M2" s="373" t="s">
        <v>100</v>
      </c>
      <c r="N2" s="374"/>
      <c r="O2" s="374"/>
      <c r="P2" s="375"/>
      <c r="Q2" s="375"/>
      <c r="R2" s="375"/>
      <c r="S2" s="375"/>
      <c r="T2" s="375"/>
      <c r="U2" s="376"/>
      <c r="V2" s="307"/>
      <c r="X2" s="1407"/>
      <c r="Y2" s="1408"/>
      <c r="Z2" s="1408"/>
      <c r="AA2" s="1408"/>
      <c r="AB2" s="1408"/>
      <c r="AC2" s="1408"/>
      <c r="AD2" s="1408"/>
      <c r="AE2" s="1408"/>
      <c r="AF2" s="1409"/>
      <c r="AG2" s="276"/>
      <c r="AH2" s="309" t="s">
        <v>101</v>
      </c>
      <c r="AL2" s="267"/>
    </row>
    <row r="3" spans="1:59" ht="13.5" customHeight="1" outlineLevel="1">
      <c r="A3" s="266" t="s">
        <v>102</v>
      </c>
      <c r="B3" s="268"/>
      <c r="J3" s="266"/>
      <c r="K3" s="266"/>
      <c r="L3" s="266"/>
      <c r="M3" s="377"/>
      <c r="N3" s="371"/>
      <c r="O3" s="371"/>
      <c r="P3" s="372"/>
      <c r="Q3" s="372"/>
      <c r="R3" s="372"/>
      <c r="S3" s="372"/>
      <c r="T3" s="372"/>
      <c r="U3" s="378"/>
      <c r="V3" s="307"/>
      <c r="X3" s="1410"/>
      <c r="Y3" s="1411"/>
      <c r="Z3" s="1411"/>
      <c r="AA3" s="1411"/>
      <c r="AB3" s="1411"/>
      <c r="AC3" s="1411"/>
      <c r="AD3" s="1411"/>
      <c r="AE3" s="1411"/>
      <c r="AF3" s="1412"/>
      <c r="AH3" s="266" t="s">
        <v>103</v>
      </c>
    </row>
    <row r="4" spans="1:59" ht="13.5" customHeight="1" outlineLevel="1">
      <c r="K4" s="266"/>
      <c r="L4" s="266"/>
      <c r="M4" s="379" t="s">
        <v>104</v>
      </c>
      <c r="N4" s="371"/>
      <c r="O4" s="371"/>
      <c r="P4" s="372"/>
      <c r="Q4" s="372"/>
      <c r="R4" s="372"/>
      <c r="S4" s="372"/>
      <c r="T4" s="372"/>
      <c r="U4" s="378"/>
      <c r="V4" s="307"/>
      <c r="X4" s="1410"/>
      <c r="Y4" s="1411"/>
      <c r="Z4" s="1411"/>
      <c r="AA4" s="1411"/>
      <c r="AB4" s="1411"/>
      <c r="AC4" s="1411"/>
      <c r="AD4" s="1411"/>
      <c r="AE4" s="1411"/>
      <c r="AF4" s="1412"/>
      <c r="AH4" s="738"/>
      <c r="AI4" s="739"/>
      <c r="AJ4" s="739"/>
      <c r="AK4" s="739"/>
      <c r="AL4" s="739"/>
      <c r="AM4" s="739"/>
      <c r="AN4" s="740"/>
    </row>
    <row r="5" spans="1:59" ht="13.5" customHeight="1" outlineLevel="1">
      <c r="A5" s="751" t="s">
        <v>105</v>
      </c>
      <c r="B5" s="752"/>
      <c r="C5" s="753"/>
      <c r="D5" s="753"/>
      <c r="E5" s="753"/>
      <c r="F5" s="754"/>
      <c r="G5" s="266"/>
      <c r="H5" s="266"/>
      <c r="K5" s="266"/>
      <c r="L5" s="266"/>
      <c r="M5" s="379" t="s">
        <v>106</v>
      </c>
      <c r="N5" s="371"/>
      <c r="O5" s="371"/>
      <c r="P5" s="372"/>
      <c r="Q5" s="372"/>
      <c r="R5" s="372"/>
      <c r="S5" s="372"/>
      <c r="T5" s="372"/>
      <c r="U5" s="378"/>
      <c r="V5" s="307"/>
      <c r="X5" s="1410"/>
      <c r="Y5" s="1411"/>
      <c r="Z5" s="1411"/>
      <c r="AA5" s="1411"/>
      <c r="AB5" s="1411"/>
      <c r="AC5" s="1411"/>
      <c r="AD5" s="1411"/>
      <c r="AE5" s="1411"/>
      <c r="AF5" s="1412"/>
      <c r="AH5" s="748"/>
      <c r="AI5" s="749"/>
      <c r="AJ5" s="749"/>
      <c r="AK5" s="749"/>
      <c r="AL5" s="749"/>
      <c r="AM5" s="749"/>
      <c r="AN5" s="750"/>
    </row>
    <row r="6" spans="1:59" ht="13.5" customHeight="1" outlineLevel="1">
      <c r="A6" s="751" t="s">
        <v>107</v>
      </c>
      <c r="B6" s="752"/>
      <c r="C6" s="753"/>
      <c r="D6" s="753"/>
      <c r="E6" s="753"/>
      <c r="F6" s="754"/>
      <c r="G6" s="266"/>
      <c r="H6" s="266"/>
      <c r="K6" s="266"/>
      <c r="L6" s="266"/>
      <c r="M6" s="379" t="s">
        <v>108</v>
      </c>
      <c r="N6" s="371"/>
      <c r="O6" s="371"/>
      <c r="P6" s="372"/>
      <c r="Q6" s="372"/>
      <c r="R6" s="372"/>
      <c r="S6" s="372"/>
      <c r="T6" s="372"/>
      <c r="U6" s="378"/>
      <c r="V6" s="307"/>
      <c r="X6" s="1410"/>
      <c r="Y6" s="1411"/>
      <c r="Z6" s="1411"/>
      <c r="AA6" s="1411"/>
      <c r="AB6" s="1411"/>
      <c r="AC6" s="1411"/>
      <c r="AD6" s="1411"/>
      <c r="AE6" s="1411"/>
      <c r="AF6" s="1412"/>
      <c r="AH6" s="744"/>
      <c r="AI6" s="745"/>
      <c r="AJ6" s="745"/>
      <c r="AK6" s="745"/>
      <c r="AL6" s="745"/>
      <c r="AM6" s="745"/>
      <c r="AN6" s="746"/>
    </row>
    <row r="7" spans="1:59" ht="13.5" customHeight="1" outlineLevel="1">
      <c r="A7" s="751" t="s">
        <v>109</v>
      </c>
      <c r="B7" s="752"/>
      <c r="C7" s="753"/>
      <c r="D7" s="753"/>
      <c r="E7" s="753"/>
      <c r="F7" s="754"/>
      <c r="K7" s="266"/>
      <c r="L7" s="266"/>
      <c r="M7" s="379" t="s">
        <v>110</v>
      </c>
      <c r="N7" s="371"/>
      <c r="O7" s="371"/>
      <c r="P7" s="372"/>
      <c r="Q7" s="372"/>
      <c r="R7" s="372"/>
      <c r="S7" s="372"/>
      <c r="T7" s="372"/>
      <c r="U7" s="378"/>
      <c r="V7" s="307"/>
      <c r="X7" s="1410"/>
      <c r="Y7" s="1411"/>
      <c r="Z7" s="1411"/>
      <c r="AA7" s="1411"/>
      <c r="AB7" s="1411"/>
      <c r="AC7" s="1411"/>
      <c r="AD7" s="1411"/>
      <c r="AE7" s="1411"/>
      <c r="AF7" s="1412"/>
    </row>
    <row r="8" spans="1:59" ht="13.5" customHeight="1" outlineLevel="1">
      <c r="A8" s="751" t="s">
        <v>111</v>
      </c>
      <c r="B8" s="752"/>
      <c r="C8" s="753"/>
      <c r="D8" s="753"/>
      <c r="E8" s="753"/>
      <c r="F8" s="754"/>
      <c r="J8" s="266"/>
      <c r="K8" s="266"/>
      <c r="L8" s="266"/>
      <c r="M8" s="379" t="s">
        <v>112</v>
      </c>
      <c r="N8" s="371"/>
      <c r="O8" s="371"/>
      <c r="P8" s="372"/>
      <c r="Q8" s="372"/>
      <c r="R8" s="372"/>
      <c r="S8" s="372"/>
      <c r="T8" s="372"/>
      <c r="U8" s="378"/>
      <c r="V8" s="307"/>
      <c r="X8" s="1410"/>
      <c r="Y8" s="1411"/>
      <c r="Z8" s="1411"/>
      <c r="AA8" s="1411"/>
      <c r="AB8" s="1411"/>
      <c r="AC8" s="1411"/>
      <c r="AD8" s="1411"/>
      <c r="AE8" s="1411"/>
      <c r="AF8" s="1412"/>
      <c r="AR8" s="304" t="s">
        <v>113</v>
      </c>
    </row>
    <row r="9" spans="1:59" ht="13.5" customHeight="1" outlineLevel="1">
      <c r="A9" s="266" t="s">
        <v>114</v>
      </c>
      <c r="M9" s="380" t="s">
        <v>115</v>
      </c>
      <c r="N9" s="381"/>
      <c r="O9" s="381"/>
      <c r="P9" s="382"/>
      <c r="Q9" s="382"/>
      <c r="R9" s="382"/>
      <c r="S9" s="382"/>
      <c r="T9" s="382"/>
      <c r="U9" s="383"/>
      <c r="V9" s="307"/>
      <c r="X9" s="1410"/>
      <c r="Y9" s="1411"/>
      <c r="Z9" s="1411"/>
      <c r="AA9" s="1411"/>
      <c r="AB9" s="1411"/>
      <c r="AC9" s="1411"/>
      <c r="AD9" s="1411"/>
      <c r="AE9" s="1411"/>
      <c r="AF9" s="1412"/>
      <c r="AN9" s="266"/>
      <c r="AQ9" s="303" t="s">
        <v>116</v>
      </c>
      <c r="AR9" s="518">
        <f>代理店入力用!D8</f>
        <v>2500</v>
      </c>
    </row>
    <row r="10" spans="1:59" ht="13.5" customHeight="1">
      <c r="A10" s="738"/>
      <c r="B10" s="739"/>
      <c r="C10" s="739"/>
      <c r="D10" s="739"/>
      <c r="E10" s="739"/>
      <c r="F10" s="739"/>
      <c r="G10" s="740"/>
      <c r="M10" s="266"/>
      <c r="N10" s="266"/>
      <c r="O10" s="266"/>
      <c r="P10" s="307"/>
      <c r="Q10" s="307"/>
      <c r="R10" s="307"/>
      <c r="S10" s="307"/>
      <c r="T10" s="307"/>
      <c r="U10" s="307"/>
      <c r="V10" s="307"/>
      <c r="X10" s="1410"/>
      <c r="Y10" s="1411"/>
      <c r="Z10" s="1411"/>
      <c r="AA10" s="1411"/>
      <c r="AB10" s="1411"/>
      <c r="AC10" s="1411"/>
      <c r="AD10" s="1411"/>
      <c r="AE10" s="1411"/>
      <c r="AF10" s="1412"/>
      <c r="AL10" s="747" t="s">
        <v>117</v>
      </c>
      <c r="AM10" s="747"/>
      <c r="AN10" s="747"/>
      <c r="AO10" s="301"/>
    </row>
    <row r="11" spans="1:59" ht="13.5" customHeight="1">
      <c r="A11" s="748"/>
      <c r="B11" s="749"/>
      <c r="C11" s="749"/>
      <c r="D11" s="749"/>
      <c r="E11" s="749"/>
      <c r="F11" s="749"/>
      <c r="G11" s="750"/>
      <c r="L11" s="266"/>
      <c r="M11" s="392" t="s">
        <v>39</v>
      </c>
      <c r="N11" s="392" t="s">
        <v>40</v>
      </c>
      <c r="O11" s="392" t="s">
        <v>41</v>
      </c>
      <c r="P11" s="392" t="s">
        <v>118</v>
      </c>
      <c r="Q11" s="391" t="s">
        <v>119</v>
      </c>
      <c r="R11" s="307"/>
      <c r="S11" s="307"/>
      <c r="T11" s="307"/>
      <c r="U11" s="307"/>
      <c r="V11" s="307"/>
      <c r="X11" s="1413"/>
      <c r="Y11" s="1414"/>
      <c r="Z11" s="1414"/>
      <c r="AA11" s="1414"/>
      <c r="AB11" s="1414"/>
      <c r="AC11" s="1414"/>
      <c r="AD11" s="1414"/>
      <c r="AE11" s="1414"/>
      <c r="AF11" s="1415"/>
      <c r="AH11" s="759" t="s">
        <v>120</v>
      </c>
      <c r="AI11" s="759"/>
      <c r="AJ11" s="343" t="s">
        <v>121</v>
      </c>
      <c r="AL11" s="505" t="s">
        <v>122</v>
      </c>
      <c r="AM11" s="505" t="s">
        <v>123</v>
      </c>
      <c r="AN11" s="505" t="s">
        <v>124</v>
      </c>
      <c r="AQ11" s="37" t="s">
        <v>125</v>
      </c>
      <c r="AR11" s="271"/>
      <c r="AS11" s="305" t="s">
        <v>126</v>
      </c>
      <c r="AT11" s="273"/>
    </row>
    <row r="12" spans="1:59" ht="13.5" customHeight="1" thickBot="1">
      <c r="A12" s="748"/>
      <c r="B12" s="749"/>
      <c r="C12" s="749"/>
      <c r="D12" s="749"/>
      <c r="E12" s="749"/>
      <c r="F12" s="749"/>
      <c r="G12" s="750"/>
      <c r="J12" s="741" t="s">
        <v>127</v>
      </c>
      <c r="K12" s="742"/>
      <c r="L12" s="470">
        <f>SUM(M12:P12)</f>
        <v>0</v>
      </c>
      <c r="M12" s="706"/>
      <c r="N12" s="706"/>
      <c r="O12" s="706"/>
      <c r="P12" s="706"/>
      <c r="Q12" s="391" t="s">
        <v>128</v>
      </c>
      <c r="R12" s="307"/>
      <c r="S12" s="307"/>
      <c r="T12" s="307"/>
      <c r="U12" s="307"/>
      <c r="V12" s="307"/>
      <c r="X12" s="1416"/>
      <c r="Y12" s="1416"/>
      <c r="Z12" s="1416"/>
      <c r="AA12" s="1416"/>
      <c r="AB12" s="1416"/>
      <c r="AC12" s="1416"/>
      <c r="AD12" s="1416"/>
      <c r="AE12" s="1416"/>
      <c r="AF12" s="1416"/>
      <c r="AH12" s="743"/>
      <c r="AI12" s="743"/>
      <c r="AJ12" s="344"/>
      <c r="AL12" s="506" t="str">
        <f ca="1">IFERROR(AO14/AH14,"0")</f>
        <v>0</v>
      </c>
      <c r="AM12" s="506" t="str">
        <f ca="1">IFERROR(AQ14/AH14,"0")</f>
        <v>0</v>
      </c>
      <c r="AN12" s="507" t="str">
        <f ca="1">⑥非なし!AY28</f>
        <v>0</v>
      </c>
      <c r="AQ12" s="37" t="s">
        <v>129</v>
      </c>
      <c r="AR12" s="269"/>
      <c r="AS12" s="305" t="s">
        <v>130</v>
      </c>
      <c r="AT12" s="273">
        <v>0.01</v>
      </c>
    </row>
    <row r="13" spans="1:59" ht="13.5" customHeight="1" thickBot="1">
      <c r="A13" s="744"/>
      <c r="B13" s="758"/>
      <c r="C13" s="745"/>
      <c r="D13" s="745"/>
      <c r="E13" s="745"/>
      <c r="F13" s="745"/>
      <c r="G13" s="746"/>
      <c r="X13" s="361"/>
      <c r="AG13" s="266"/>
      <c r="AH13" s="272"/>
      <c r="AK13" s="272"/>
      <c r="AL13" s="277"/>
      <c r="AM13" s="274"/>
      <c r="AN13" s="274"/>
      <c r="AO13" s="274"/>
      <c r="AP13" s="274"/>
      <c r="AS13" s="37"/>
      <c r="AY13" s="732" t="s">
        <v>131</v>
      </c>
      <c r="AZ13" s="733"/>
      <c r="BA13" s="733"/>
      <c r="BB13" s="733"/>
      <c r="BC13" s="733"/>
      <c r="BD13" s="733"/>
      <c r="BE13" s="733"/>
      <c r="BF13" s="733"/>
      <c r="BG13" s="734"/>
    </row>
    <row r="14" spans="1:59" ht="13.5" customHeight="1" thickBot="1">
      <c r="B14" s="612" t="s">
        <v>22</v>
      </c>
      <c r="C14" s="22" t="s">
        <v>132</v>
      </c>
      <c r="G14" s="37" t="s">
        <v>133</v>
      </c>
      <c r="L14" s="37">
        <f>SUM(L16:L45)</f>
        <v>0</v>
      </c>
      <c r="W14" s="278">
        <f>SUM(W16:W45)</f>
        <v>0</v>
      </c>
      <c r="Y14" s="279">
        <f>SUM(Y16:Y45)</f>
        <v>0</v>
      </c>
      <c r="AB14" s="278">
        <f>SUM(AB16:AB45)</f>
        <v>0</v>
      </c>
      <c r="AC14" s="279">
        <f>SUM(AC16:AC45)</f>
        <v>0</v>
      </c>
      <c r="AD14" s="274"/>
      <c r="AE14" s="22" t="s">
        <v>134</v>
      </c>
      <c r="AF14" s="277"/>
      <c r="AH14" s="280">
        <f>SUM(AH16:AH45)</f>
        <v>0</v>
      </c>
      <c r="AI14" s="281">
        <f>SUM(AI16:AI45)</f>
        <v>0</v>
      </c>
      <c r="AJ14" s="281">
        <f ca="1">SUM(AJ16:AJ45)+AJ12</f>
        <v>0</v>
      </c>
      <c r="AK14" s="282">
        <f ca="1">AL14/54</f>
        <v>0</v>
      </c>
      <c r="AL14" s="282">
        <f ca="1">SUM(AL16:AL45)+AJ12</f>
        <v>0</v>
      </c>
      <c r="AM14" s="282">
        <f ca="1">SUM(AM16:AM45)</f>
        <v>0</v>
      </c>
      <c r="AN14" s="274"/>
      <c r="AO14" s="282">
        <f t="shared" ref="AO14:AT14" ca="1" si="1">SUM(AO16:AO45)</f>
        <v>0</v>
      </c>
      <c r="AP14" s="282">
        <f t="shared" ca="1" si="1"/>
        <v>0</v>
      </c>
      <c r="AQ14" s="328">
        <f t="shared" ca="1" si="1"/>
        <v>0</v>
      </c>
      <c r="AR14" s="329">
        <f t="shared" ca="1" si="1"/>
        <v>0</v>
      </c>
      <c r="AS14" s="282">
        <f t="shared" ca="1" si="1"/>
        <v>0</v>
      </c>
      <c r="AT14" s="329">
        <f t="shared" ca="1" si="1"/>
        <v>0</v>
      </c>
      <c r="AU14" s="304" t="s">
        <v>135</v>
      </c>
      <c r="AY14" s="735"/>
      <c r="AZ14" s="736"/>
      <c r="BA14" s="736"/>
      <c r="BB14" s="736"/>
      <c r="BC14" s="736"/>
      <c r="BD14" s="736"/>
      <c r="BE14" s="736"/>
      <c r="BF14" s="736"/>
      <c r="BG14" s="737"/>
    </row>
    <row r="15" spans="1:59" s="284" customFormat="1" ht="13.5" customHeight="1">
      <c r="A15" s="283"/>
      <c r="B15" s="611" t="s">
        <v>52</v>
      </c>
      <c r="C15" s="283" t="s">
        <v>136</v>
      </c>
      <c r="D15" s="283" t="s">
        <v>137</v>
      </c>
      <c r="E15" s="283" t="s">
        <v>138</v>
      </c>
      <c r="F15" s="283" t="s">
        <v>139</v>
      </c>
      <c r="G15" s="283" t="s">
        <v>140</v>
      </c>
      <c r="H15" s="283" t="s">
        <v>141</v>
      </c>
      <c r="I15" s="283" t="s">
        <v>142</v>
      </c>
      <c r="J15" s="283" t="s">
        <v>143</v>
      </c>
      <c r="K15" s="283" t="s">
        <v>144</v>
      </c>
      <c r="L15" s="283" t="s">
        <v>145</v>
      </c>
      <c r="M15" s="283" t="s">
        <v>146</v>
      </c>
      <c r="N15" s="283" t="s">
        <v>147</v>
      </c>
      <c r="O15" s="283" t="s">
        <v>148</v>
      </c>
      <c r="P15" s="283" t="s">
        <v>149</v>
      </c>
      <c r="Q15" s="283" t="s">
        <v>150</v>
      </c>
      <c r="R15" s="283" t="s">
        <v>151</v>
      </c>
      <c r="S15" s="283" t="s">
        <v>152</v>
      </c>
      <c r="T15" s="283" t="s">
        <v>153</v>
      </c>
      <c r="U15" s="283" t="s">
        <v>154</v>
      </c>
      <c r="V15" s="283" t="s">
        <v>155</v>
      </c>
      <c r="W15" s="283" t="s">
        <v>156</v>
      </c>
      <c r="X15" s="283" t="s">
        <v>157</v>
      </c>
      <c r="Y15" s="283" t="s">
        <v>158</v>
      </c>
      <c r="Z15" s="284" t="s">
        <v>159</v>
      </c>
      <c r="AA15" s="283" t="s">
        <v>144</v>
      </c>
      <c r="AB15" s="283" t="s">
        <v>156</v>
      </c>
      <c r="AC15" s="283" t="s">
        <v>158</v>
      </c>
      <c r="AE15" s="300" t="s">
        <v>160</v>
      </c>
      <c r="AG15" s="283" t="s">
        <v>52</v>
      </c>
      <c r="AH15" s="285" t="s">
        <v>161</v>
      </c>
      <c r="AI15" s="283" t="s">
        <v>162</v>
      </c>
      <c r="AJ15" s="330" t="s">
        <v>4</v>
      </c>
      <c r="AK15" s="338" t="s">
        <v>14</v>
      </c>
      <c r="AL15" s="300" t="s">
        <v>163</v>
      </c>
      <c r="AM15" s="366" t="s">
        <v>164</v>
      </c>
      <c r="AN15" s="300" t="s">
        <v>165</v>
      </c>
      <c r="AO15" s="335" t="s">
        <v>166</v>
      </c>
      <c r="AP15" s="336" t="s">
        <v>167</v>
      </c>
      <c r="AQ15" s="336" t="s">
        <v>168</v>
      </c>
      <c r="AR15" s="336" t="s">
        <v>169</v>
      </c>
      <c r="AS15" s="336" t="s">
        <v>170</v>
      </c>
      <c r="AT15" s="337" t="s">
        <v>171</v>
      </c>
      <c r="AU15" s="283" t="s">
        <v>172</v>
      </c>
      <c r="AV15" s="365" t="s">
        <v>173</v>
      </c>
      <c r="AW15" s="284" t="s">
        <v>174</v>
      </c>
      <c r="AY15" s="534" t="s">
        <v>175</v>
      </c>
      <c r="AZ15" s="535" t="s">
        <v>176</v>
      </c>
      <c r="BA15" s="535" t="s">
        <v>177</v>
      </c>
      <c r="BB15" s="535" t="s">
        <v>70</v>
      </c>
      <c r="BC15" s="535" t="s">
        <v>178</v>
      </c>
      <c r="BD15" s="535" t="s">
        <v>179</v>
      </c>
      <c r="BE15" s="535" t="s">
        <v>180</v>
      </c>
      <c r="BF15" s="535" t="s">
        <v>181</v>
      </c>
      <c r="BG15" s="536" t="s">
        <v>161</v>
      </c>
    </row>
    <row r="16" spans="1:59" ht="13.5" customHeight="1">
      <c r="A16" s="674" t="s">
        <v>182</v>
      </c>
      <c r="B16" s="709" t="str">
        <f>IF(C16="","",$C$5)</f>
        <v/>
      </c>
      <c r="C16" s="287"/>
      <c r="D16" s="287"/>
      <c r="E16" s="288"/>
      <c r="F16" s="288"/>
      <c r="G16" s="446"/>
      <c r="H16" s="289">
        <f>PRODUCT(I16,J16)</f>
        <v>0</v>
      </c>
      <c r="I16" s="287"/>
      <c r="J16" s="286" t="str">
        <f>IF(I16&lt;&gt;"",30,"")</f>
        <v/>
      </c>
      <c r="K16" s="287"/>
      <c r="L16" s="286">
        <f t="shared" ref="L16:L32" si="2">SUM(M16:V16)</f>
        <v>0</v>
      </c>
      <c r="M16" s="287"/>
      <c r="N16" s="287"/>
      <c r="O16" s="287"/>
      <c r="P16" s="287"/>
      <c r="Q16" s="287"/>
      <c r="R16" s="287"/>
      <c r="S16" s="287"/>
      <c r="T16" s="287"/>
      <c r="U16" s="287"/>
      <c r="V16" s="287"/>
      <c r="W16" s="286">
        <f>($L16*$K16*$H16)/1000</f>
        <v>0</v>
      </c>
      <c r="X16" s="287">
        <v>30</v>
      </c>
      <c r="Y16" s="290">
        <f>ROUNDDOWN($W16*$X16,0)</f>
        <v>0</v>
      </c>
      <c r="AA16" s="291">
        <f>IFERROR(VLOOKUP($G16,選定!$C$3:$AG$100,5,FALSE),0)</f>
        <v>0</v>
      </c>
      <c r="AB16" s="286">
        <f t="shared" ref="AB16:AB45" si="3">($AA16*$L16*$H16)/1000</f>
        <v>0</v>
      </c>
      <c r="AC16" s="290">
        <f>ROUNDDOWN($AB16*$X16,0)</f>
        <v>0</v>
      </c>
      <c r="AD16" s="292"/>
      <c r="AE16" s="631">
        <v>3000</v>
      </c>
      <c r="AF16" s="293">
        <v>1</v>
      </c>
      <c r="AG16" s="688">
        <f>C5</f>
        <v>0</v>
      </c>
      <c r="AH16" s="294">
        <f t="shared" ref="AH16:AH45" si="4">SUMIF($B$16:$B$45,$AG16,$L$16:$L$45)</f>
        <v>0</v>
      </c>
      <c r="AI16" s="295">
        <f>SUMIF($B$16:$B$45,$AG16,LED計算式!$T$4:$T$33)</f>
        <v>0</v>
      </c>
      <c r="AJ16" s="295">
        <f ca="1">SUMIF($B$16:$B$45,$AG16,LED計算式!$U$4)</f>
        <v>0</v>
      </c>
      <c r="AK16" s="333">
        <f t="shared" ref="AK16:AK45" ca="1" si="5">IFERROR(AL16/54,"")</f>
        <v>0</v>
      </c>
      <c r="AL16" s="333">
        <f ca="1">ROUNDDOWN((AI16+AJ16)/(100%-$AN16),-3)</f>
        <v>0</v>
      </c>
      <c r="AM16" s="334">
        <f t="shared" ref="AM16:AM45" ca="1" si="6">IFERROR($AL16-$AI16-$AJ16,"")</f>
        <v>0</v>
      </c>
      <c r="AN16" s="503">
        <v>0.4</v>
      </c>
      <c r="AO16" s="331">
        <f ca="1">IFERROR(ROUNDDOWN($AL16*(100%-($AR$11+AU16)),-3),"")</f>
        <v>0</v>
      </c>
      <c r="AP16" s="332">
        <f t="shared" ref="AP16:AP45" ca="1" si="7">AI16+AJ16</f>
        <v>0</v>
      </c>
      <c r="AQ16" s="332">
        <f t="shared" ref="AQ16:AQ45" ca="1" si="8">IFERROR(AO16-AI16-AJ16-AS16-AT16,"")</f>
        <v>0</v>
      </c>
      <c r="AR16" s="331">
        <f t="shared" ref="AR16:AR45" ca="1" si="9">ROUNDDOWN(AO16/54,0)</f>
        <v>0</v>
      </c>
      <c r="AS16" s="331">
        <f t="shared" ref="AS16:AS45" ca="1" si="10">IFERROR(AO16*$AT$11,"")</f>
        <v>0</v>
      </c>
      <c r="AT16" s="331">
        <f t="shared" ref="AT16:AT45" ca="1" si="11">AO16*$AT$12</f>
        <v>0</v>
      </c>
      <c r="AU16" s="341"/>
      <c r="AV16" s="364">
        <f t="shared" ref="AV16:AV45" ca="1" si="12">IFERROR(AO16/AH16,0)</f>
        <v>0</v>
      </c>
      <c r="AW16" s="364">
        <f t="shared" ref="AW16:AW45" ca="1" si="13">IFERROR(AQ16/AH16,0)</f>
        <v>0</v>
      </c>
      <c r="AY16" s="529" t="str">
        <f>IFERROR(VLOOKUP(G16,選定!$C$3:$AG$100,28,FALSE),"0")</f>
        <v>0</v>
      </c>
      <c r="AZ16" s="37">
        <f>C16</f>
        <v>0</v>
      </c>
      <c r="BA16" s="37">
        <f>D16</f>
        <v>0</v>
      </c>
      <c r="BB16" s="37" t="str">
        <f>IFERROR(VLOOKUP(G16,選定!$C$2:$AG$100,11,FALSE),"0")</f>
        <v>0</v>
      </c>
      <c r="BC16" s="37" t="str">
        <f>IFERROR(VLOOKUP(G16,選定!$C$2:$AG$100,13,FALSE),"")</f>
        <v/>
      </c>
      <c r="BD16" s="37" t="str">
        <f>IFERROR(VLOOKUP(G16,選定!$C$2:$AG$100,16,FALSE),"")</f>
        <v/>
      </c>
      <c r="BE16" s="37" t="str">
        <f>IFERROR(VLOOKUP(G16,選定!$C$2:$AG$100,19,FALSE),"")</f>
        <v/>
      </c>
      <c r="BF16" s="37" t="str">
        <f>IFERROR(VLOOKUP(G16,選定!$C$2:$AG$100,22,FALSE),"")</f>
        <v/>
      </c>
      <c r="BG16" s="530">
        <f>L16</f>
        <v>0</v>
      </c>
    </row>
    <row r="17" spans="1:59" ht="13.5" customHeight="1">
      <c r="A17" s="674" t="s">
        <v>11</v>
      </c>
      <c r="B17" s="709" t="str">
        <f t="shared" ref="B17:B45" si="14">IF(C17="","",$C$5)</f>
        <v/>
      </c>
      <c r="C17" s="287"/>
      <c r="D17" s="287"/>
      <c r="E17" s="288"/>
      <c r="F17" s="288"/>
      <c r="G17" s="446"/>
      <c r="H17" s="289">
        <f>PRODUCT(I17,J17)</f>
        <v>0</v>
      </c>
      <c r="I17" s="287"/>
      <c r="J17" s="286" t="str">
        <f t="shared" ref="J17:J45" si="15">IF(I17&lt;&gt;"",30,"")</f>
        <v/>
      </c>
      <c r="K17" s="287"/>
      <c r="L17" s="286">
        <f t="shared" si="2"/>
        <v>0</v>
      </c>
      <c r="M17" s="287"/>
      <c r="N17" s="287"/>
      <c r="O17" s="287"/>
      <c r="P17" s="287"/>
      <c r="Q17" s="287"/>
      <c r="R17" s="287"/>
      <c r="S17" s="287"/>
      <c r="T17" s="287"/>
      <c r="U17" s="287"/>
      <c r="V17" s="287"/>
      <c r="W17" s="286">
        <f t="shared" ref="W17:W32" si="16">($L17*$K17*$H17)/1000</f>
        <v>0</v>
      </c>
      <c r="X17" s="286">
        <f t="shared" ref="X17:X36" si="17">$X$16</f>
        <v>30</v>
      </c>
      <c r="Y17" s="290">
        <f t="shared" ref="Y17:Y45" si="18">ROUNDDOWN($W17*$X17,0)</f>
        <v>0</v>
      </c>
      <c r="AA17" s="291">
        <f>IFERROR(VLOOKUP($G17,選定!$C$3:$AG$100,5,FALSE),0)</f>
        <v>0</v>
      </c>
      <c r="AB17" s="286">
        <f t="shared" si="3"/>
        <v>0</v>
      </c>
      <c r="AC17" s="290">
        <f>ROUNDDOWN($AB17*$X17,0)</f>
        <v>0</v>
      </c>
      <c r="AD17" s="292"/>
      <c r="AE17" s="632">
        <v>3000</v>
      </c>
      <c r="AF17" s="293">
        <v>2</v>
      </c>
      <c r="AG17" s="688"/>
      <c r="AH17" s="294">
        <f t="shared" si="4"/>
        <v>0</v>
      </c>
      <c r="AI17" s="295">
        <f>SUMIF($B$16:$B$45,$AG17,LED計算式!$T$4:$T$33)</f>
        <v>0</v>
      </c>
      <c r="AJ17" s="295">
        <f ca="1">SUMIF($B$16:$B$45,$AG17,LED計算式!$U$4)</f>
        <v>0</v>
      </c>
      <c r="AK17" s="296">
        <f t="shared" ca="1" si="5"/>
        <v>0</v>
      </c>
      <c r="AL17" s="296">
        <f t="shared" ref="AL17:AL19" ca="1" si="19">ROUNDDOWN((AI17+AJ17)/(100%-$AN17),-3)</f>
        <v>0</v>
      </c>
      <c r="AM17" s="367">
        <f t="shared" ca="1" si="6"/>
        <v>0</v>
      </c>
      <c r="AN17" s="504">
        <f t="shared" ref="AN17:AN29" si="20">$AN$16</f>
        <v>0.4</v>
      </c>
      <c r="AO17" s="326">
        <f t="shared" ref="AO17:AO19" ca="1" si="21">IFERROR(ROUNDDOWN($AL17*(100%-($AR$11+AU17)),-3),"")</f>
        <v>0</v>
      </c>
      <c r="AP17" s="327">
        <f t="shared" ca="1" si="7"/>
        <v>0</v>
      </c>
      <c r="AQ17" s="327">
        <f t="shared" ca="1" si="8"/>
        <v>0</v>
      </c>
      <c r="AR17" s="326">
        <f t="shared" ca="1" si="9"/>
        <v>0</v>
      </c>
      <c r="AS17" s="326">
        <f t="shared" ca="1" si="10"/>
        <v>0</v>
      </c>
      <c r="AT17" s="326">
        <f t="shared" ca="1" si="11"/>
        <v>0</v>
      </c>
      <c r="AU17" s="341"/>
      <c r="AV17" s="364">
        <f t="shared" ca="1" si="12"/>
        <v>0</v>
      </c>
      <c r="AW17" s="364">
        <f t="shared" ca="1" si="13"/>
        <v>0</v>
      </c>
      <c r="AY17" s="529" t="str">
        <f>IFERROR(VLOOKUP(G17,選定!$C$3:$AG$100,28,FALSE),"0")</f>
        <v>0</v>
      </c>
      <c r="AZ17" s="37">
        <f t="shared" ref="AZ17:AZ45" si="22">C17</f>
        <v>0</v>
      </c>
      <c r="BA17" s="37">
        <f t="shared" ref="BA17:BA45" si="23">D17</f>
        <v>0</v>
      </c>
      <c r="BB17" s="37" t="str">
        <f>IFERROR(VLOOKUP(G17,選定!$C$2:$AG$100,11,FALSE),"0")</f>
        <v>0</v>
      </c>
      <c r="BC17" s="37" t="str">
        <f>IFERROR(VLOOKUP(G17,選定!$C$2:$AG$100,13,FALSE),"")</f>
        <v/>
      </c>
      <c r="BD17" s="37" t="str">
        <f>IFERROR(VLOOKUP(G17,選定!$C$2:$AG$100,16,FALSE),"")</f>
        <v/>
      </c>
      <c r="BE17" s="37" t="str">
        <f>IFERROR(VLOOKUP(G17,選定!$C$2:$AG$100,19,FALSE),"")</f>
        <v/>
      </c>
      <c r="BF17" s="37" t="str">
        <f>IFERROR(VLOOKUP(G17,選定!$C$2:$AG$100,22,FALSE),"")</f>
        <v/>
      </c>
      <c r="BG17" s="530">
        <f t="shared" ref="BG17:BG45" si="24">L17</f>
        <v>0</v>
      </c>
    </row>
    <row r="18" spans="1:59" ht="13.5" customHeight="1">
      <c r="A18" s="674" t="s">
        <v>183</v>
      </c>
      <c r="B18" s="709" t="str">
        <f t="shared" si="14"/>
        <v/>
      </c>
      <c r="C18" s="287"/>
      <c r="D18" s="287"/>
      <c r="E18" s="288"/>
      <c r="F18" s="288"/>
      <c r="G18" s="446"/>
      <c r="H18" s="289">
        <f>PRODUCT(I18,J18)</f>
        <v>0</v>
      </c>
      <c r="I18" s="287"/>
      <c r="J18" s="286" t="str">
        <f t="shared" si="15"/>
        <v/>
      </c>
      <c r="K18" s="287"/>
      <c r="L18" s="286">
        <f t="shared" si="2"/>
        <v>0</v>
      </c>
      <c r="M18" s="287"/>
      <c r="N18" s="287"/>
      <c r="O18" s="287"/>
      <c r="P18" s="287"/>
      <c r="Q18" s="287"/>
      <c r="R18" s="287"/>
      <c r="S18" s="287"/>
      <c r="T18" s="287"/>
      <c r="U18" s="287"/>
      <c r="V18" s="287"/>
      <c r="W18" s="286">
        <f t="shared" si="16"/>
        <v>0</v>
      </c>
      <c r="X18" s="286">
        <f t="shared" si="17"/>
        <v>30</v>
      </c>
      <c r="Y18" s="290">
        <f t="shared" si="18"/>
        <v>0</v>
      </c>
      <c r="AA18" s="291">
        <f>IFERROR(VLOOKUP($G18,選定!$C$3:$AG$100,5,FALSE),0)</f>
        <v>0</v>
      </c>
      <c r="AB18" s="286">
        <f t="shared" si="3"/>
        <v>0</v>
      </c>
      <c r="AC18" s="290">
        <f t="shared" ref="AC18:AC45" si="25">ROUNDDOWN($AB18*$X18,0)</f>
        <v>0</v>
      </c>
      <c r="AD18" s="292"/>
      <c r="AE18" s="632">
        <v>3000</v>
      </c>
      <c r="AF18" s="293">
        <v>3</v>
      </c>
      <c r="AG18" s="712"/>
      <c r="AH18" s="294">
        <f t="shared" si="4"/>
        <v>0</v>
      </c>
      <c r="AI18" s="295">
        <f>SUMIF($B$16:$B$45,$AG18,LED計算式!$T$4:$T$33)</f>
        <v>0</v>
      </c>
      <c r="AJ18" s="295">
        <f ca="1">SUMIF($B$16:$B$45,$AG18,LED計算式!$U$4)</f>
        <v>0</v>
      </c>
      <c r="AK18" s="296">
        <f t="shared" ca="1" si="5"/>
        <v>0</v>
      </c>
      <c r="AL18" s="296">
        <f t="shared" ca="1" si="19"/>
        <v>0</v>
      </c>
      <c r="AM18" s="367">
        <f t="shared" ca="1" si="6"/>
        <v>0</v>
      </c>
      <c r="AN18" s="504">
        <f t="shared" si="20"/>
        <v>0.4</v>
      </c>
      <c r="AO18" s="326">
        <f t="shared" ca="1" si="21"/>
        <v>0</v>
      </c>
      <c r="AP18" s="327">
        <f t="shared" ca="1" si="7"/>
        <v>0</v>
      </c>
      <c r="AQ18" s="327">
        <f t="shared" ca="1" si="8"/>
        <v>0</v>
      </c>
      <c r="AR18" s="326">
        <f t="shared" ca="1" si="9"/>
        <v>0</v>
      </c>
      <c r="AS18" s="326">
        <f t="shared" ca="1" si="10"/>
        <v>0</v>
      </c>
      <c r="AT18" s="326">
        <f t="shared" ca="1" si="11"/>
        <v>0</v>
      </c>
      <c r="AU18" s="341"/>
      <c r="AV18" s="364">
        <f t="shared" ca="1" si="12"/>
        <v>0</v>
      </c>
      <c r="AW18" s="364">
        <f t="shared" ca="1" si="13"/>
        <v>0</v>
      </c>
      <c r="AY18" s="529" t="str">
        <f>IFERROR(VLOOKUP(G18,選定!$C$3:$AG$100,28,FALSE),"0")</f>
        <v>0</v>
      </c>
      <c r="AZ18" s="37">
        <f t="shared" si="22"/>
        <v>0</v>
      </c>
      <c r="BA18" s="37">
        <f t="shared" si="23"/>
        <v>0</v>
      </c>
      <c r="BB18" s="37" t="str">
        <f>IFERROR(VLOOKUP(G18,選定!$C$2:$AG$100,11,FALSE),"0")</f>
        <v>0</v>
      </c>
      <c r="BC18" s="37" t="str">
        <f>IFERROR(VLOOKUP(G18,選定!$C$2:$AG$100,13,FALSE),"")</f>
        <v/>
      </c>
      <c r="BD18" s="37" t="str">
        <f>IFERROR(VLOOKUP(G18,選定!$C$2:$AG$100,16,FALSE),"")</f>
        <v/>
      </c>
      <c r="BE18" s="37" t="str">
        <f>IFERROR(VLOOKUP(G18,選定!$C$2:$AG$100,19,FALSE),"")</f>
        <v/>
      </c>
      <c r="BF18" s="37" t="str">
        <f>IFERROR(VLOOKUP(G18,選定!$C$2:$AG$100,22,FALSE),"")</f>
        <v/>
      </c>
      <c r="BG18" s="530">
        <f t="shared" si="24"/>
        <v>0</v>
      </c>
    </row>
    <row r="19" spans="1:59" ht="13.5" customHeight="1">
      <c r="A19" s="674" t="s">
        <v>184</v>
      </c>
      <c r="B19" s="709" t="str">
        <f t="shared" si="14"/>
        <v/>
      </c>
      <c r="C19" s="287"/>
      <c r="D19" s="287"/>
      <c r="E19" s="288"/>
      <c r="F19" s="288"/>
      <c r="G19" s="446"/>
      <c r="H19" s="289">
        <f t="shared" ref="H19:H32" si="26">PRODUCT(I19,J19)</f>
        <v>0</v>
      </c>
      <c r="I19" s="287"/>
      <c r="J19" s="286" t="str">
        <f t="shared" si="15"/>
        <v/>
      </c>
      <c r="K19" s="287"/>
      <c r="L19" s="286">
        <f t="shared" si="2"/>
        <v>0</v>
      </c>
      <c r="M19" s="287"/>
      <c r="N19" s="287"/>
      <c r="O19" s="287"/>
      <c r="P19" s="287"/>
      <c r="Q19" s="287"/>
      <c r="R19" s="287"/>
      <c r="S19" s="287"/>
      <c r="T19" s="287"/>
      <c r="U19" s="287"/>
      <c r="V19" s="287"/>
      <c r="W19" s="286">
        <f t="shared" si="16"/>
        <v>0</v>
      </c>
      <c r="X19" s="286">
        <f t="shared" si="17"/>
        <v>30</v>
      </c>
      <c r="Y19" s="290">
        <f t="shared" si="18"/>
        <v>0</v>
      </c>
      <c r="AA19" s="291">
        <f>IFERROR(VLOOKUP($G19,選定!$C$3:$AG$100,5,FALSE),0)</f>
        <v>0</v>
      </c>
      <c r="AB19" s="286">
        <f t="shared" si="3"/>
        <v>0</v>
      </c>
      <c r="AC19" s="290">
        <f t="shared" si="25"/>
        <v>0</v>
      </c>
      <c r="AD19" s="292"/>
      <c r="AE19" s="632">
        <v>3000</v>
      </c>
      <c r="AF19" s="292">
        <v>4</v>
      </c>
      <c r="AG19" s="712"/>
      <c r="AH19" s="294">
        <f t="shared" si="4"/>
        <v>0</v>
      </c>
      <c r="AI19" s="295">
        <f>SUMIF($B$16:$B$45,$AG19,LED計算式!$T$4:$T$33)</f>
        <v>0</v>
      </c>
      <c r="AJ19" s="295">
        <f ca="1">SUMIF($B$16:$B$45,$AG19,LED計算式!$U$4)</f>
        <v>0</v>
      </c>
      <c r="AK19" s="296">
        <f t="shared" ca="1" si="5"/>
        <v>0</v>
      </c>
      <c r="AL19" s="296">
        <f t="shared" ca="1" si="19"/>
        <v>0</v>
      </c>
      <c r="AM19" s="367">
        <f t="shared" ca="1" si="6"/>
        <v>0</v>
      </c>
      <c r="AN19" s="504">
        <f t="shared" si="20"/>
        <v>0.4</v>
      </c>
      <c r="AO19" s="326">
        <f t="shared" ca="1" si="21"/>
        <v>0</v>
      </c>
      <c r="AP19" s="327">
        <f t="shared" ca="1" si="7"/>
        <v>0</v>
      </c>
      <c r="AQ19" s="327">
        <f t="shared" ca="1" si="8"/>
        <v>0</v>
      </c>
      <c r="AR19" s="326">
        <f t="shared" ca="1" si="9"/>
        <v>0</v>
      </c>
      <c r="AS19" s="326">
        <f t="shared" ca="1" si="10"/>
        <v>0</v>
      </c>
      <c r="AT19" s="326">
        <f t="shared" ca="1" si="11"/>
        <v>0</v>
      </c>
      <c r="AU19" s="341"/>
      <c r="AV19" s="364">
        <f t="shared" ca="1" si="12"/>
        <v>0</v>
      </c>
      <c r="AW19" s="364">
        <f t="shared" ca="1" si="13"/>
        <v>0</v>
      </c>
      <c r="AY19" s="529" t="str">
        <f>IFERROR(VLOOKUP(G19,選定!$C$3:$AG$100,28,FALSE),"0")</f>
        <v>0</v>
      </c>
      <c r="AZ19" s="37">
        <f t="shared" si="22"/>
        <v>0</v>
      </c>
      <c r="BA19" s="37">
        <f t="shared" si="23"/>
        <v>0</v>
      </c>
      <c r="BB19" s="37" t="str">
        <f>IFERROR(VLOOKUP(G19,選定!$C$2:$AG$100,11,FALSE),"0")</f>
        <v>0</v>
      </c>
      <c r="BC19" s="37" t="str">
        <f>IFERROR(VLOOKUP(G19,選定!$C$2:$AG$100,13,FALSE),"")</f>
        <v/>
      </c>
      <c r="BD19" s="37" t="str">
        <f>IFERROR(VLOOKUP(G19,選定!$C$2:$AG$100,16,FALSE),"")</f>
        <v/>
      </c>
      <c r="BE19" s="37" t="str">
        <f>IFERROR(VLOOKUP(G19,選定!$C$2:$AG$100,19,FALSE),"")</f>
        <v/>
      </c>
      <c r="BF19" s="37" t="str">
        <f>IFERROR(VLOOKUP(G19,選定!$C$2:$AG$100,22,FALSE),"")</f>
        <v/>
      </c>
      <c r="BG19" s="530">
        <f t="shared" si="24"/>
        <v>0</v>
      </c>
    </row>
    <row r="20" spans="1:59" ht="13.5" customHeight="1">
      <c r="A20" s="674" t="s">
        <v>185</v>
      </c>
      <c r="B20" s="709" t="str">
        <f t="shared" si="14"/>
        <v/>
      </c>
      <c r="C20" s="287"/>
      <c r="D20" s="287"/>
      <c r="E20" s="288"/>
      <c r="F20" s="288"/>
      <c r="G20" s="446"/>
      <c r="H20" s="289">
        <f t="shared" si="26"/>
        <v>0</v>
      </c>
      <c r="I20" s="287"/>
      <c r="J20" s="286" t="str">
        <f t="shared" si="15"/>
        <v/>
      </c>
      <c r="K20" s="287"/>
      <c r="L20" s="286">
        <f t="shared" si="2"/>
        <v>0</v>
      </c>
      <c r="M20" s="287"/>
      <c r="N20" s="287"/>
      <c r="O20" s="287"/>
      <c r="P20" s="287"/>
      <c r="Q20" s="287"/>
      <c r="R20" s="287"/>
      <c r="S20" s="287"/>
      <c r="T20" s="287"/>
      <c r="U20" s="287"/>
      <c r="V20" s="287"/>
      <c r="W20" s="286">
        <f t="shared" si="16"/>
        <v>0</v>
      </c>
      <c r="X20" s="286">
        <f t="shared" si="17"/>
        <v>30</v>
      </c>
      <c r="Y20" s="290">
        <f t="shared" si="18"/>
        <v>0</v>
      </c>
      <c r="AA20" s="291">
        <f>IFERROR(VLOOKUP($G20,選定!$C$3:$AG$100,5,FALSE),0)</f>
        <v>0</v>
      </c>
      <c r="AB20" s="286">
        <f t="shared" si="3"/>
        <v>0</v>
      </c>
      <c r="AC20" s="290">
        <f t="shared" si="25"/>
        <v>0</v>
      </c>
      <c r="AD20" s="292"/>
      <c r="AE20" s="632">
        <v>3000</v>
      </c>
      <c r="AF20" s="292">
        <v>5</v>
      </c>
      <c r="AG20" s="688"/>
      <c r="AH20" s="689">
        <f t="shared" si="4"/>
        <v>0</v>
      </c>
      <c r="AI20" s="400">
        <f>SUMIF($B$16:$B$45,$AG20,LED計算式!$T$4:$T$33)</f>
        <v>0</v>
      </c>
      <c r="AJ20" s="400">
        <f ca="1">SUMIF($B$16:$B$45,$AG20,LED計算式!$U$4)</f>
        <v>0</v>
      </c>
      <c r="AK20" s="400">
        <f t="shared" ca="1" si="5"/>
        <v>0</v>
      </c>
      <c r="AL20" s="400">
        <f t="shared" ref="AL20:AL45" ca="1" si="27">ROUNDDOWN((AI20+AJ20)/(100%-$AN20),0)</f>
        <v>0</v>
      </c>
      <c r="AM20" s="690">
        <f t="shared" ca="1" si="6"/>
        <v>0</v>
      </c>
      <c r="AN20" s="691">
        <f t="shared" si="20"/>
        <v>0.4</v>
      </c>
      <c r="AO20" s="400">
        <f t="shared" ref="AO20:AO45" ca="1" si="28">IFERROR(ROUNDDOWN($AL20*(100%-($AR$11+AU20)),0),"")</f>
        <v>0</v>
      </c>
      <c r="AP20" s="692">
        <f t="shared" ca="1" si="7"/>
        <v>0</v>
      </c>
      <c r="AQ20" s="692">
        <f t="shared" ca="1" si="8"/>
        <v>0</v>
      </c>
      <c r="AR20" s="400">
        <f t="shared" ca="1" si="9"/>
        <v>0</v>
      </c>
      <c r="AS20" s="400">
        <f t="shared" ca="1" si="10"/>
        <v>0</v>
      </c>
      <c r="AT20" s="400">
        <f t="shared" ca="1" si="11"/>
        <v>0</v>
      </c>
      <c r="AU20" s="693"/>
      <c r="AV20" s="694">
        <f t="shared" ca="1" si="12"/>
        <v>0</v>
      </c>
      <c r="AW20" s="694">
        <f t="shared" ca="1" si="13"/>
        <v>0</v>
      </c>
      <c r="AY20" s="529" t="str">
        <f>IFERROR(VLOOKUP(G20,選定!$C$3:$AG$100,28,FALSE),"0")</f>
        <v>0</v>
      </c>
      <c r="AZ20" s="37">
        <f t="shared" si="22"/>
        <v>0</v>
      </c>
      <c r="BA20" s="37">
        <f t="shared" si="23"/>
        <v>0</v>
      </c>
      <c r="BB20" s="37" t="str">
        <f>IFERROR(VLOOKUP(G20,選定!$C$2:$AG$100,11,FALSE),"0")</f>
        <v>0</v>
      </c>
      <c r="BC20" s="37" t="str">
        <f>IFERROR(VLOOKUP(G20,選定!$C$2:$AG$100,13,FALSE),"")</f>
        <v/>
      </c>
      <c r="BD20" s="37" t="str">
        <f>IFERROR(VLOOKUP(G20,選定!$C$2:$AG$100,16,FALSE),"")</f>
        <v/>
      </c>
      <c r="BE20" s="37" t="str">
        <f>IFERROR(VLOOKUP(G20,選定!$C$2:$AG$100,19,FALSE),"")</f>
        <v/>
      </c>
      <c r="BF20" s="37" t="str">
        <f>IFERROR(VLOOKUP(G20,選定!$C$2:$AG$100,22,FALSE),"")</f>
        <v/>
      </c>
      <c r="BG20" s="530">
        <f t="shared" si="24"/>
        <v>0</v>
      </c>
    </row>
    <row r="21" spans="1:59" ht="13.5" customHeight="1">
      <c r="A21" s="674" t="s">
        <v>186</v>
      </c>
      <c r="B21" s="709" t="str">
        <f t="shared" si="14"/>
        <v/>
      </c>
      <c r="C21" s="287"/>
      <c r="D21" s="287"/>
      <c r="E21" s="288"/>
      <c r="F21" s="288"/>
      <c r="G21" s="446"/>
      <c r="H21" s="289">
        <f t="shared" si="26"/>
        <v>0</v>
      </c>
      <c r="I21" s="287"/>
      <c r="J21" s="286" t="str">
        <f t="shared" si="15"/>
        <v/>
      </c>
      <c r="K21" s="287"/>
      <c r="L21" s="286">
        <f t="shared" si="2"/>
        <v>0</v>
      </c>
      <c r="M21" s="287"/>
      <c r="N21" s="287"/>
      <c r="O21" s="287"/>
      <c r="P21" s="287"/>
      <c r="Q21" s="287"/>
      <c r="R21" s="287"/>
      <c r="S21" s="287"/>
      <c r="T21" s="287"/>
      <c r="U21" s="287"/>
      <c r="V21" s="287"/>
      <c r="W21" s="286">
        <f t="shared" si="16"/>
        <v>0</v>
      </c>
      <c r="X21" s="286">
        <f t="shared" si="17"/>
        <v>30</v>
      </c>
      <c r="Y21" s="290">
        <f t="shared" si="18"/>
        <v>0</v>
      </c>
      <c r="AA21" s="291">
        <f>IFERROR(VLOOKUP($G21,選定!$C$3:$AG$100,5,FALSE),0)</f>
        <v>0</v>
      </c>
      <c r="AB21" s="286">
        <f t="shared" si="3"/>
        <v>0</v>
      </c>
      <c r="AC21" s="290">
        <f t="shared" si="25"/>
        <v>0</v>
      </c>
      <c r="AD21" s="292"/>
      <c r="AE21" s="632">
        <v>3000</v>
      </c>
      <c r="AF21" s="292">
        <v>6</v>
      </c>
      <c r="AG21" s="688"/>
      <c r="AH21" s="689">
        <f t="shared" si="4"/>
        <v>0</v>
      </c>
      <c r="AI21" s="400">
        <f>SUMIF($B$16:$B$45,$AG21,LED計算式!$T$4:$T$33)</f>
        <v>0</v>
      </c>
      <c r="AJ21" s="400">
        <f ca="1">SUMIF($B$16:$B$45,$AG21,LED計算式!$U$4)</f>
        <v>0</v>
      </c>
      <c r="AK21" s="400">
        <f t="shared" ca="1" si="5"/>
        <v>0</v>
      </c>
      <c r="AL21" s="400">
        <f t="shared" ca="1" si="27"/>
        <v>0</v>
      </c>
      <c r="AM21" s="690">
        <f t="shared" ca="1" si="6"/>
        <v>0</v>
      </c>
      <c r="AN21" s="691">
        <f t="shared" si="20"/>
        <v>0.4</v>
      </c>
      <c r="AO21" s="400">
        <f t="shared" ca="1" si="28"/>
        <v>0</v>
      </c>
      <c r="AP21" s="692">
        <f t="shared" ca="1" si="7"/>
        <v>0</v>
      </c>
      <c r="AQ21" s="692">
        <f t="shared" ca="1" si="8"/>
        <v>0</v>
      </c>
      <c r="AR21" s="400">
        <f t="shared" ca="1" si="9"/>
        <v>0</v>
      </c>
      <c r="AS21" s="400">
        <f t="shared" ca="1" si="10"/>
        <v>0</v>
      </c>
      <c r="AT21" s="400">
        <f t="shared" ca="1" si="11"/>
        <v>0</v>
      </c>
      <c r="AU21" s="693"/>
      <c r="AV21" s="694">
        <f t="shared" ca="1" si="12"/>
        <v>0</v>
      </c>
      <c r="AW21" s="694">
        <f t="shared" ca="1" si="13"/>
        <v>0</v>
      </c>
      <c r="AY21" s="529" t="str">
        <f>IFERROR(VLOOKUP(G21,選定!$C$3:$AG$100,28,FALSE),"0")</f>
        <v>0</v>
      </c>
      <c r="AZ21" s="37">
        <f t="shared" si="22"/>
        <v>0</v>
      </c>
      <c r="BA21" s="37">
        <f t="shared" si="23"/>
        <v>0</v>
      </c>
      <c r="BB21" s="37" t="str">
        <f>IFERROR(VLOOKUP(G21,選定!$C$2:$AG$100,11,FALSE),"0")</f>
        <v>0</v>
      </c>
      <c r="BC21" s="37" t="str">
        <f>IFERROR(VLOOKUP(G21,選定!$C$2:$AG$100,13,FALSE),"")</f>
        <v/>
      </c>
      <c r="BD21" s="37" t="str">
        <f>IFERROR(VLOOKUP(G21,選定!$C$2:$AG$100,16,FALSE),"")</f>
        <v/>
      </c>
      <c r="BE21" s="37" t="str">
        <f>IFERROR(VLOOKUP(G21,選定!$C$2:$AG$100,19,FALSE),"")</f>
        <v/>
      </c>
      <c r="BF21" s="37" t="str">
        <f>IFERROR(VLOOKUP(G21,選定!$C$2:$AG$100,22,FALSE),"")</f>
        <v/>
      </c>
      <c r="BG21" s="530">
        <f t="shared" si="24"/>
        <v>0</v>
      </c>
    </row>
    <row r="22" spans="1:59" ht="13.5" customHeight="1">
      <c r="A22" s="674" t="s">
        <v>187</v>
      </c>
      <c r="B22" s="709" t="str">
        <f t="shared" si="14"/>
        <v/>
      </c>
      <c r="C22" s="287"/>
      <c r="D22" s="287"/>
      <c r="E22" s="288"/>
      <c r="F22" s="288"/>
      <c r="G22" s="446"/>
      <c r="H22" s="289">
        <f t="shared" si="26"/>
        <v>0</v>
      </c>
      <c r="I22" s="287"/>
      <c r="J22" s="286" t="str">
        <f t="shared" si="15"/>
        <v/>
      </c>
      <c r="K22" s="287"/>
      <c r="L22" s="286">
        <f t="shared" si="2"/>
        <v>0</v>
      </c>
      <c r="M22" s="287"/>
      <c r="N22" s="287"/>
      <c r="O22" s="287"/>
      <c r="P22" s="287"/>
      <c r="Q22" s="287"/>
      <c r="R22" s="287"/>
      <c r="S22" s="287"/>
      <c r="T22" s="287"/>
      <c r="U22" s="287"/>
      <c r="V22" s="287"/>
      <c r="W22" s="286">
        <f t="shared" si="16"/>
        <v>0</v>
      </c>
      <c r="X22" s="286">
        <f t="shared" si="17"/>
        <v>30</v>
      </c>
      <c r="Y22" s="290">
        <f t="shared" si="18"/>
        <v>0</v>
      </c>
      <c r="AA22" s="291">
        <f>IFERROR(VLOOKUP($G22,選定!$C$3:$AG$100,5,FALSE),0)</f>
        <v>0</v>
      </c>
      <c r="AB22" s="286">
        <f t="shared" si="3"/>
        <v>0</v>
      </c>
      <c r="AC22" s="290">
        <f t="shared" si="25"/>
        <v>0</v>
      </c>
      <c r="AD22" s="292"/>
      <c r="AE22" s="632">
        <v>3000</v>
      </c>
      <c r="AF22" s="292">
        <v>7</v>
      </c>
      <c r="AG22" s="688"/>
      <c r="AH22" s="689">
        <f t="shared" si="4"/>
        <v>0</v>
      </c>
      <c r="AI22" s="400">
        <f>SUMIF($B$16:$B$45,$AG22,LED計算式!$T$4:$T$33)</f>
        <v>0</v>
      </c>
      <c r="AJ22" s="400">
        <f ca="1">SUMIF($B$16:$B$45,$AG22,LED計算式!$U$4)</f>
        <v>0</v>
      </c>
      <c r="AK22" s="400">
        <f t="shared" ca="1" si="5"/>
        <v>0</v>
      </c>
      <c r="AL22" s="400">
        <f t="shared" ca="1" si="27"/>
        <v>0</v>
      </c>
      <c r="AM22" s="690">
        <f t="shared" ca="1" si="6"/>
        <v>0</v>
      </c>
      <c r="AN22" s="691">
        <f t="shared" si="20"/>
        <v>0.4</v>
      </c>
      <c r="AO22" s="400">
        <f t="shared" ca="1" si="28"/>
        <v>0</v>
      </c>
      <c r="AP22" s="692">
        <f t="shared" ca="1" si="7"/>
        <v>0</v>
      </c>
      <c r="AQ22" s="692">
        <f t="shared" ca="1" si="8"/>
        <v>0</v>
      </c>
      <c r="AR22" s="400">
        <f t="shared" ca="1" si="9"/>
        <v>0</v>
      </c>
      <c r="AS22" s="400">
        <f t="shared" ca="1" si="10"/>
        <v>0</v>
      </c>
      <c r="AT22" s="400">
        <f t="shared" ca="1" si="11"/>
        <v>0</v>
      </c>
      <c r="AU22" s="693"/>
      <c r="AV22" s="694">
        <f t="shared" ca="1" si="12"/>
        <v>0</v>
      </c>
      <c r="AW22" s="694">
        <f t="shared" ca="1" si="13"/>
        <v>0</v>
      </c>
      <c r="AY22" s="529" t="str">
        <f>IFERROR(VLOOKUP(G22,選定!$C$3:$AG$100,28,FALSE),"0")</f>
        <v>0</v>
      </c>
      <c r="AZ22" s="37">
        <f t="shared" si="22"/>
        <v>0</v>
      </c>
      <c r="BA22" s="37">
        <f t="shared" si="23"/>
        <v>0</v>
      </c>
      <c r="BB22" s="37" t="str">
        <f>IFERROR(VLOOKUP(G22,選定!$C$2:$AG$100,11,FALSE),"0")</f>
        <v>0</v>
      </c>
      <c r="BC22" s="37" t="str">
        <f>IFERROR(VLOOKUP(G22,選定!$C$2:$AG$100,13,FALSE),"")</f>
        <v/>
      </c>
      <c r="BD22" s="37" t="str">
        <f>IFERROR(VLOOKUP(G22,選定!$C$2:$AG$100,16,FALSE),"")</f>
        <v/>
      </c>
      <c r="BE22" s="37" t="str">
        <f>IFERROR(VLOOKUP(G22,選定!$C$2:$AG$100,19,FALSE),"")</f>
        <v/>
      </c>
      <c r="BF22" s="37" t="str">
        <f>IFERROR(VLOOKUP(G22,選定!$C$2:$AG$100,22,FALSE),"")</f>
        <v/>
      </c>
      <c r="BG22" s="530">
        <f t="shared" si="24"/>
        <v>0</v>
      </c>
    </row>
    <row r="23" spans="1:59" ht="13.5" customHeight="1">
      <c r="A23" s="674" t="s">
        <v>188</v>
      </c>
      <c r="B23" s="709" t="str">
        <f t="shared" si="14"/>
        <v/>
      </c>
      <c r="C23" s="287"/>
      <c r="D23" s="287"/>
      <c r="E23" s="288"/>
      <c r="F23" s="288"/>
      <c r="G23" s="446"/>
      <c r="H23" s="289">
        <f t="shared" si="26"/>
        <v>0</v>
      </c>
      <c r="I23" s="287"/>
      <c r="J23" s="286" t="str">
        <f t="shared" si="15"/>
        <v/>
      </c>
      <c r="K23" s="287"/>
      <c r="L23" s="286">
        <f t="shared" si="2"/>
        <v>0</v>
      </c>
      <c r="M23" s="287"/>
      <c r="N23" s="287"/>
      <c r="O23" s="287"/>
      <c r="P23" s="287"/>
      <c r="Q23" s="287"/>
      <c r="R23" s="287"/>
      <c r="S23" s="287"/>
      <c r="T23" s="287"/>
      <c r="U23" s="287"/>
      <c r="V23" s="287"/>
      <c r="W23" s="286">
        <f t="shared" si="16"/>
        <v>0</v>
      </c>
      <c r="X23" s="286">
        <f t="shared" si="17"/>
        <v>30</v>
      </c>
      <c r="Y23" s="290">
        <f t="shared" si="18"/>
        <v>0</v>
      </c>
      <c r="AA23" s="291">
        <f>IFERROR(VLOOKUP($G23,選定!$C$3:$AG$100,5,FALSE),0)</f>
        <v>0</v>
      </c>
      <c r="AB23" s="286">
        <f t="shared" si="3"/>
        <v>0</v>
      </c>
      <c r="AC23" s="290">
        <f t="shared" si="25"/>
        <v>0</v>
      </c>
      <c r="AD23" s="292"/>
      <c r="AE23" s="632">
        <v>3000</v>
      </c>
      <c r="AF23" s="292">
        <v>8</v>
      </c>
      <c r="AG23" s="688"/>
      <c r="AH23" s="689">
        <f t="shared" si="4"/>
        <v>0</v>
      </c>
      <c r="AI23" s="400">
        <f>SUMIF($B$16:$B$45,$AG23,LED計算式!$T$4:$T$33)</f>
        <v>0</v>
      </c>
      <c r="AJ23" s="400">
        <f ca="1">SUMIF($B$16:$B$45,$AG23,LED計算式!$U$4)</f>
        <v>0</v>
      </c>
      <c r="AK23" s="400">
        <f t="shared" ca="1" si="5"/>
        <v>0</v>
      </c>
      <c r="AL23" s="400">
        <f t="shared" ca="1" si="27"/>
        <v>0</v>
      </c>
      <c r="AM23" s="690">
        <f t="shared" ca="1" si="6"/>
        <v>0</v>
      </c>
      <c r="AN23" s="691">
        <f t="shared" si="20"/>
        <v>0.4</v>
      </c>
      <c r="AO23" s="400">
        <f t="shared" ca="1" si="28"/>
        <v>0</v>
      </c>
      <c r="AP23" s="692">
        <f t="shared" ca="1" si="7"/>
        <v>0</v>
      </c>
      <c r="AQ23" s="692">
        <f t="shared" ca="1" si="8"/>
        <v>0</v>
      </c>
      <c r="AR23" s="400">
        <f t="shared" ca="1" si="9"/>
        <v>0</v>
      </c>
      <c r="AS23" s="400">
        <f t="shared" ca="1" si="10"/>
        <v>0</v>
      </c>
      <c r="AT23" s="400">
        <f t="shared" ca="1" si="11"/>
        <v>0</v>
      </c>
      <c r="AU23" s="693"/>
      <c r="AV23" s="694">
        <f t="shared" ca="1" si="12"/>
        <v>0</v>
      </c>
      <c r="AW23" s="694">
        <f t="shared" ca="1" si="13"/>
        <v>0</v>
      </c>
      <c r="AY23" s="529" t="str">
        <f>IFERROR(VLOOKUP(G23,選定!$C$3:$AG$100,28,FALSE),"0")</f>
        <v>0</v>
      </c>
      <c r="AZ23" s="37">
        <f t="shared" si="22"/>
        <v>0</v>
      </c>
      <c r="BA23" s="37">
        <f t="shared" si="23"/>
        <v>0</v>
      </c>
      <c r="BB23" s="37" t="str">
        <f>IFERROR(VLOOKUP(G23,選定!$C$2:$AG$100,11,FALSE),"0")</f>
        <v>0</v>
      </c>
      <c r="BC23" s="37" t="str">
        <f>IFERROR(VLOOKUP(G23,選定!$C$2:$AG$100,13,FALSE),"")</f>
        <v/>
      </c>
      <c r="BD23" s="37" t="str">
        <f>IFERROR(VLOOKUP(G23,選定!$C$2:$AG$100,16,FALSE),"")</f>
        <v/>
      </c>
      <c r="BE23" s="37" t="str">
        <f>IFERROR(VLOOKUP(G23,選定!$C$2:$AG$100,19,FALSE),"")</f>
        <v/>
      </c>
      <c r="BF23" s="37" t="str">
        <f>IFERROR(VLOOKUP(G23,選定!$C$2:$AG$100,22,FALSE),"")</f>
        <v/>
      </c>
      <c r="BG23" s="530">
        <f t="shared" si="24"/>
        <v>0</v>
      </c>
    </row>
    <row r="24" spans="1:59" ht="13.5" customHeight="1">
      <c r="A24" s="674" t="s">
        <v>189</v>
      </c>
      <c r="B24" s="709" t="str">
        <f t="shared" si="14"/>
        <v/>
      </c>
      <c r="C24" s="287"/>
      <c r="D24" s="287"/>
      <c r="E24" s="288"/>
      <c r="F24" s="288"/>
      <c r="G24" s="446"/>
      <c r="H24" s="289">
        <f t="shared" si="26"/>
        <v>0</v>
      </c>
      <c r="I24" s="287"/>
      <c r="J24" s="286" t="str">
        <f t="shared" si="15"/>
        <v/>
      </c>
      <c r="K24" s="287"/>
      <c r="L24" s="286">
        <f t="shared" si="2"/>
        <v>0</v>
      </c>
      <c r="M24" s="287"/>
      <c r="N24" s="287"/>
      <c r="O24" s="287"/>
      <c r="P24" s="287"/>
      <c r="Q24" s="287"/>
      <c r="R24" s="287"/>
      <c r="S24" s="287"/>
      <c r="T24" s="287"/>
      <c r="U24" s="287"/>
      <c r="V24" s="287"/>
      <c r="W24" s="286">
        <f t="shared" si="16"/>
        <v>0</v>
      </c>
      <c r="X24" s="286">
        <f t="shared" si="17"/>
        <v>30</v>
      </c>
      <c r="Y24" s="290">
        <f t="shared" si="18"/>
        <v>0</v>
      </c>
      <c r="AA24" s="291">
        <f>IFERROR(VLOOKUP($G24,選定!$C$3:$AG$100,5,FALSE),0)</f>
        <v>0</v>
      </c>
      <c r="AB24" s="286">
        <f t="shared" si="3"/>
        <v>0</v>
      </c>
      <c r="AC24" s="290">
        <f t="shared" si="25"/>
        <v>0</v>
      </c>
      <c r="AD24" s="292"/>
      <c r="AE24" s="632">
        <v>3000</v>
      </c>
      <c r="AF24" s="292">
        <v>9</v>
      </c>
      <c r="AG24" s="688"/>
      <c r="AH24" s="689">
        <f t="shared" si="4"/>
        <v>0</v>
      </c>
      <c r="AI24" s="400">
        <f>SUMIF($B$16:$B$45,$AG24,LED計算式!$T$4:$T$33)</f>
        <v>0</v>
      </c>
      <c r="AJ24" s="400">
        <f ca="1">SUMIF($B$16:$B$45,$AG24,LED計算式!$U$4)</f>
        <v>0</v>
      </c>
      <c r="AK24" s="400">
        <f t="shared" ca="1" si="5"/>
        <v>0</v>
      </c>
      <c r="AL24" s="400">
        <f t="shared" ca="1" si="27"/>
        <v>0</v>
      </c>
      <c r="AM24" s="690">
        <f t="shared" ca="1" si="6"/>
        <v>0</v>
      </c>
      <c r="AN24" s="691">
        <f t="shared" si="20"/>
        <v>0.4</v>
      </c>
      <c r="AO24" s="400">
        <f t="shared" ca="1" si="28"/>
        <v>0</v>
      </c>
      <c r="AP24" s="692">
        <f t="shared" ca="1" si="7"/>
        <v>0</v>
      </c>
      <c r="AQ24" s="692">
        <f t="shared" ca="1" si="8"/>
        <v>0</v>
      </c>
      <c r="AR24" s="400">
        <f t="shared" ca="1" si="9"/>
        <v>0</v>
      </c>
      <c r="AS24" s="400">
        <f t="shared" ca="1" si="10"/>
        <v>0</v>
      </c>
      <c r="AT24" s="400">
        <f t="shared" ca="1" si="11"/>
        <v>0</v>
      </c>
      <c r="AU24" s="693"/>
      <c r="AV24" s="694">
        <f t="shared" ca="1" si="12"/>
        <v>0</v>
      </c>
      <c r="AW24" s="694">
        <f t="shared" ca="1" si="13"/>
        <v>0</v>
      </c>
      <c r="AY24" s="529" t="str">
        <f>IFERROR(VLOOKUP(G24,選定!$C$3:$AG$100,28,FALSE),"0")</f>
        <v>0</v>
      </c>
      <c r="AZ24" s="37">
        <f t="shared" si="22"/>
        <v>0</v>
      </c>
      <c r="BA24" s="37">
        <f t="shared" si="23"/>
        <v>0</v>
      </c>
      <c r="BB24" s="37" t="str">
        <f>IFERROR(VLOOKUP(G24,選定!$C$2:$AG$100,11,FALSE),"0")</f>
        <v>0</v>
      </c>
      <c r="BC24" s="37" t="str">
        <f>IFERROR(VLOOKUP(G24,選定!$C$2:$AG$100,13,FALSE),"")</f>
        <v/>
      </c>
      <c r="BD24" s="37" t="str">
        <f>IFERROR(VLOOKUP(G24,選定!$C$2:$AG$100,16,FALSE),"")</f>
        <v/>
      </c>
      <c r="BE24" s="37" t="str">
        <f>IFERROR(VLOOKUP(G24,選定!$C$2:$AG$100,19,FALSE),"")</f>
        <v/>
      </c>
      <c r="BF24" s="37" t="str">
        <f>IFERROR(VLOOKUP(G24,選定!$C$2:$AG$100,22,FALSE),"")</f>
        <v/>
      </c>
      <c r="BG24" s="530">
        <f t="shared" si="24"/>
        <v>0</v>
      </c>
    </row>
    <row r="25" spans="1:59" ht="13.5" customHeight="1">
      <c r="A25" s="674" t="s">
        <v>190</v>
      </c>
      <c r="B25" s="709" t="str">
        <f t="shared" si="14"/>
        <v/>
      </c>
      <c r="C25" s="287"/>
      <c r="D25" s="287"/>
      <c r="E25" s="288"/>
      <c r="F25" s="288"/>
      <c r="G25" s="446"/>
      <c r="H25" s="289">
        <f t="shared" si="26"/>
        <v>0</v>
      </c>
      <c r="I25" s="287"/>
      <c r="J25" s="286" t="str">
        <f t="shared" si="15"/>
        <v/>
      </c>
      <c r="K25" s="287"/>
      <c r="L25" s="286">
        <f t="shared" si="2"/>
        <v>0</v>
      </c>
      <c r="M25" s="287"/>
      <c r="N25" s="287"/>
      <c r="O25" s="287"/>
      <c r="P25" s="287"/>
      <c r="Q25" s="287"/>
      <c r="R25" s="287"/>
      <c r="S25" s="287"/>
      <c r="T25" s="287"/>
      <c r="U25" s="287"/>
      <c r="V25" s="287"/>
      <c r="W25" s="286">
        <f t="shared" si="16"/>
        <v>0</v>
      </c>
      <c r="X25" s="286">
        <f t="shared" si="17"/>
        <v>30</v>
      </c>
      <c r="Y25" s="290">
        <f t="shared" si="18"/>
        <v>0</v>
      </c>
      <c r="AA25" s="291">
        <f>IFERROR(VLOOKUP($G25,選定!$C$3:$AG$100,5,FALSE),0)</f>
        <v>0</v>
      </c>
      <c r="AB25" s="286">
        <f t="shared" si="3"/>
        <v>0</v>
      </c>
      <c r="AC25" s="290">
        <f t="shared" si="25"/>
        <v>0</v>
      </c>
      <c r="AD25" s="292"/>
      <c r="AE25" s="632">
        <v>3000</v>
      </c>
      <c r="AF25" s="292">
        <v>10</v>
      </c>
      <c r="AG25" s="688"/>
      <c r="AH25" s="689">
        <f t="shared" si="4"/>
        <v>0</v>
      </c>
      <c r="AI25" s="400">
        <f>SUMIF($B$16:$B$45,$AG25,LED計算式!$T$4:$T$33)</f>
        <v>0</v>
      </c>
      <c r="AJ25" s="400">
        <f ca="1">SUMIF($B$16:$B$45,$AG25,LED計算式!$U$4)</f>
        <v>0</v>
      </c>
      <c r="AK25" s="400">
        <f t="shared" ca="1" si="5"/>
        <v>0</v>
      </c>
      <c r="AL25" s="400">
        <f t="shared" ca="1" si="27"/>
        <v>0</v>
      </c>
      <c r="AM25" s="690">
        <f t="shared" ca="1" si="6"/>
        <v>0</v>
      </c>
      <c r="AN25" s="691">
        <f t="shared" si="20"/>
        <v>0.4</v>
      </c>
      <c r="AO25" s="400">
        <f t="shared" ca="1" si="28"/>
        <v>0</v>
      </c>
      <c r="AP25" s="692">
        <f t="shared" ca="1" si="7"/>
        <v>0</v>
      </c>
      <c r="AQ25" s="692">
        <f t="shared" ca="1" si="8"/>
        <v>0</v>
      </c>
      <c r="AR25" s="400">
        <f t="shared" ca="1" si="9"/>
        <v>0</v>
      </c>
      <c r="AS25" s="400">
        <f t="shared" ca="1" si="10"/>
        <v>0</v>
      </c>
      <c r="AT25" s="400">
        <f t="shared" ca="1" si="11"/>
        <v>0</v>
      </c>
      <c r="AU25" s="693"/>
      <c r="AV25" s="694">
        <f t="shared" ca="1" si="12"/>
        <v>0</v>
      </c>
      <c r="AW25" s="694">
        <f t="shared" ca="1" si="13"/>
        <v>0</v>
      </c>
      <c r="AY25" s="529" t="str">
        <f>IFERROR(VLOOKUP(G25,選定!$C$3:$AG$100,28,FALSE),"0")</f>
        <v>0</v>
      </c>
      <c r="AZ25" s="37">
        <f t="shared" si="22"/>
        <v>0</v>
      </c>
      <c r="BA25" s="37">
        <f t="shared" si="23"/>
        <v>0</v>
      </c>
      <c r="BB25" s="37" t="str">
        <f>IFERROR(VLOOKUP(G25,選定!$C$2:$AG$100,11,FALSE),"0")</f>
        <v>0</v>
      </c>
      <c r="BC25" s="37" t="str">
        <f>IFERROR(VLOOKUP(G25,選定!$C$2:$AG$100,13,FALSE),"")</f>
        <v/>
      </c>
      <c r="BD25" s="37" t="str">
        <f>IFERROR(VLOOKUP(G25,選定!$C$2:$AG$100,16,FALSE),"")</f>
        <v/>
      </c>
      <c r="BE25" s="37" t="str">
        <f>IFERROR(VLOOKUP(G25,選定!$C$2:$AG$100,19,FALSE),"")</f>
        <v/>
      </c>
      <c r="BF25" s="37" t="str">
        <f>IFERROR(VLOOKUP(G25,選定!$C$2:$AG$100,22,FALSE),"")</f>
        <v/>
      </c>
      <c r="BG25" s="530">
        <f t="shared" si="24"/>
        <v>0</v>
      </c>
    </row>
    <row r="26" spans="1:59" ht="13.5" customHeight="1">
      <c r="A26" s="674" t="s">
        <v>191</v>
      </c>
      <c r="B26" s="688" t="str">
        <f t="shared" si="14"/>
        <v/>
      </c>
      <c r="C26" s="287"/>
      <c r="D26" s="287"/>
      <c r="E26" s="288"/>
      <c r="F26" s="288"/>
      <c r="G26" s="446"/>
      <c r="H26" s="289">
        <f t="shared" si="26"/>
        <v>0</v>
      </c>
      <c r="I26" s="287"/>
      <c r="J26" s="286" t="str">
        <f t="shared" si="15"/>
        <v/>
      </c>
      <c r="K26" s="287"/>
      <c r="L26" s="286">
        <f t="shared" si="2"/>
        <v>0</v>
      </c>
      <c r="M26" s="287"/>
      <c r="N26" s="287"/>
      <c r="O26" s="287"/>
      <c r="P26" s="287"/>
      <c r="Q26" s="287"/>
      <c r="R26" s="287"/>
      <c r="S26" s="287"/>
      <c r="T26" s="287"/>
      <c r="U26" s="287"/>
      <c r="V26" s="287"/>
      <c r="W26" s="286">
        <f t="shared" si="16"/>
        <v>0</v>
      </c>
      <c r="X26" s="286">
        <f t="shared" si="17"/>
        <v>30</v>
      </c>
      <c r="Y26" s="290">
        <f t="shared" si="18"/>
        <v>0</v>
      </c>
      <c r="AA26" s="291">
        <f>IFERROR(VLOOKUP($G26,選定!$C$3:$AG$100,5,FALSE),0)</f>
        <v>0</v>
      </c>
      <c r="AB26" s="286">
        <f t="shared" si="3"/>
        <v>0</v>
      </c>
      <c r="AC26" s="290">
        <f t="shared" si="25"/>
        <v>0</v>
      </c>
      <c r="AD26" s="292"/>
      <c r="AE26" s="632">
        <v>3000</v>
      </c>
      <c r="AF26" s="292">
        <v>11</v>
      </c>
      <c r="AG26" s="688"/>
      <c r="AH26" s="689">
        <f t="shared" si="4"/>
        <v>0</v>
      </c>
      <c r="AI26" s="400">
        <f>SUMIF($B$16:$B$45,$AG26,LED計算式!$T$4:$T$33)</f>
        <v>0</v>
      </c>
      <c r="AJ26" s="400">
        <f ca="1">SUMIF($B$16:$B$45,$AG26,LED計算式!$U$4)</f>
        <v>0</v>
      </c>
      <c r="AK26" s="400">
        <f t="shared" ca="1" si="5"/>
        <v>0</v>
      </c>
      <c r="AL26" s="400">
        <f t="shared" ca="1" si="27"/>
        <v>0</v>
      </c>
      <c r="AM26" s="690">
        <f t="shared" ca="1" si="6"/>
        <v>0</v>
      </c>
      <c r="AN26" s="691">
        <f t="shared" si="20"/>
        <v>0.4</v>
      </c>
      <c r="AO26" s="400">
        <f t="shared" ca="1" si="28"/>
        <v>0</v>
      </c>
      <c r="AP26" s="692">
        <f t="shared" ca="1" si="7"/>
        <v>0</v>
      </c>
      <c r="AQ26" s="692">
        <f t="shared" ca="1" si="8"/>
        <v>0</v>
      </c>
      <c r="AR26" s="400">
        <f t="shared" ca="1" si="9"/>
        <v>0</v>
      </c>
      <c r="AS26" s="400">
        <f t="shared" ca="1" si="10"/>
        <v>0</v>
      </c>
      <c r="AT26" s="400">
        <f t="shared" ca="1" si="11"/>
        <v>0</v>
      </c>
      <c r="AU26" s="693"/>
      <c r="AV26" s="694">
        <f t="shared" ca="1" si="12"/>
        <v>0</v>
      </c>
      <c r="AW26" s="694">
        <f t="shared" ca="1" si="13"/>
        <v>0</v>
      </c>
      <c r="AY26" s="529" t="str">
        <f>IFERROR(VLOOKUP(G26,選定!$C$3:$AG$100,28,FALSE),"0")</f>
        <v>0</v>
      </c>
      <c r="AZ26" s="37">
        <f t="shared" si="22"/>
        <v>0</v>
      </c>
      <c r="BA26" s="37">
        <f t="shared" si="23"/>
        <v>0</v>
      </c>
      <c r="BB26" s="37" t="str">
        <f>IFERROR(VLOOKUP(G26,選定!$C$2:$AG$100,11,FALSE),"0")</f>
        <v>0</v>
      </c>
      <c r="BC26" s="37" t="str">
        <f>IFERROR(VLOOKUP(G26,選定!$C$2:$AG$100,13,FALSE),"")</f>
        <v/>
      </c>
      <c r="BD26" s="37" t="str">
        <f>IFERROR(VLOOKUP(G26,選定!$C$2:$AG$100,16,FALSE),"")</f>
        <v/>
      </c>
      <c r="BE26" s="37" t="str">
        <f>IFERROR(VLOOKUP(G26,選定!$C$2:$AG$100,19,FALSE),"")</f>
        <v/>
      </c>
      <c r="BF26" s="37" t="str">
        <f>IFERROR(VLOOKUP(G26,選定!$C$2:$AG$100,22,FALSE),"")</f>
        <v/>
      </c>
      <c r="BG26" s="530">
        <f t="shared" si="24"/>
        <v>0</v>
      </c>
    </row>
    <row r="27" spans="1:59" ht="13.5" customHeight="1">
      <c r="A27" s="674" t="s">
        <v>192</v>
      </c>
      <c r="B27" s="688" t="str">
        <f t="shared" si="14"/>
        <v/>
      </c>
      <c r="C27" s="287"/>
      <c r="D27" s="287"/>
      <c r="E27" s="288"/>
      <c r="F27" s="288"/>
      <c r="G27" s="446"/>
      <c r="H27" s="289">
        <f t="shared" si="26"/>
        <v>0</v>
      </c>
      <c r="I27" s="287"/>
      <c r="J27" s="286" t="str">
        <f t="shared" si="15"/>
        <v/>
      </c>
      <c r="K27" s="287"/>
      <c r="L27" s="286">
        <f t="shared" si="2"/>
        <v>0</v>
      </c>
      <c r="M27" s="287"/>
      <c r="N27" s="287"/>
      <c r="O27" s="287"/>
      <c r="P27" s="287"/>
      <c r="Q27" s="287"/>
      <c r="R27" s="287"/>
      <c r="S27" s="287"/>
      <c r="T27" s="287"/>
      <c r="U27" s="287"/>
      <c r="V27" s="287"/>
      <c r="W27" s="286">
        <f t="shared" si="16"/>
        <v>0</v>
      </c>
      <c r="X27" s="286">
        <f t="shared" si="17"/>
        <v>30</v>
      </c>
      <c r="Y27" s="290">
        <f t="shared" si="18"/>
        <v>0</v>
      </c>
      <c r="AA27" s="291">
        <f>IFERROR(VLOOKUP($G27,選定!$C$3:$AG$100,5,FALSE),0)</f>
        <v>0</v>
      </c>
      <c r="AB27" s="286">
        <f t="shared" si="3"/>
        <v>0</v>
      </c>
      <c r="AC27" s="290">
        <f t="shared" si="25"/>
        <v>0</v>
      </c>
      <c r="AD27" s="292"/>
      <c r="AE27" s="632">
        <v>3000</v>
      </c>
      <c r="AF27" s="292">
        <v>12</v>
      </c>
      <c r="AG27" s="688"/>
      <c r="AH27" s="689">
        <f t="shared" si="4"/>
        <v>0</v>
      </c>
      <c r="AI27" s="400">
        <f>SUMIF($B$16:$B$45,$AG27,LED計算式!$T$4:$T$33)</f>
        <v>0</v>
      </c>
      <c r="AJ27" s="400">
        <f ca="1">SUMIF($B$16:$B$45,$AG27,LED計算式!$U$4)</f>
        <v>0</v>
      </c>
      <c r="AK27" s="400">
        <f t="shared" ca="1" si="5"/>
        <v>0</v>
      </c>
      <c r="AL27" s="400">
        <f t="shared" ca="1" si="27"/>
        <v>0</v>
      </c>
      <c r="AM27" s="690">
        <f t="shared" ca="1" si="6"/>
        <v>0</v>
      </c>
      <c r="AN27" s="691">
        <f t="shared" si="20"/>
        <v>0.4</v>
      </c>
      <c r="AO27" s="400">
        <f t="shared" ca="1" si="28"/>
        <v>0</v>
      </c>
      <c r="AP27" s="692">
        <f t="shared" ca="1" si="7"/>
        <v>0</v>
      </c>
      <c r="AQ27" s="692">
        <f t="shared" ca="1" si="8"/>
        <v>0</v>
      </c>
      <c r="AR27" s="400">
        <f t="shared" ca="1" si="9"/>
        <v>0</v>
      </c>
      <c r="AS27" s="400">
        <f t="shared" ca="1" si="10"/>
        <v>0</v>
      </c>
      <c r="AT27" s="400">
        <f t="shared" ca="1" si="11"/>
        <v>0</v>
      </c>
      <c r="AU27" s="693"/>
      <c r="AV27" s="694">
        <f t="shared" ca="1" si="12"/>
        <v>0</v>
      </c>
      <c r="AW27" s="694">
        <f t="shared" ca="1" si="13"/>
        <v>0</v>
      </c>
      <c r="AY27" s="529" t="str">
        <f>IFERROR(VLOOKUP(G27,選定!$C$3:$AG$100,28,FALSE),"0")</f>
        <v>0</v>
      </c>
      <c r="AZ27" s="37">
        <f t="shared" si="22"/>
        <v>0</v>
      </c>
      <c r="BA27" s="37">
        <f t="shared" si="23"/>
        <v>0</v>
      </c>
      <c r="BB27" s="37" t="str">
        <f>IFERROR(VLOOKUP(G27,選定!$C$2:$AG$100,11,FALSE),"0")</f>
        <v>0</v>
      </c>
      <c r="BC27" s="37" t="str">
        <f>IFERROR(VLOOKUP(G27,選定!$C$2:$AG$100,13,FALSE),"")</f>
        <v/>
      </c>
      <c r="BD27" s="37" t="str">
        <f>IFERROR(VLOOKUP(G27,選定!$C$2:$AG$100,16,FALSE),"")</f>
        <v/>
      </c>
      <c r="BE27" s="37" t="str">
        <f>IFERROR(VLOOKUP(G27,選定!$C$2:$AG$100,19,FALSE),"")</f>
        <v/>
      </c>
      <c r="BF27" s="37" t="str">
        <f>IFERROR(VLOOKUP(G27,選定!$C$2:$AG$100,22,FALSE),"")</f>
        <v/>
      </c>
      <c r="BG27" s="530">
        <f t="shared" si="24"/>
        <v>0</v>
      </c>
    </row>
    <row r="28" spans="1:59" ht="13.5" customHeight="1">
      <c r="A28" s="674" t="s">
        <v>193</v>
      </c>
      <c r="B28" s="688" t="str">
        <f t="shared" si="14"/>
        <v/>
      </c>
      <c r="C28" s="445"/>
      <c r="D28" s="287"/>
      <c r="E28" s="288"/>
      <c r="F28" s="288"/>
      <c r="G28" s="446"/>
      <c r="H28" s="289">
        <f t="shared" si="26"/>
        <v>0</v>
      </c>
      <c r="I28" s="287"/>
      <c r="J28" s="286" t="str">
        <f t="shared" si="15"/>
        <v/>
      </c>
      <c r="K28" s="287"/>
      <c r="L28" s="286">
        <f t="shared" si="2"/>
        <v>0</v>
      </c>
      <c r="M28" s="287"/>
      <c r="N28" s="287"/>
      <c r="O28" s="287"/>
      <c r="P28" s="287"/>
      <c r="Q28" s="287"/>
      <c r="R28" s="287"/>
      <c r="S28" s="287"/>
      <c r="T28" s="287"/>
      <c r="U28" s="287"/>
      <c r="V28" s="287"/>
      <c r="W28" s="286">
        <f t="shared" si="16"/>
        <v>0</v>
      </c>
      <c r="X28" s="286">
        <f t="shared" si="17"/>
        <v>30</v>
      </c>
      <c r="Y28" s="290">
        <f t="shared" si="18"/>
        <v>0</v>
      </c>
      <c r="AA28" s="291">
        <f>IFERROR(VLOOKUP($G28,選定!$C$3:$AG$100,5,FALSE),0)</f>
        <v>0</v>
      </c>
      <c r="AB28" s="286">
        <f t="shared" si="3"/>
        <v>0</v>
      </c>
      <c r="AC28" s="290">
        <f t="shared" si="25"/>
        <v>0</v>
      </c>
      <c r="AD28" s="292"/>
      <c r="AE28" s="632">
        <v>3000</v>
      </c>
      <c r="AF28" s="292">
        <v>13</v>
      </c>
      <c r="AG28" s="688"/>
      <c r="AH28" s="689">
        <f t="shared" si="4"/>
        <v>0</v>
      </c>
      <c r="AI28" s="400">
        <f>SUMIF($B$16:$B$45,$AG28,LED計算式!$T$4:$T$33)</f>
        <v>0</v>
      </c>
      <c r="AJ28" s="400">
        <f ca="1">SUMIF($B$16:$B$45,$AG28,LED計算式!$U$4)</f>
        <v>0</v>
      </c>
      <c r="AK28" s="400">
        <f t="shared" ca="1" si="5"/>
        <v>0</v>
      </c>
      <c r="AL28" s="400">
        <f t="shared" ca="1" si="27"/>
        <v>0</v>
      </c>
      <c r="AM28" s="690">
        <f t="shared" ca="1" si="6"/>
        <v>0</v>
      </c>
      <c r="AN28" s="691">
        <f t="shared" si="20"/>
        <v>0.4</v>
      </c>
      <c r="AO28" s="400">
        <f t="shared" ca="1" si="28"/>
        <v>0</v>
      </c>
      <c r="AP28" s="692">
        <f t="shared" ca="1" si="7"/>
        <v>0</v>
      </c>
      <c r="AQ28" s="692">
        <f t="shared" ca="1" si="8"/>
        <v>0</v>
      </c>
      <c r="AR28" s="400">
        <f t="shared" ca="1" si="9"/>
        <v>0</v>
      </c>
      <c r="AS28" s="400">
        <f t="shared" ca="1" si="10"/>
        <v>0</v>
      </c>
      <c r="AT28" s="400">
        <f t="shared" ca="1" si="11"/>
        <v>0</v>
      </c>
      <c r="AU28" s="693"/>
      <c r="AV28" s="694">
        <f t="shared" ca="1" si="12"/>
        <v>0</v>
      </c>
      <c r="AW28" s="694">
        <f t="shared" ca="1" si="13"/>
        <v>0</v>
      </c>
      <c r="AY28" s="529" t="str">
        <f>IFERROR(VLOOKUP(G28,選定!$C$3:$AG$100,28,FALSE),"0")</f>
        <v>0</v>
      </c>
      <c r="AZ28" s="37">
        <f t="shared" si="22"/>
        <v>0</v>
      </c>
      <c r="BA28" s="37">
        <f t="shared" si="23"/>
        <v>0</v>
      </c>
      <c r="BB28" s="37" t="str">
        <f>IFERROR(VLOOKUP(G28,選定!$C$2:$AG$100,11,FALSE),"0")</f>
        <v>0</v>
      </c>
      <c r="BC28" s="37" t="str">
        <f>IFERROR(VLOOKUP(G28,選定!$C$2:$AG$100,13,FALSE),"")</f>
        <v/>
      </c>
      <c r="BD28" s="37" t="str">
        <f>IFERROR(VLOOKUP(G28,選定!$C$2:$AG$100,16,FALSE),"")</f>
        <v/>
      </c>
      <c r="BE28" s="37" t="str">
        <f>IFERROR(VLOOKUP(G28,選定!$C$2:$AG$100,19,FALSE),"")</f>
        <v/>
      </c>
      <c r="BF28" s="37" t="str">
        <f>IFERROR(VLOOKUP(G28,選定!$C$2:$AG$100,22,FALSE),"")</f>
        <v/>
      </c>
      <c r="BG28" s="530">
        <f t="shared" si="24"/>
        <v>0</v>
      </c>
    </row>
    <row r="29" spans="1:59" ht="13.5" customHeight="1">
      <c r="A29" s="674" t="s">
        <v>194</v>
      </c>
      <c r="B29" s="709" t="str">
        <f t="shared" si="14"/>
        <v/>
      </c>
      <c r="C29" s="287"/>
      <c r="D29" s="287"/>
      <c r="E29" s="288"/>
      <c r="F29" s="288"/>
      <c r="G29" s="446"/>
      <c r="H29" s="289">
        <f t="shared" si="26"/>
        <v>0</v>
      </c>
      <c r="I29" s="287"/>
      <c r="J29" s="286" t="str">
        <f t="shared" si="15"/>
        <v/>
      </c>
      <c r="K29" s="287"/>
      <c r="L29" s="286">
        <f t="shared" si="2"/>
        <v>0</v>
      </c>
      <c r="M29" s="287"/>
      <c r="N29" s="287"/>
      <c r="O29" s="287"/>
      <c r="P29" s="287"/>
      <c r="Q29" s="287"/>
      <c r="R29" s="287"/>
      <c r="S29" s="287"/>
      <c r="T29" s="287"/>
      <c r="U29" s="287"/>
      <c r="V29" s="287"/>
      <c r="W29" s="286">
        <f t="shared" si="16"/>
        <v>0</v>
      </c>
      <c r="X29" s="286">
        <f t="shared" si="17"/>
        <v>30</v>
      </c>
      <c r="Y29" s="290">
        <f t="shared" si="18"/>
        <v>0</v>
      </c>
      <c r="AA29" s="291">
        <f>IFERROR(VLOOKUP($G29,選定!$C$3:$AG$100,5,FALSE),0)</f>
        <v>0</v>
      </c>
      <c r="AB29" s="286">
        <f t="shared" si="3"/>
        <v>0</v>
      </c>
      <c r="AC29" s="290">
        <f t="shared" si="25"/>
        <v>0</v>
      </c>
      <c r="AD29" s="292"/>
      <c r="AE29" s="632">
        <v>3000</v>
      </c>
      <c r="AF29" s="292">
        <v>14</v>
      </c>
      <c r="AG29" s="688"/>
      <c r="AH29" s="689">
        <f t="shared" si="4"/>
        <v>0</v>
      </c>
      <c r="AI29" s="400">
        <f>SUMIF($B$16:$B$45,$AG29,LED計算式!$T$4:$T$33)</f>
        <v>0</v>
      </c>
      <c r="AJ29" s="400">
        <f ca="1">SUMIF($B$16:$B$45,$AG29,LED計算式!$U$4)</f>
        <v>0</v>
      </c>
      <c r="AK29" s="400">
        <f t="shared" ca="1" si="5"/>
        <v>0</v>
      </c>
      <c r="AL29" s="400">
        <f t="shared" ca="1" si="27"/>
        <v>0</v>
      </c>
      <c r="AM29" s="690">
        <f t="shared" ca="1" si="6"/>
        <v>0</v>
      </c>
      <c r="AN29" s="691">
        <f t="shared" si="20"/>
        <v>0.4</v>
      </c>
      <c r="AO29" s="400">
        <f t="shared" ca="1" si="28"/>
        <v>0</v>
      </c>
      <c r="AP29" s="692">
        <f t="shared" ca="1" si="7"/>
        <v>0</v>
      </c>
      <c r="AQ29" s="692">
        <f t="shared" ca="1" si="8"/>
        <v>0</v>
      </c>
      <c r="AR29" s="400">
        <f t="shared" ca="1" si="9"/>
        <v>0</v>
      </c>
      <c r="AS29" s="400">
        <f t="shared" ca="1" si="10"/>
        <v>0</v>
      </c>
      <c r="AT29" s="400">
        <f t="shared" ca="1" si="11"/>
        <v>0</v>
      </c>
      <c r="AU29" s="693"/>
      <c r="AV29" s="694">
        <f t="shared" ca="1" si="12"/>
        <v>0</v>
      </c>
      <c r="AW29" s="694">
        <f t="shared" ca="1" si="13"/>
        <v>0</v>
      </c>
      <c r="AY29" s="529" t="str">
        <f>IFERROR(VLOOKUP(G29,選定!$C$3:$AG$100,28,FALSE),"0")</f>
        <v>0</v>
      </c>
      <c r="AZ29" s="37">
        <f t="shared" si="22"/>
        <v>0</v>
      </c>
      <c r="BA29" s="37">
        <f t="shared" si="23"/>
        <v>0</v>
      </c>
      <c r="BB29" s="37" t="str">
        <f>IFERROR(VLOOKUP(G29,選定!$C$2:$AG$100,11,FALSE),"0")</f>
        <v>0</v>
      </c>
      <c r="BC29" s="37" t="str">
        <f>IFERROR(VLOOKUP(G29,選定!$C$2:$AG$100,13,FALSE),"")</f>
        <v/>
      </c>
      <c r="BD29" s="37" t="str">
        <f>IFERROR(VLOOKUP(G29,選定!$C$2:$AG$100,16,FALSE),"")</f>
        <v/>
      </c>
      <c r="BE29" s="37" t="str">
        <f>IFERROR(VLOOKUP(G29,選定!$C$2:$AG$100,19,FALSE),"")</f>
        <v/>
      </c>
      <c r="BF29" s="37" t="str">
        <f>IFERROR(VLOOKUP(G29,選定!$C$2:$AG$100,22,FALSE),"")</f>
        <v/>
      </c>
      <c r="BG29" s="530">
        <f t="shared" si="24"/>
        <v>0</v>
      </c>
    </row>
    <row r="30" spans="1:59" ht="13.5" customHeight="1">
      <c r="A30" s="674" t="s">
        <v>195</v>
      </c>
      <c r="B30" s="688" t="str">
        <f t="shared" si="14"/>
        <v/>
      </c>
      <c r="C30" s="287"/>
      <c r="D30" s="287"/>
      <c r="E30" s="288"/>
      <c r="F30" s="288"/>
      <c r="G30" s="446"/>
      <c r="H30" s="289">
        <f t="shared" si="26"/>
        <v>0</v>
      </c>
      <c r="I30" s="287"/>
      <c r="J30" s="286" t="str">
        <f t="shared" si="15"/>
        <v/>
      </c>
      <c r="K30" s="287"/>
      <c r="L30" s="286">
        <f t="shared" si="2"/>
        <v>0</v>
      </c>
      <c r="M30" s="287"/>
      <c r="N30" s="287"/>
      <c r="O30" s="287"/>
      <c r="P30" s="287"/>
      <c r="Q30" s="287"/>
      <c r="R30" s="287"/>
      <c r="S30" s="287"/>
      <c r="T30" s="287"/>
      <c r="U30" s="287"/>
      <c r="V30" s="287"/>
      <c r="W30" s="286">
        <f t="shared" si="16"/>
        <v>0</v>
      </c>
      <c r="X30" s="286">
        <f t="shared" si="17"/>
        <v>30</v>
      </c>
      <c r="Y30" s="290">
        <f t="shared" si="18"/>
        <v>0</v>
      </c>
      <c r="AA30" s="291">
        <f>IFERROR(VLOOKUP($G30,選定!$C$3:$AG$100,5,FALSE),0)</f>
        <v>0</v>
      </c>
      <c r="AB30" s="286">
        <f t="shared" si="3"/>
        <v>0</v>
      </c>
      <c r="AC30" s="290">
        <f t="shared" si="25"/>
        <v>0</v>
      </c>
      <c r="AD30" s="292"/>
      <c r="AE30" s="632">
        <v>3000</v>
      </c>
      <c r="AF30" s="292">
        <v>15</v>
      </c>
      <c r="AG30" s="688"/>
      <c r="AH30" s="689">
        <f t="shared" si="4"/>
        <v>0</v>
      </c>
      <c r="AI30" s="400">
        <f>SUMIF($B$16:$B$45,$AG30,LED計算式!$T$4:$T$33)</f>
        <v>0</v>
      </c>
      <c r="AJ30" s="400">
        <f ca="1">SUMIF($B$16:$B$45,$AG30,LED計算式!$U$4)</f>
        <v>0</v>
      </c>
      <c r="AK30" s="400">
        <f t="shared" ca="1" si="5"/>
        <v>0</v>
      </c>
      <c r="AL30" s="400">
        <f t="shared" ca="1" si="27"/>
        <v>0</v>
      </c>
      <c r="AM30" s="690">
        <f t="shared" ca="1" si="6"/>
        <v>0</v>
      </c>
      <c r="AN30" s="691">
        <f>$AN$16</f>
        <v>0.4</v>
      </c>
      <c r="AO30" s="400">
        <f t="shared" ca="1" si="28"/>
        <v>0</v>
      </c>
      <c r="AP30" s="692">
        <f t="shared" ca="1" si="7"/>
        <v>0</v>
      </c>
      <c r="AQ30" s="692">
        <f t="shared" ca="1" si="8"/>
        <v>0</v>
      </c>
      <c r="AR30" s="400">
        <f t="shared" ca="1" si="9"/>
        <v>0</v>
      </c>
      <c r="AS30" s="400">
        <f t="shared" ca="1" si="10"/>
        <v>0</v>
      </c>
      <c r="AT30" s="400">
        <f t="shared" ca="1" si="11"/>
        <v>0</v>
      </c>
      <c r="AU30" s="693"/>
      <c r="AV30" s="694">
        <f t="shared" ca="1" si="12"/>
        <v>0</v>
      </c>
      <c r="AW30" s="694">
        <f t="shared" ca="1" si="13"/>
        <v>0</v>
      </c>
      <c r="AY30" s="529" t="str">
        <f>IFERROR(VLOOKUP(G30,選定!$C$3:$AG$100,28,FALSE),"0")</f>
        <v>0</v>
      </c>
      <c r="AZ30" s="37">
        <f t="shared" si="22"/>
        <v>0</v>
      </c>
      <c r="BA30" s="37">
        <f t="shared" si="23"/>
        <v>0</v>
      </c>
      <c r="BB30" s="37" t="str">
        <f>IFERROR(VLOOKUP(G30,選定!$C$2:$AG$100,11,FALSE),"0")</f>
        <v>0</v>
      </c>
      <c r="BC30" s="37" t="str">
        <f>IFERROR(VLOOKUP(G30,選定!$C$2:$AG$100,13,FALSE),"")</f>
        <v/>
      </c>
      <c r="BD30" s="37" t="str">
        <f>IFERROR(VLOOKUP(G30,選定!$C$2:$AG$100,16,FALSE),"")</f>
        <v/>
      </c>
      <c r="BE30" s="37" t="str">
        <f>IFERROR(VLOOKUP(G30,選定!$C$2:$AG$100,19,FALSE),"")</f>
        <v/>
      </c>
      <c r="BF30" s="37" t="str">
        <f>IFERROR(VLOOKUP(G30,選定!$C$2:$AG$100,22,FALSE),"")</f>
        <v/>
      </c>
      <c r="BG30" s="530">
        <f t="shared" si="24"/>
        <v>0</v>
      </c>
    </row>
    <row r="31" spans="1:59" ht="13.5" customHeight="1">
      <c r="A31" s="674" t="s">
        <v>196</v>
      </c>
      <c r="B31" s="688" t="str">
        <f t="shared" si="14"/>
        <v/>
      </c>
      <c r="C31" s="287"/>
      <c r="D31" s="287"/>
      <c r="E31" s="288"/>
      <c r="F31" s="288"/>
      <c r="G31" s="446"/>
      <c r="H31" s="289">
        <f t="shared" si="26"/>
        <v>0</v>
      </c>
      <c r="I31" s="287"/>
      <c r="J31" s="286" t="str">
        <f t="shared" si="15"/>
        <v/>
      </c>
      <c r="K31" s="287"/>
      <c r="L31" s="286">
        <f t="shared" si="2"/>
        <v>0</v>
      </c>
      <c r="M31" s="287"/>
      <c r="N31" s="287"/>
      <c r="O31" s="287"/>
      <c r="P31" s="287"/>
      <c r="Q31" s="287"/>
      <c r="R31" s="287"/>
      <c r="S31" s="287"/>
      <c r="T31" s="287"/>
      <c r="U31" s="287"/>
      <c r="V31" s="287"/>
      <c r="W31" s="286">
        <f t="shared" si="16"/>
        <v>0</v>
      </c>
      <c r="X31" s="286">
        <f t="shared" si="17"/>
        <v>30</v>
      </c>
      <c r="Y31" s="297">
        <f t="shared" si="18"/>
        <v>0</v>
      </c>
      <c r="AA31" s="291">
        <f>IFERROR(VLOOKUP($G31,選定!$C$3:$AG$100,5,FALSE),0)</f>
        <v>0</v>
      </c>
      <c r="AB31" s="286">
        <f t="shared" si="3"/>
        <v>0</v>
      </c>
      <c r="AC31" s="297">
        <f t="shared" si="25"/>
        <v>0</v>
      </c>
      <c r="AD31" s="293"/>
      <c r="AE31" s="632">
        <v>3000</v>
      </c>
      <c r="AF31" s="293">
        <v>16</v>
      </c>
      <c r="AG31" s="688"/>
      <c r="AH31" s="689">
        <f t="shared" si="4"/>
        <v>0</v>
      </c>
      <c r="AI31" s="400">
        <f>SUMIF($B$16:$B$45,$AG31,LED計算式!$T$4:$T$33)</f>
        <v>0</v>
      </c>
      <c r="AJ31" s="400">
        <f ca="1">SUMIF($B$16:$B$45,$AG31,LED計算式!$U$4)</f>
        <v>0</v>
      </c>
      <c r="AK31" s="400">
        <f t="shared" ca="1" si="5"/>
        <v>0</v>
      </c>
      <c r="AL31" s="400">
        <f t="shared" ca="1" si="27"/>
        <v>0</v>
      </c>
      <c r="AM31" s="690">
        <f t="shared" ca="1" si="6"/>
        <v>0</v>
      </c>
      <c r="AN31" s="691">
        <f t="shared" ref="AN31:AN40" si="29">$AN$16</f>
        <v>0.4</v>
      </c>
      <c r="AO31" s="400">
        <f t="shared" ca="1" si="28"/>
        <v>0</v>
      </c>
      <c r="AP31" s="692">
        <f t="shared" ca="1" si="7"/>
        <v>0</v>
      </c>
      <c r="AQ31" s="692">
        <f t="shared" ca="1" si="8"/>
        <v>0</v>
      </c>
      <c r="AR31" s="400">
        <f t="shared" ca="1" si="9"/>
        <v>0</v>
      </c>
      <c r="AS31" s="400">
        <f t="shared" ca="1" si="10"/>
        <v>0</v>
      </c>
      <c r="AT31" s="400">
        <f t="shared" ca="1" si="11"/>
        <v>0</v>
      </c>
      <c r="AU31" s="693"/>
      <c r="AV31" s="694">
        <f t="shared" ca="1" si="12"/>
        <v>0</v>
      </c>
      <c r="AW31" s="694">
        <f t="shared" ca="1" si="13"/>
        <v>0</v>
      </c>
      <c r="AY31" s="529" t="str">
        <f>IFERROR(VLOOKUP(G31,選定!$C$3:$AG$100,28,FALSE),"0")</f>
        <v>0</v>
      </c>
      <c r="AZ31" s="37">
        <f t="shared" si="22"/>
        <v>0</v>
      </c>
      <c r="BA31" s="37">
        <f t="shared" si="23"/>
        <v>0</v>
      </c>
      <c r="BB31" s="37" t="str">
        <f>IFERROR(VLOOKUP(G31,選定!$C$2:$AG$100,11,FALSE),"0")</f>
        <v>0</v>
      </c>
      <c r="BC31" s="37" t="str">
        <f>IFERROR(VLOOKUP(G31,選定!$C$2:$AG$100,13,FALSE),"")</f>
        <v/>
      </c>
      <c r="BD31" s="37" t="str">
        <f>IFERROR(VLOOKUP(G31,選定!$C$2:$AG$100,16,FALSE),"")</f>
        <v/>
      </c>
      <c r="BE31" s="37" t="str">
        <f>IFERROR(VLOOKUP(G31,選定!$C$2:$AG$100,19,FALSE),"")</f>
        <v/>
      </c>
      <c r="BF31" s="37" t="str">
        <f>IFERROR(VLOOKUP(G31,選定!$C$2:$AG$100,22,FALSE),"")</f>
        <v/>
      </c>
      <c r="BG31" s="530">
        <f t="shared" si="24"/>
        <v>0</v>
      </c>
    </row>
    <row r="32" spans="1:59" ht="13.5" customHeight="1">
      <c r="A32" s="674" t="s">
        <v>197</v>
      </c>
      <c r="B32" s="709" t="str">
        <f t="shared" si="14"/>
        <v/>
      </c>
      <c r="C32" s="287"/>
      <c r="D32" s="287"/>
      <c r="E32" s="288"/>
      <c r="F32" s="288"/>
      <c r="G32" s="446"/>
      <c r="H32" s="289">
        <f t="shared" si="26"/>
        <v>0</v>
      </c>
      <c r="I32" s="287"/>
      <c r="J32" s="286" t="str">
        <f t="shared" si="15"/>
        <v/>
      </c>
      <c r="K32" s="287"/>
      <c r="L32" s="286">
        <f t="shared" si="2"/>
        <v>0</v>
      </c>
      <c r="M32" s="287"/>
      <c r="N32" s="287"/>
      <c r="O32" s="287"/>
      <c r="P32" s="287"/>
      <c r="Q32" s="287"/>
      <c r="R32" s="287"/>
      <c r="S32" s="287"/>
      <c r="T32" s="287"/>
      <c r="U32" s="287"/>
      <c r="V32" s="287"/>
      <c r="W32" s="286">
        <f t="shared" si="16"/>
        <v>0</v>
      </c>
      <c r="X32" s="286">
        <f t="shared" si="17"/>
        <v>30</v>
      </c>
      <c r="Y32" s="297">
        <f t="shared" si="18"/>
        <v>0</v>
      </c>
      <c r="AA32" s="291">
        <f>IFERROR(VLOOKUP($G32,選定!$C$3:$AG$100,5,FALSE),0)</f>
        <v>0</v>
      </c>
      <c r="AB32" s="286">
        <f t="shared" si="3"/>
        <v>0</v>
      </c>
      <c r="AC32" s="297">
        <f t="shared" si="25"/>
        <v>0</v>
      </c>
      <c r="AD32" s="293"/>
      <c r="AE32" s="632">
        <v>3000</v>
      </c>
      <c r="AF32" s="293">
        <v>17</v>
      </c>
      <c r="AG32" s="688"/>
      <c r="AH32" s="689">
        <f t="shared" si="4"/>
        <v>0</v>
      </c>
      <c r="AI32" s="400">
        <f>SUMIF($B$16:$B$45,$AG32,LED計算式!$T$4:$T$33)</f>
        <v>0</v>
      </c>
      <c r="AJ32" s="400">
        <f ca="1">SUMIF($B$16:$B$45,$AG32,LED計算式!$U$4)</f>
        <v>0</v>
      </c>
      <c r="AK32" s="400">
        <f t="shared" ca="1" si="5"/>
        <v>0</v>
      </c>
      <c r="AL32" s="400">
        <f t="shared" ca="1" si="27"/>
        <v>0</v>
      </c>
      <c r="AM32" s="690">
        <f t="shared" ca="1" si="6"/>
        <v>0</v>
      </c>
      <c r="AN32" s="691">
        <f t="shared" si="29"/>
        <v>0.4</v>
      </c>
      <c r="AO32" s="400">
        <f t="shared" ca="1" si="28"/>
        <v>0</v>
      </c>
      <c r="AP32" s="692">
        <f t="shared" ca="1" si="7"/>
        <v>0</v>
      </c>
      <c r="AQ32" s="692">
        <f t="shared" ca="1" si="8"/>
        <v>0</v>
      </c>
      <c r="AR32" s="400">
        <f t="shared" ca="1" si="9"/>
        <v>0</v>
      </c>
      <c r="AS32" s="400">
        <f t="shared" ca="1" si="10"/>
        <v>0</v>
      </c>
      <c r="AT32" s="400">
        <f t="shared" ca="1" si="11"/>
        <v>0</v>
      </c>
      <c r="AU32" s="693"/>
      <c r="AV32" s="694">
        <f t="shared" ca="1" si="12"/>
        <v>0</v>
      </c>
      <c r="AW32" s="694">
        <f t="shared" ca="1" si="13"/>
        <v>0</v>
      </c>
      <c r="AY32" s="529" t="str">
        <f>IFERROR(VLOOKUP(G32,選定!$C$3:$AG$100,28,FALSE),"0")</f>
        <v>0</v>
      </c>
      <c r="AZ32" s="37">
        <f t="shared" si="22"/>
        <v>0</v>
      </c>
      <c r="BA32" s="37">
        <f t="shared" si="23"/>
        <v>0</v>
      </c>
      <c r="BB32" s="37" t="str">
        <f>IFERROR(VLOOKUP(G32,選定!$C$2:$AG$100,11,FALSE),"0")</f>
        <v>0</v>
      </c>
      <c r="BC32" s="37" t="str">
        <f>IFERROR(VLOOKUP(G32,選定!$C$2:$AG$100,13,FALSE),"")</f>
        <v/>
      </c>
      <c r="BD32" s="37" t="str">
        <f>IFERROR(VLOOKUP(G32,選定!$C$2:$AG$100,16,FALSE),"")</f>
        <v/>
      </c>
      <c r="BE32" s="37" t="str">
        <f>IFERROR(VLOOKUP(G32,選定!$C$2:$AG$100,19,FALSE),"")</f>
        <v/>
      </c>
      <c r="BF32" s="37" t="str">
        <f>IFERROR(VLOOKUP(G32,選定!$C$2:$AG$100,22,FALSE),"")</f>
        <v/>
      </c>
      <c r="BG32" s="530">
        <f t="shared" si="24"/>
        <v>0</v>
      </c>
    </row>
    <row r="33" spans="1:59" ht="13.5" customHeight="1">
      <c r="A33" s="674" t="s">
        <v>198</v>
      </c>
      <c r="B33" s="688" t="str">
        <f t="shared" si="14"/>
        <v/>
      </c>
      <c r="C33" s="287"/>
      <c r="D33" s="287"/>
      <c r="E33" s="288"/>
      <c r="F33" s="288"/>
      <c r="G33" s="446"/>
      <c r="H33" s="289">
        <f t="shared" ref="H33:H45" si="30">PRODUCT(I33,J33)</f>
        <v>0</v>
      </c>
      <c r="I33" s="287"/>
      <c r="J33" s="286" t="str">
        <f t="shared" si="15"/>
        <v/>
      </c>
      <c r="K33" s="287"/>
      <c r="L33" s="286">
        <f t="shared" ref="L33:L45" si="31">SUM(M33:V33)</f>
        <v>0</v>
      </c>
      <c r="M33" s="287"/>
      <c r="N33" s="287"/>
      <c r="O33" s="287"/>
      <c r="P33" s="287"/>
      <c r="Q33" s="287"/>
      <c r="R33" s="287"/>
      <c r="S33" s="287"/>
      <c r="T33" s="287"/>
      <c r="U33" s="287"/>
      <c r="V33" s="287"/>
      <c r="W33" s="286">
        <f t="shared" ref="W33:W45" si="32">($L33*$K33*$H33)/1000</f>
        <v>0</v>
      </c>
      <c r="X33" s="286">
        <f t="shared" si="17"/>
        <v>30</v>
      </c>
      <c r="Y33" s="297">
        <f t="shared" si="18"/>
        <v>0</v>
      </c>
      <c r="AA33" s="291">
        <f>IFERROR(VLOOKUP($G33,選定!$C$3:$AG$100,5,FALSE),0)</f>
        <v>0</v>
      </c>
      <c r="AB33" s="286">
        <f t="shared" si="3"/>
        <v>0</v>
      </c>
      <c r="AC33" s="297">
        <f t="shared" si="25"/>
        <v>0</v>
      </c>
      <c r="AD33" s="293"/>
      <c r="AE33" s="632">
        <v>3000</v>
      </c>
      <c r="AF33" s="293">
        <v>18</v>
      </c>
      <c r="AG33" s="688"/>
      <c r="AH33" s="689">
        <f t="shared" si="4"/>
        <v>0</v>
      </c>
      <c r="AI33" s="400">
        <f>SUMIF($B$16:$B$45,$AG33,LED計算式!$T$4:$T$33)</f>
        <v>0</v>
      </c>
      <c r="AJ33" s="400">
        <f ca="1">SUMIF($B$16:$B$45,$AG33,LED計算式!$U$4)</f>
        <v>0</v>
      </c>
      <c r="AK33" s="400">
        <f t="shared" ca="1" si="5"/>
        <v>0</v>
      </c>
      <c r="AL33" s="400">
        <f t="shared" ca="1" si="27"/>
        <v>0</v>
      </c>
      <c r="AM33" s="690">
        <f t="shared" ca="1" si="6"/>
        <v>0</v>
      </c>
      <c r="AN33" s="691">
        <f t="shared" si="29"/>
        <v>0.4</v>
      </c>
      <c r="AO33" s="400">
        <f t="shared" ca="1" si="28"/>
        <v>0</v>
      </c>
      <c r="AP33" s="692">
        <f t="shared" ca="1" si="7"/>
        <v>0</v>
      </c>
      <c r="AQ33" s="692">
        <f t="shared" ca="1" si="8"/>
        <v>0</v>
      </c>
      <c r="AR33" s="400">
        <f t="shared" ca="1" si="9"/>
        <v>0</v>
      </c>
      <c r="AS33" s="400">
        <f t="shared" ca="1" si="10"/>
        <v>0</v>
      </c>
      <c r="AT33" s="400">
        <f t="shared" ca="1" si="11"/>
        <v>0</v>
      </c>
      <c r="AU33" s="693"/>
      <c r="AV33" s="694">
        <f t="shared" ca="1" si="12"/>
        <v>0</v>
      </c>
      <c r="AW33" s="694">
        <f t="shared" ca="1" si="13"/>
        <v>0</v>
      </c>
      <c r="AY33" s="529" t="str">
        <f>IFERROR(VLOOKUP(G33,選定!$C$3:$AG$100,28,FALSE),"0")</f>
        <v>0</v>
      </c>
      <c r="AZ33" s="37">
        <f t="shared" si="22"/>
        <v>0</v>
      </c>
      <c r="BA33" s="37">
        <f t="shared" si="23"/>
        <v>0</v>
      </c>
      <c r="BB33" s="37" t="str">
        <f>IFERROR(VLOOKUP(G33,選定!$C$2:$AG$100,11,FALSE),"0")</f>
        <v>0</v>
      </c>
      <c r="BC33" s="37" t="str">
        <f>IFERROR(VLOOKUP(G33,選定!$C$2:$AG$100,13,FALSE),"")</f>
        <v/>
      </c>
      <c r="BD33" s="37" t="str">
        <f>IFERROR(VLOOKUP(G33,選定!$C$2:$AG$100,16,FALSE),"")</f>
        <v/>
      </c>
      <c r="BE33" s="37" t="str">
        <f>IFERROR(VLOOKUP(G33,選定!$C$2:$AG$100,19,FALSE),"")</f>
        <v/>
      </c>
      <c r="BF33" s="37" t="str">
        <f>IFERROR(VLOOKUP(G33,選定!$C$2:$AG$100,22,FALSE),"")</f>
        <v/>
      </c>
      <c r="BG33" s="530">
        <f t="shared" si="24"/>
        <v>0</v>
      </c>
    </row>
    <row r="34" spans="1:59" ht="13.5" customHeight="1">
      <c r="A34" s="674" t="s">
        <v>199</v>
      </c>
      <c r="B34" s="688" t="str">
        <f t="shared" si="14"/>
        <v/>
      </c>
      <c r="C34" s="287"/>
      <c r="D34" s="287"/>
      <c r="E34" s="288"/>
      <c r="F34" s="288"/>
      <c r="G34" s="446"/>
      <c r="H34" s="289">
        <f t="shared" si="30"/>
        <v>0</v>
      </c>
      <c r="I34" s="287"/>
      <c r="J34" s="286" t="str">
        <f t="shared" si="15"/>
        <v/>
      </c>
      <c r="K34" s="287"/>
      <c r="L34" s="286">
        <f t="shared" si="31"/>
        <v>0</v>
      </c>
      <c r="M34" s="287"/>
      <c r="N34" s="287"/>
      <c r="O34" s="287"/>
      <c r="P34" s="287"/>
      <c r="Q34" s="287"/>
      <c r="R34" s="287"/>
      <c r="S34" s="287"/>
      <c r="T34" s="287"/>
      <c r="U34" s="287"/>
      <c r="V34" s="287"/>
      <c r="W34" s="286">
        <f t="shared" si="32"/>
        <v>0</v>
      </c>
      <c r="X34" s="286">
        <f t="shared" si="17"/>
        <v>30</v>
      </c>
      <c r="Y34" s="297">
        <f t="shared" si="18"/>
        <v>0</v>
      </c>
      <c r="AA34" s="291">
        <f>IFERROR(VLOOKUP($G34,選定!$C$3:$AG$100,5,FALSE),0)</f>
        <v>0</v>
      </c>
      <c r="AB34" s="286">
        <f t="shared" si="3"/>
        <v>0</v>
      </c>
      <c r="AC34" s="297">
        <f t="shared" si="25"/>
        <v>0</v>
      </c>
      <c r="AD34" s="293"/>
      <c r="AE34" s="632">
        <v>3000</v>
      </c>
      <c r="AF34" s="293">
        <v>19</v>
      </c>
      <c r="AG34" s="688"/>
      <c r="AH34" s="689">
        <f t="shared" si="4"/>
        <v>0</v>
      </c>
      <c r="AI34" s="400">
        <f>SUMIF($B$16:$B$45,$AG34,LED計算式!$T$4:$T$33)</f>
        <v>0</v>
      </c>
      <c r="AJ34" s="400">
        <f ca="1">SUMIF($B$16:$B$45,$AG34,LED計算式!$U$4)</f>
        <v>0</v>
      </c>
      <c r="AK34" s="400">
        <f t="shared" ca="1" si="5"/>
        <v>0</v>
      </c>
      <c r="AL34" s="400">
        <f t="shared" ca="1" si="27"/>
        <v>0</v>
      </c>
      <c r="AM34" s="690">
        <f t="shared" ca="1" si="6"/>
        <v>0</v>
      </c>
      <c r="AN34" s="691">
        <f t="shared" si="29"/>
        <v>0.4</v>
      </c>
      <c r="AO34" s="400">
        <f t="shared" ca="1" si="28"/>
        <v>0</v>
      </c>
      <c r="AP34" s="692">
        <f t="shared" ca="1" si="7"/>
        <v>0</v>
      </c>
      <c r="AQ34" s="692">
        <f t="shared" ca="1" si="8"/>
        <v>0</v>
      </c>
      <c r="AR34" s="400">
        <f t="shared" ca="1" si="9"/>
        <v>0</v>
      </c>
      <c r="AS34" s="400">
        <f t="shared" ca="1" si="10"/>
        <v>0</v>
      </c>
      <c r="AT34" s="400">
        <f t="shared" ca="1" si="11"/>
        <v>0</v>
      </c>
      <c r="AU34" s="693"/>
      <c r="AV34" s="694">
        <f t="shared" ca="1" si="12"/>
        <v>0</v>
      </c>
      <c r="AW34" s="694">
        <f t="shared" ca="1" si="13"/>
        <v>0</v>
      </c>
      <c r="AY34" s="529" t="str">
        <f>IFERROR(VLOOKUP(G34,選定!$C$3:$AG$100,28,FALSE),"0")</f>
        <v>0</v>
      </c>
      <c r="AZ34" s="37">
        <f t="shared" si="22"/>
        <v>0</v>
      </c>
      <c r="BA34" s="37">
        <f t="shared" si="23"/>
        <v>0</v>
      </c>
      <c r="BB34" s="37" t="str">
        <f>IFERROR(VLOOKUP(G34,選定!$C$2:$AG$100,11,FALSE),"0")</f>
        <v>0</v>
      </c>
      <c r="BC34" s="37" t="str">
        <f>IFERROR(VLOOKUP(G34,選定!$C$2:$AG$100,13,FALSE),"")</f>
        <v/>
      </c>
      <c r="BD34" s="37" t="str">
        <f>IFERROR(VLOOKUP(G34,選定!$C$2:$AG$100,16,FALSE),"")</f>
        <v/>
      </c>
      <c r="BE34" s="37" t="str">
        <f>IFERROR(VLOOKUP(G34,選定!$C$2:$AG$100,19,FALSE),"")</f>
        <v/>
      </c>
      <c r="BF34" s="37" t="str">
        <f>IFERROR(VLOOKUP(G34,選定!$C$2:$AG$100,22,FALSE),"")</f>
        <v/>
      </c>
      <c r="BG34" s="530">
        <f t="shared" si="24"/>
        <v>0</v>
      </c>
    </row>
    <row r="35" spans="1:59" ht="13.5" customHeight="1">
      <c r="A35" s="674" t="s">
        <v>200</v>
      </c>
      <c r="B35" s="688" t="str">
        <f t="shared" si="14"/>
        <v/>
      </c>
      <c r="C35" s="287"/>
      <c r="D35" s="287"/>
      <c r="E35" s="288"/>
      <c r="F35" s="288"/>
      <c r="G35" s="446"/>
      <c r="H35" s="289">
        <f t="shared" si="30"/>
        <v>0</v>
      </c>
      <c r="I35" s="287"/>
      <c r="J35" s="286" t="str">
        <f t="shared" si="15"/>
        <v/>
      </c>
      <c r="K35" s="287"/>
      <c r="L35" s="286">
        <f t="shared" si="31"/>
        <v>0</v>
      </c>
      <c r="M35" s="287"/>
      <c r="N35" s="287"/>
      <c r="O35" s="287"/>
      <c r="P35" s="287"/>
      <c r="Q35" s="287"/>
      <c r="R35" s="287"/>
      <c r="S35" s="287"/>
      <c r="T35" s="287"/>
      <c r="U35" s="287"/>
      <c r="V35" s="287"/>
      <c r="W35" s="286">
        <f t="shared" si="32"/>
        <v>0</v>
      </c>
      <c r="X35" s="286">
        <f t="shared" si="17"/>
        <v>30</v>
      </c>
      <c r="Y35" s="297">
        <f t="shared" si="18"/>
        <v>0</v>
      </c>
      <c r="AA35" s="291">
        <f>IFERROR(VLOOKUP($G35,選定!$C$3:$AG$100,5,FALSE),0)</f>
        <v>0</v>
      </c>
      <c r="AB35" s="286">
        <f t="shared" si="3"/>
        <v>0</v>
      </c>
      <c r="AC35" s="297">
        <f t="shared" si="25"/>
        <v>0</v>
      </c>
      <c r="AD35" s="293"/>
      <c r="AE35" s="632">
        <v>3000</v>
      </c>
      <c r="AF35" s="293">
        <v>20</v>
      </c>
      <c r="AG35" s="688"/>
      <c r="AH35" s="689">
        <f t="shared" si="4"/>
        <v>0</v>
      </c>
      <c r="AI35" s="400">
        <f>SUMIF($B$16:$B$45,$AG35,LED計算式!$T$4:$T$33)</f>
        <v>0</v>
      </c>
      <c r="AJ35" s="400">
        <f ca="1">SUMIF($B$16:$B$45,$AG35,LED計算式!$U$4)</f>
        <v>0</v>
      </c>
      <c r="AK35" s="400">
        <f t="shared" ca="1" si="5"/>
        <v>0</v>
      </c>
      <c r="AL35" s="400">
        <f t="shared" ca="1" si="27"/>
        <v>0</v>
      </c>
      <c r="AM35" s="690">
        <f t="shared" ca="1" si="6"/>
        <v>0</v>
      </c>
      <c r="AN35" s="691">
        <f t="shared" si="29"/>
        <v>0.4</v>
      </c>
      <c r="AO35" s="400">
        <f t="shared" ca="1" si="28"/>
        <v>0</v>
      </c>
      <c r="AP35" s="692">
        <f t="shared" ca="1" si="7"/>
        <v>0</v>
      </c>
      <c r="AQ35" s="692">
        <f t="shared" ca="1" si="8"/>
        <v>0</v>
      </c>
      <c r="AR35" s="400">
        <f t="shared" ca="1" si="9"/>
        <v>0</v>
      </c>
      <c r="AS35" s="400">
        <f t="shared" ca="1" si="10"/>
        <v>0</v>
      </c>
      <c r="AT35" s="400">
        <f t="shared" ca="1" si="11"/>
        <v>0</v>
      </c>
      <c r="AU35" s="693"/>
      <c r="AV35" s="694">
        <f t="shared" ca="1" si="12"/>
        <v>0</v>
      </c>
      <c r="AW35" s="694">
        <f t="shared" ca="1" si="13"/>
        <v>0</v>
      </c>
      <c r="AY35" s="529" t="str">
        <f>IFERROR(VLOOKUP(G35,選定!$C$3:$AG$100,28,FALSE),"0")</f>
        <v>0</v>
      </c>
      <c r="AZ35" s="37">
        <f t="shared" si="22"/>
        <v>0</v>
      </c>
      <c r="BA35" s="37">
        <f t="shared" si="23"/>
        <v>0</v>
      </c>
      <c r="BB35" s="37" t="str">
        <f>IFERROR(VLOOKUP(G35,選定!$C$2:$AG$100,11,FALSE),"0")</f>
        <v>0</v>
      </c>
      <c r="BC35" s="37" t="str">
        <f>IFERROR(VLOOKUP(G35,選定!$C$2:$AG$100,13,FALSE),"")</f>
        <v/>
      </c>
      <c r="BD35" s="37" t="str">
        <f>IFERROR(VLOOKUP(G35,選定!$C$2:$AG$100,16,FALSE),"")</f>
        <v/>
      </c>
      <c r="BE35" s="37" t="str">
        <f>IFERROR(VLOOKUP(G35,選定!$C$2:$AG$100,19,FALSE),"")</f>
        <v/>
      </c>
      <c r="BF35" s="37" t="str">
        <f>IFERROR(VLOOKUP(G35,選定!$C$2:$AG$100,22,FALSE),"")</f>
        <v/>
      </c>
      <c r="BG35" s="530">
        <f t="shared" si="24"/>
        <v>0</v>
      </c>
    </row>
    <row r="36" spans="1:59" ht="13.5" customHeight="1">
      <c r="A36" s="674" t="s">
        <v>201</v>
      </c>
      <c r="B36" s="688" t="str">
        <f t="shared" si="14"/>
        <v/>
      </c>
      <c r="C36" s="287"/>
      <c r="D36" s="287"/>
      <c r="E36" s="288"/>
      <c r="F36" s="288"/>
      <c r="G36" s="446"/>
      <c r="H36" s="289">
        <f t="shared" si="30"/>
        <v>0</v>
      </c>
      <c r="I36" s="287"/>
      <c r="J36" s="286" t="str">
        <f t="shared" si="15"/>
        <v/>
      </c>
      <c r="K36" s="287"/>
      <c r="L36" s="286">
        <f t="shared" si="31"/>
        <v>0</v>
      </c>
      <c r="M36" s="287"/>
      <c r="N36" s="287"/>
      <c r="O36" s="287"/>
      <c r="P36" s="287"/>
      <c r="Q36" s="287"/>
      <c r="R36" s="287"/>
      <c r="S36" s="287"/>
      <c r="T36" s="287"/>
      <c r="U36" s="287"/>
      <c r="V36" s="287"/>
      <c r="W36" s="286">
        <f t="shared" si="32"/>
        <v>0</v>
      </c>
      <c r="X36" s="286">
        <f t="shared" si="17"/>
        <v>30</v>
      </c>
      <c r="Y36" s="297">
        <f t="shared" si="18"/>
        <v>0</v>
      </c>
      <c r="AA36" s="291">
        <f>IFERROR(VLOOKUP($G36,選定!$C$3:$AG$100,5,FALSE),0)</f>
        <v>0</v>
      </c>
      <c r="AB36" s="286">
        <f t="shared" si="3"/>
        <v>0</v>
      </c>
      <c r="AC36" s="297">
        <f t="shared" si="25"/>
        <v>0</v>
      </c>
      <c r="AD36" s="293"/>
      <c r="AE36" s="632">
        <v>3000</v>
      </c>
      <c r="AF36" s="293">
        <v>21</v>
      </c>
      <c r="AG36" s="688"/>
      <c r="AH36" s="689">
        <f t="shared" si="4"/>
        <v>0</v>
      </c>
      <c r="AI36" s="400">
        <f>SUMIF($B$16:$B$45,$AG36,LED計算式!$T$4:$T$33)</f>
        <v>0</v>
      </c>
      <c r="AJ36" s="400">
        <f ca="1">SUMIF($B$16:$B$45,$AG36,LED計算式!$U$4)</f>
        <v>0</v>
      </c>
      <c r="AK36" s="400">
        <f t="shared" ca="1" si="5"/>
        <v>0</v>
      </c>
      <c r="AL36" s="400">
        <f t="shared" ca="1" si="27"/>
        <v>0</v>
      </c>
      <c r="AM36" s="690">
        <f t="shared" ca="1" si="6"/>
        <v>0</v>
      </c>
      <c r="AN36" s="691">
        <f t="shared" si="29"/>
        <v>0.4</v>
      </c>
      <c r="AO36" s="400">
        <f t="shared" ca="1" si="28"/>
        <v>0</v>
      </c>
      <c r="AP36" s="692">
        <f t="shared" ca="1" si="7"/>
        <v>0</v>
      </c>
      <c r="AQ36" s="692">
        <f t="shared" ca="1" si="8"/>
        <v>0</v>
      </c>
      <c r="AR36" s="400">
        <f t="shared" ca="1" si="9"/>
        <v>0</v>
      </c>
      <c r="AS36" s="400">
        <f t="shared" ca="1" si="10"/>
        <v>0</v>
      </c>
      <c r="AT36" s="400">
        <f t="shared" ca="1" si="11"/>
        <v>0</v>
      </c>
      <c r="AU36" s="693"/>
      <c r="AV36" s="694">
        <f t="shared" ca="1" si="12"/>
        <v>0</v>
      </c>
      <c r="AW36" s="694">
        <f t="shared" ca="1" si="13"/>
        <v>0</v>
      </c>
      <c r="AY36" s="529" t="str">
        <f>IFERROR(VLOOKUP(G36,選定!$C$3:$AG$100,28,FALSE),"0")</f>
        <v>0</v>
      </c>
      <c r="AZ36" s="37">
        <f t="shared" si="22"/>
        <v>0</v>
      </c>
      <c r="BA36" s="37">
        <f t="shared" si="23"/>
        <v>0</v>
      </c>
      <c r="BB36" s="37" t="str">
        <f>IFERROR(VLOOKUP(G36,選定!$C$2:$AG$100,11,FALSE),"0")</f>
        <v>0</v>
      </c>
      <c r="BC36" s="37" t="str">
        <f>IFERROR(VLOOKUP(G36,選定!$C$2:$AG$100,13,FALSE),"")</f>
        <v/>
      </c>
      <c r="BD36" s="37" t="str">
        <f>IFERROR(VLOOKUP(G36,選定!$C$2:$AG$100,16,FALSE),"")</f>
        <v/>
      </c>
      <c r="BE36" s="37" t="str">
        <f>IFERROR(VLOOKUP(G36,選定!$C$2:$AG$100,19,FALSE),"")</f>
        <v/>
      </c>
      <c r="BF36" s="37" t="str">
        <f>IFERROR(VLOOKUP(G36,選定!$C$2:$AG$100,22,FALSE),"")</f>
        <v/>
      </c>
      <c r="BG36" s="530">
        <f t="shared" si="24"/>
        <v>0</v>
      </c>
    </row>
    <row r="37" spans="1:59" ht="13.5" customHeight="1">
      <c r="A37" s="674" t="s">
        <v>202</v>
      </c>
      <c r="B37" s="688" t="str">
        <f t="shared" si="14"/>
        <v/>
      </c>
      <c r="C37" s="287"/>
      <c r="D37" s="287"/>
      <c r="E37" s="288"/>
      <c r="F37" s="288"/>
      <c r="G37" s="446"/>
      <c r="H37" s="289">
        <f t="shared" si="30"/>
        <v>0</v>
      </c>
      <c r="I37" s="287"/>
      <c r="J37" s="286" t="str">
        <f t="shared" si="15"/>
        <v/>
      </c>
      <c r="K37" s="287"/>
      <c r="L37" s="286">
        <f t="shared" si="31"/>
        <v>0</v>
      </c>
      <c r="M37" s="287"/>
      <c r="N37" s="287"/>
      <c r="O37" s="287"/>
      <c r="P37" s="287"/>
      <c r="Q37" s="287"/>
      <c r="R37" s="287"/>
      <c r="S37" s="287"/>
      <c r="T37" s="287"/>
      <c r="U37" s="287"/>
      <c r="V37" s="287"/>
      <c r="W37" s="286">
        <f t="shared" si="32"/>
        <v>0</v>
      </c>
      <c r="X37" s="286">
        <f t="shared" ref="X37:X45" si="33">$X$16</f>
        <v>30</v>
      </c>
      <c r="Y37" s="297">
        <f>ROUNDDOWN($W37*$X37,0)</f>
        <v>0</v>
      </c>
      <c r="AA37" s="291">
        <f>IFERROR(VLOOKUP($G37,選定!$C$3:$AG$100,5,FALSE),0)</f>
        <v>0</v>
      </c>
      <c r="AB37" s="286">
        <f t="shared" si="3"/>
        <v>0</v>
      </c>
      <c r="AC37" s="297">
        <f t="shared" si="25"/>
        <v>0</v>
      </c>
      <c r="AD37" s="293"/>
      <c r="AE37" s="632">
        <v>3000</v>
      </c>
      <c r="AF37" s="293">
        <v>22</v>
      </c>
      <c r="AG37" s="688"/>
      <c r="AH37" s="689">
        <f t="shared" si="4"/>
        <v>0</v>
      </c>
      <c r="AI37" s="400">
        <f>SUMIF($B$16:$B$45,$AG37,LED計算式!$T$4:$T$33)</f>
        <v>0</v>
      </c>
      <c r="AJ37" s="400">
        <f ca="1">SUMIF($B$16:$B$45,$AG37,LED計算式!$U$4)</f>
        <v>0</v>
      </c>
      <c r="AK37" s="400">
        <f t="shared" ca="1" si="5"/>
        <v>0</v>
      </c>
      <c r="AL37" s="400">
        <f t="shared" ca="1" si="27"/>
        <v>0</v>
      </c>
      <c r="AM37" s="690">
        <f t="shared" ca="1" si="6"/>
        <v>0</v>
      </c>
      <c r="AN37" s="691">
        <f>$AN$16</f>
        <v>0.4</v>
      </c>
      <c r="AO37" s="400">
        <f t="shared" ca="1" si="28"/>
        <v>0</v>
      </c>
      <c r="AP37" s="692">
        <f t="shared" ca="1" si="7"/>
        <v>0</v>
      </c>
      <c r="AQ37" s="692">
        <f t="shared" ca="1" si="8"/>
        <v>0</v>
      </c>
      <c r="AR37" s="400">
        <f t="shared" ca="1" si="9"/>
        <v>0</v>
      </c>
      <c r="AS37" s="400">
        <f t="shared" ca="1" si="10"/>
        <v>0</v>
      </c>
      <c r="AT37" s="400">
        <f t="shared" ca="1" si="11"/>
        <v>0</v>
      </c>
      <c r="AU37" s="693"/>
      <c r="AV37" s="694">
        <f t="shared" ca="1" si="12"/>
        <v>0</v>
      </c>
      <c r="AW37" s="694">
        <f t="shared" ca="1" si="13"/>
        <v>0</v>
      </c>
      <c r="AY37" s="529" t="str">
        <f>IFERROR(VLOOKUP(G37,選定!$C$3:$AG$100,28,FALSE),"0")</f>
        <v>0</v>
      </c>
      <c r="AZ37" s="37">
        <f t="shared" si="22"/>
        <v>0</v>
      </c>
      <c r="BA37" s="37">
        <f t="shared" si="23"/>
        <v>0</v>
      </c>
      <c r="BB37" s="37" t="str">
        <f>IFERROR(VLOOKUP(G37,選定!$C$2:$AG$100,11,FALSE),"0")</f>
        <v>0</v>
      </c>
      <c r="BC37" s="37" t="str">
        <f>IFERROR(VLOOKUP(G37,選定!$C$2:$AG$100,13,FALSE),"")</f>
        <v/>
      </c>
      <c r="BD37" s="37" t="str">
        <f>IFERROR(VLOOKUP(G37,選定!$C$2:$AG$100,16,FALSE),"")</f>
        <v/>
      </c>
      <c r="BE37" s="37" t="str">
        <f>IFERROR(VLOOKUP(G37,選定!$C$2:$AG$100,19,FALSE),"")</f>
        <v/>
      </c>
      <c r="BF37" s="37" t="str">
        <f>IFERROR(VLOOKUP(G37,選定!$C$2:$AG$100,22,FALSE),"")</f>
        <v/>
      </c>
      <c r="BG37" s="530">
        <f t="shared" si="24"/>
        <v>0</v>
      </c>
    </row>
    <row r="38" spans="1:59" ht="13.5" customHeight="1">
      <c r="A38" s="674" t="s">
        <v>203</v>
      </c>
      <c r="B38" s="688" t="str">
        <f t="shared" si="14"/>
        <v/>
      </c>
      <c r="C38" s="287"/>
      <c r="D38" s="287"/>
      <c r="E38" s="288"/>
      <c r="F38" s="288"/>
      <c r="G38" s="446"/>
      <c r="H38" s="289">
        <f t="shared" si="30"/>
        <v>0</v>
      </c>
      <c r="I38" s="287"/>
      <c r="J38" s="286" t="str">
        <f t="shared" si="15"/>
        <v/>
      </c>
      <c r="K38" s="287"/>
      <c r="L38" s="286">
        <f t="shared" si="31"/>
        <v>0</v>
      </c>
      <c r="M38" s="287"/>
      <c r="N38" s="287"/>
      <c r="O38" s="287"/>
      <c r="P38" s="287"/>
      <c r="Q38" s="287"/>
      <c r="R38" s="287"/>
      <c r="S38" s="287"/>
      <c r="T38" s="287"/>
      <c r="U38" s="287"/>
      <c r="V38" s="287"/>
      <c r="W38" s="286">
        <f t="shared" si="32"/>
        <v>0</v>
      </c>
      <c r="X38" s="286">
        <f t="shared" si="33"/>
        <v>30</v>
      </c>
      <c r="Y38" s="297">
        <f t="shared" si="18"/>
        <v>0</v>
      </c>
      <c r="AA38" s="291">
        <f>IFERROR(VLOOKUP($G38,選定!$C$3:$AG$100,5,FALSE),0)</f>
        <v>0</v>
      </c>
      <c r="AB38" s="286">
        <f t="shared" si="3"/>
        <v>0</v>
      </c>
      <c r="AC38" s="297">
        <f t="shared" si="25"/>
        <v>0</v>
      </c>
      <c r="AD38" s="293"/>
      <c r="AE38" s="632">
        <v>3000</v>
      </c>
      <c r="AF38" s="293">
        <v>23</v>
      </c>
      <c r="AG38" s="688"/>
      <c r="AH38" s="689">
        <f t="shared" si="4"/>
        <v>0</v>
      </c>
      <c r="AI38" s="400">
        <f>SUMIF($B$16:$B$45,$AG38,LED計算式!$T$4:$T$33)</f>
        <v>0</v>
      </c>
      <c r="AJ38" s="400">
        <f ca="1">SUMIF($B$16:$B$45,$AG38,LED計算式!$U$4)</f>
        <v>0</v>
      </c>
      <c r="AK38" s="400">
        <f t="shared" ca="1" si="5"/>
        <v>0</v>
      </c>
      <c r="AL38" s="400">
        <f t="shared" ca="1" si="27"/>
        <v>0</v>
      </c>
      <c r="AM38" s="690">
        <f t="shared" ca="1" si="6"/>
        <v>0</v>
      </c>
      <c r="AN38" s="691">
        <f t="shared" si="29"/>
        <v>0.4</v>
      </c>
      <c r="AO38" s="400">
        <f t="shared" ca="1" si="28"/>
        <v>0</v>
      </c>
      <c r="AP38" s="692">
        <f t="shared" ca="1" si="7"/>
        <v>0</v>
      </c>
      <c r="AQ38" s="692">
        <f t="shared" ca="1" si="8"/>
        <v>0</v>
      </c>
      <c r="AR38" s="400">
        <f t="shared" ca="1" si="9"/>
        <v>0</v>
      </c>
      <c r="AS38" s="400">
        <f t="shared" ca="1" si="10"/>
        <v>0</v>
      </c>
      <c r="AT38" s="400">
        <f t="shared" ca="1" si="11"/>
        <v>0</v>
      </c>
      <c r="AU38" s="693"/>
      <c r="AV38" s="694">
        <f t="shared" ca="1" si="12"/>
        <v>0</v>
      </c>
      <c r="AW38" s="694">
        <f t="shared" ca="1" si="13"/>
        <v>0</v>
      </c>
      <c r="AY38" s="529" t="str">
        <f>IFERROR(VLOOKUP(G38,選定!$C$3:$AG$100,28,FALSE),"0")</f>
        <v>0</v>
      </c>
      <c r="AZ38" s="37">
        <f t="shared" si="22"/>
        <v>0</v>
      </c>
      <c r="BA38" s="37">
        <f t="shared" si="23"/>
        <v>0</v>
      </c>
      <c r="BB38" s="37" t="str">
        <f>IFERROR(VLOOKUP(G38,選定!$C$2:$AG$100,11,FALSE),"0")</f>
        <v>0</v>
      </c>
      <c r="BC38" s="37" t="str">
        <f>IFERROR(VLOOKUP(G38,選定!$C$2:$AG$100,13,FALSE),"")</f>
        <v/>
      </c>
      <c r="BD38" s="37" t="str">
        <f>IFERROR(VLOOKUP(G38,選定!$C$2:$AG$100,16,FALSE),"")</f>
        <v/>
      </c>
      <c r="BE38" s="37" t="str">
        <f>IFERROR(VLOOKUP(G38,選定!$C$2:$AG$100,19,FALSE),"")</f>
        <v/>
      </c>
      <c r="BF38" s="37" t="str">
        <f>IFERROR(VLOOKUP(G38,選定!$C$2:$AG$100,22,FALSE),"")</f>
        <v/>
      </c>
      <c r="BG38" s="530">
        <f t="shared" si="24"/>
        <v>0</v>
      </c>
    </row>
    <row r="39" spans="1:59" ht="13.5" customHeight="1">
      <c r="A39" s="674" t="s">
        <v>204</v>
      </c>
      <c r="B39" s="688" t="str">
        <f t="shared" si="14"/>
        <v/>
      </c>
      <c r="C39" s="287"/>
      <c r="D39" s="287"/>
      <c r="E39" s="288"/>
      <c r="F39" s="288"/>
      <c r="G39" s="446"/>
      <c r="H39" s="289">
        <f t="shared" si="30"/>
        <v>0</v>
      </c>
      <c r="I39" s="287"/>
      <c r="J39" s="286" t="str">
        <f t="shared" si="15"/>
        <v/>
      </c>
      <c r="K39" s="287"/>
      <c r="L39" s="286">
        <f t="shared" si="31"/>
        <v>0</v>
      </c>
      <c r="M39" s="287"/>
      <c r="N39" s="287"/>
      <c r="O39" s="287"/>
      <c r="P39" s="287"/>
      <c r="Q39" s="287"/>
      <c r="R39" s="287"/>
      <c r="S39" s="287"/>
      <c r="T39" s="287"/>
      <c r="U39" s="287"/>
      <c r="V39" s="287"/>
      <c r="W39" s="286">
        <f t="shared" si="32"/>
        <v>0</v>
      </c>
      <c r="X39" s="286">
        <f t="shared" si="33"/>
        <v>30</v>
      </c>
      <c r="Y39" s="297">
        <f t="shared" si="18"/>
        <v>0</v>
      </c>
      <c r="AA39" s="291">
        <f>IFERROR(VLOOKUP($G39,選定!$C$3:$AG$100,5,FALSE),0)</f>
        <v>0</v>
      </c>
      <c r="AB39" s="286">
        <f t="shared" si="3"/>
        <v>0</v>
      </c>
      <c r="AC39" s="297">
        <f t="shared" si="25"/>
        <v>0</v>
      </c>
      <c r="AD39" s="293"/>
      <c r="AE39" s="632">
        <v>3000</v>
      </c>
      <c r="AF39" s="293">
        <v>24</v>
      </c>
      <c r="AG39" s="688"/>
      <c r="AH39" s="689">
        <f t="shared" si="4"/>
        <v>0</v>
      </c>
      <c r="AI39" s="400">
        <f>SUMIF($B$16:$B$45,$AG39,LED計算式!$T$4:$T$33)</f>
        <v>0</v>
      </c>
      <c r="AJ39" s="400">
        <f ca="1">SUMIF($B$16:$B$45,$AG39,LED計算式!$U$4)</f>
        <v>0</v>
      </c>
      <c r="AK39" s="400">
        <f t="shared" ca="1" si="5"/>
        <v>0</v>
      </c>
      <c r="AL39" s="400">
        <f t="shared" ca="1" si="27"/>
        <v>0</v>
      </c>
      <c r="AM39" s="690">
        <f t="shared" ca="1" si="6"/>
        <v>0</v>
      </c>
      <c r="AN39" s="691">
        <f t="shared" si="29"/>
        <v>0.4</v>
      </c>
      <c r="AO39" s="400">
        <f t="shared" ca="1" si="28"/>
        <v>0</v>
      </c>
      <c r="AP39" s="692">
        <f t="shared" ca="1" si="7"/>
        <v>0</v>
      </c>
      <c r="AQ39" s="692">
        <f t="shared" ca="1" si="8"/>
        <v>0</v>
      </c>
      <c r="AR39" s="400">
        <f t="shared" ca="1" si="9"/>
        <v>0</v>
      </c>
      <c r="AS39" s="400">
        <f t="shared" ca="1" si="10"/>
        <v>0</v>
      </c>
      <c r="AT39" s="400">
        <f t="shared" ca="1" si="11"/>
        <v>0</v>
      </c>
      <c r="AU39" s="693"/>
      <c r="AV39" s="694">
        <f t="shared" ca="1" si="12"/>
        <v>0</v>
      </c>
      <c r="AW39" s="694">
        <f t="shared" ca="1" si="13"/>
        <v>0</v>
      </c>
      <c r="AY39" s="529" t="str">
        <f>IFERROR(VLOOKUP(G39,選定!$C$3:$AG$100,28,FALSE),"0")</f>
        <v>0</v>
      </c>
      <c r="AZ39" s="37">
        <f t="shared" si="22"/>
        <v>0</v>
      </c>
      <c r="BA39" s="37">
        <f t="shared" si="23"/>
        <v>0</v>
      </c>
      <c r="BB39" s="37" t="str">
        <f>IFERROR(VLOOKUP(G39,選定!$C$2:$AG$100,11,FALSE),"0")</f>
        <v>0</v>
      </c>
      <c r="BC39" s="37" t="str">
        <f>IFERROR(VLOOKUP(G39,選定!$C$2:$AG$100,13,FALSE),"")</f>
        <v/>
      </c>
      <c r="BD39" s="37" t="str">
        <f>IFERROR(VLOOKUP(G39,選定!$C$2:$AG$100,16,FALSE),"")</f>
        <v/>
      </c>
      <c r="BE39" s="37" t="str">
        <f>IFERROR(VLOOKUP(G39,選定!$C$2:$AG$100,19,FALSE),"")</f>
        <v/>
      </c>
      <c r="BF39" s="37" t="str">
        <f>IFERROR(VLOOKUP(G39,選定!$C$2:$AG$100,22,FALSE),"")</f>
        <v/>
      </c>
      <c r="BG39" s="530">
        <f t="shared" si="24"/>
        <v>0</v>
      </c>
    </row>
    <row r="40" spans="1:59" ht="13.5" customHeight="1">
      <c r="A40" s="674" t="s">
        <v>205</v>
      </c>
      <c r="B40" s="688" t="str">
        <f t="shared" si="14"/>
        <v/>
      </c>
      <c r="C40" s="287"/>
      <c r="D40" s="287"/>
      <c r="E40" s="288"/>
      <c r="F40" s="288"/>
      <c r="G40" s="446"/>
      <c r="H40" s="289">
        <f t="shared" si="30"/>
        <v>0</v>
      </c>
      <c r="I40" s="287"/>
      <c r="J40" s="286" t="str">
        <f t="shared" si="15"/>
        <v/>
      </c>
      <c r="K40" s="287"/>
      <c r="L40" s="286">
        <f t="shared" si="31"/>
        <v>0</v>
      </c>
      <c r="M40" s="287"/>
      <c r="N40" s="287"/>
      <c r="O40" s="287"/>
      <c r="P40" s="287"/>
      <c r="Q40" s="287"/>
      <c r="R40" s="287"/>
      <c r="S40" s="287"/>
      <c r="T40" s="287"/>
      <c r="U40" s="287"/>
      <c r="V40" s="287"/>
      <c r="W40" s="286">
        <f t="shared" si="32"/>
        <v>0</v>
      </c>
      <c r="X40" s="286">
        <f t="shared" si="33"/>
        <v>30</v>
      </c>
      <c r="Y40" s="297">
        <f t="shared" si="18"/>
        <v>0</v>
      </c>
      <c r="AA40" s="291">
        <f>IFERROR(VLOOKUP($G40,選定!$C$3:$AG$100,5,FALSE),0)</f>
        <v>0</v>
      </c>
      <c r="AB40" s="286">
        <f t="shared" si="3"/>
        <v>0</v>
      </c>
      <c r="AC40" s="297">
        <f t="shared" si="25"/>
        <v>0</v>
      </c>
      <c r="AD40" s="293"/>
      <c r="AE40" s="632">
        <v>3000</v>
      </c>
      <c r="AF40" s="293">
        <v>25</v>
      </c>
      <c r="AG40" s="688"/>
      <c r="AH40" s="689">
        <f t="shared" si="4"/>
        <v>0</v>
      </c>
      <c r="AI40" s="400">
        <f>SUMIF($B$16:$B$45,$AG40,LED計算式!$T$4:$T$33)</f>
        <v>0</v>
      </c>
      <c r="AJ40" s="400">
        <f ca="1">SUMIF($B$16:$B$45,$AG40,LED計算式!$U$4)</f>
        <v>0</v>
      </c>
      <c r="AK40" s="400">
        <f t="shared" ca="1" si="5"/>
        <v>0</v>
      </c>
      <c r="AL40" s="400">
        <f t="shared" ca="1" si="27"/>
        <v>0</v>
      </c>
      <c r="AM40" s="690">
        <f t="shared" ca="1" si="6"/>
        <v>0</v>
      </c>
      <c r="AN40" s="691">
        <f t="shared" si="29"/>
        <v>0.4</v>
      </c>
      <c r="AO40" s="400">
        <f t="shared" ca="1" si="28"/>
        <v>0</v>
      </c>
      <c r="AP40" s="692">
        <f t="shared" ca="1" si="7"/>
        <v>0</v>
      </c>
      <c r="AQ40" s="692">
        <f t="shared" ca="1" si="8"/>
        <v>0</v>
      </c>
      <c r="AR40" s="400">
        <f t="shared" ca="1" si="9"/>
        <v>0</v>
      </c>
      <c r="AS40" s="400">
        <f t="shared" ca="1" si="10"/>
        <v>0</v>
      </c>
      <c r="AT40" s="400">
        <f t="shared" ca="1" si="11"/>
        <v>0</v>
      </c>
      <c r="AU40" s="693"/>
      <c r="AV40" s="694">
        <f t="shared" ca="1" si="12"/>
        <v>0</v>
      </c>
      <c r="AW40" s="694">
        <f t="shared" ca="1" si="13"/>
        <v>0</v>
      </c>
      <c r="AY40" s="529" t="str">
        <f>IFERROR(VLOOKUP(G40,選定!$C$3:$AG$100,28,FALSE),"0")</f>
        <v>0</v>
      </c>
      <c r="AZ40" s="37">
        <f t="shared" si="22"/>
        <v>0</v>
      </c>
      <c r="BA40" s="37">
        <f t="shared" si="23"/>
        <v>0</v>
      </c>
      <c r="BB40" s="37" t="str">
        <f>IFERROR(VLOOKUP(G40,選定!$C$2:$AG$100,11,FALSE),"0")</f>
        <v>0</v>
      </c>
      <c r="BC40" s="37" t="str">
        <f>IFERROR(VLOOKUP(G40,選定!$C$2:$AG$100,13,FALSE),"")</f>
        <v/>
      </c>
      <c r="BD40" s="37" t="str">
        <f>IFERROR(VLOOKUP(G40,選定!$C$2:$AG$100,16,FALSE),"")</f>
        <v/>
      </c>
      <c r="BE40" s="37" t="str">
        <f>IFERROR(VLOOKUP(G40,選定!$C$2:$AG$100,19,FALSE),"")</f>
        <v/>
      </c>
      <c r="BF40" s="37" t="str">
        <f>IFERROR(VLOOKUP(G40,選定!$C$2:$AG$100,22,FALSE),"")</f>
        <v/>
      </c>
      <c r="BG40" s="530">
        <f t="shared" si="24"/>
        <v>0</v>
      </c>
    </row>
    <row r="41" spans="1:59" ht="13.5" customHeight="1">
      <c r="A41" s="674" t="s">
        <v>204</v>
      </c>
      <c r="B41" s="688" t="str">
        <f t="shared" si="14"/>
        <v/>
      </c>
      <c r="C41" s="287"/>
      <c r="D41" s="287"/>
      <c r="E41" s="288"/>
      <c r="F41" s="288"/>
      <c r="G41" s="446"/>
      <c r="H41" s="289">
        <f t="shared" si="30"/>
        <v>0</v>
      </c>
      <c r="I41" s="287"/>
      <c r="J41" s="286" t="str">
        <f t="shared" si="15"/>
        <v/>
      </c>
      <c r="K41" s="287"/>
      <c r="L41" s="286">
        <f t="shared" si="31"/>
        <v>0</v>
      </c>
      <c r="M41" s="287"/>
      <c r="N41" s="287"/>
      <c r="O41" s="287"/>
      <c r="P41" s="287"/>
      <c r="Q41" s="287"/>
      <c r="R41" s="287"/>
      <c r="S41" s="287"/>
      <c r="T41" s="287"/>
      <c r="U41" s="287"/>
      <c r="V41" s="287"/>
      <c r="W41" s="286">
        <f t="shared" si="32"/>
        <v>0</v>
      </c>
      <c r="X41" s="286">
        <f t="shared" si="33"/>
        <v>30</v>
      </c>
      <c r="Y41" s="297">
        <f t="shared" si="18"/>
        <v>0</v>
      </c>
      <c r="AA41" s="291">
        <f>IFERROR(VLOOKUP($G41,選定!$C$3:$AG$100,5,FALSE),0)</f>
        <v>0</v>
      </c>
      <c r="AB41" s="286">
        <f t="shared" si="3"/>
        <v>0</v>
      </c>
      <c r="AC41" s="297">
        <f t="shared" si="25"/>
        <v>0</v>
      </c>
      <c r="AD41" s="293"/>
      <c r="AE41" s="632">
        <v>3000</v>
      </c>
      <c r="AF41" s="293">
        <v>26</v>
      </c>
      <c r="AG41" s="688"/>
      <c r="AH41" s="689">
        <f t="shared" si="4"/>
        <v>0</v>
      </c>
      <c r="AI41" s="400">
        <f>SUMIF($B$16:$B$45,$AG41,LED計算式!$T$4:$T$33)</f>
        <v>0</v>
      </c>
      <c r="AJ41" s="400">
        <f ca="1">SUMIF($B$16:$B$45,$AG41,LED計算式!$U$4)</f>
        <v>0</v>
      </c>
      <c r="AK41" s="400">
        <f t="shared" ca="1" si="5"/>
        <v>0</v>
      </c>
      <c r="AL41" s="400">
        <f t="shared" ca="1" si="27"/>
        <v>0</v>
      </c>
      <c r="AM41" s="690">
        <f t="shared" ca="1" si="6"/>
        <v>0</v>
      </c>
      <c r="AN41" s="691">
        <f>$AN$16</f>
        <v>0.4</v>
      </c>
      <c r="AO41" s="400">
        <f t="shared" ca="1" si="28"/>
        <v>0</v>
      </c>
      <c r="AP41" s="692">
        <f t="shared" ca="1" si="7"/>
        <v>0</v>
      </c>
      <c r="AQ41" s="692">
        <f t="shared" ca="1" si="8"/>
        <v>0</v>
      </c>
      <c r="AR41" s="400">
        <f t="shared" ca="1" si="9"/>
        <v>0</v>
      </c>
      <c r="AS41" s="400">
        <f t="shared" ca="1" si="10"/>
        <v>0</v>
      </c>
      <c r="AT41" s="400">
        <f t="shared" ca="1" si="11"/>
        <v>0</v>
      </c>
      <c r="AU41" s="693"/>
      <c r="AV41" s="694">
        <f t="shared" ca="1" si="12"/>
        <v>0</v>
      </c>
      <c r="AW41" s="694">
        <f t="shared" ca="1" si="13"/>
        <v>0</v>
      </c>
      <c r="AY41" s="529" t="str">
        <f>IFERROR(VLOOKUP(G41,選定!$C$3:$AG$100,28,FALSE),"0")</f>
        <v>0</v>
      </c>
      <c r="AZ41" s="37">
        <f t="shared" si="22"/>
        <v>0</v>
      </c>
      <c r="BA41" s="37">
        <f t="shared" si="23"/>
        <v>0</v>
      </c>
      <c r="BB41" s="37" t="str">
        <f>IFERROR(VLOOKUP(G41,選定!$C$2:$AG$100,11,FALSE),"0")</f>
        <v>0</v>
      </c>
      <c r="BC41" s="37" t="str">
        <f>IFERROR(VLOOKUP(G41,選定!$C$2:$AG$100,13,FALSE),"")</f>
        <v/>
      </c>
      <c r="BD41" s="37" t="str">
        <f>IFERROR(VLOOKUP(G41,選定!$C$2:$AG$100,16,FALSE),"")</f>
        <v/>
      </c>
      <c r="BE41" s="37" t="str">
        <f>IFERROR(VLOOKUP(G41,選定!$C$2:$AG$100,19,FALSE),"")</f>
        <v/>
      </c>
      <c r="BF41" s="37" t="str">
        <f>IFERROR(VLOOKUP(G41,選定!$C$2:$AG$100,22,FALSE),"")</f>
        <v/>
      </c>
      <c r="BG41" s="530">
        <f t="shared" si="24"/>
        <v>0</v>
      </c>
    </row>
    <row r="42" spans="1:59" ht="13.5" customHeight="1">
      <c r="A42" s="674"/>
      <c r="B42" s="688" t="str">
        <f t="shared" si="14"/>
        <v/>
      </c>
      <c r="C42" s="287"/>
      <c r="D42" s="287"/>
      <c r="E42" s="288"/>
      <c r="F42" s="288"/>
      <c r="G42" s="446"/>
      <c r="H42" s="289">
        <f t="shared" si="30"/>
        <v>0</v>
      </c>
      <c r="I42" s="287"/>
      <c r="J42" s="286" t="str">
        <f t="shared" si="15"/>
        <v/>
      </c>
      <c r="K42" s="287"/>
      <c r="L42" s="286">
        <f t="shared" si="31"/>
        <v>0</v>
      </c>
      <c r="M42" s="287"/>
      <c r="N42" s="287"/>
      <c r="O42" s="287"/>
      <c r="P42" s="287"/>
      <c r="Q42" s="287"/>
      <c r="R42" s="287"/>
      <c r="S42" s="287"/>
      <c r="T42" s="287"/>
      <c r="U42" s="287"/>
      <c r="V42" s="287"/>
      <c r="W42" s="286">
        <f t="shared" si="32"/>
        <v>0</v>
      </c>
      <c r="X42" s="286">
        <f t="shared" si="33"/>
        <v>30</v>
      </c>
      <c r="Y42" s="297">
        <f t="shared" si="18"/>
        <v>0</v>
      </c>
      <c r="AA42" s="291">
        <f>IFERROR(VLOOKUP($G42,選定!$C$3:$AG$100,5,FALSE),0)</f>
        <v>0</v>
      </c>
      <c r="AB42" s="286">
        <f t="shared" si="3"/>
        <v>0</v>
      </c>
      <c r="AC42" s="297">
        <f t="shared" si="25"/>
        <v>0</v>
      </c>
      <c r="AD42" s="293"/>
      <c r="AE42" s="632">
        <v>3000</v>
      </c>
      <c r="AF42" s="293">
        <v>27</v>
      </c>
      <c r="AG42" s="688"/>
      <c r="AH42" s="689">
        <f t="shared" si="4"/>
        <v>0</v>
      </c>
      <c r="AI42" s="400">
        <f>SUMIF($B$16:$B$45,$AG42,LED計算式!$T$4:$T$33)</f>
        <v>0</v>
      </c>
      <c r="AJ42" s="400">
        <f ca="1">SUMIF($B$16:$B$45,$AG42,LED計算式!$U$4)</f>
        <v>0</v>
      </c>
      <c r="AK42" s="400">
        <f t="shared" ca="1" si="5"/>
        <v>0</v>
      </c>
      <c r="AL42" s="400">
        <f t="shared" ca="1" si="27"/>
        <v>0</v>
      </c>
      <c r="AM42" s="690">
        <f t="shared" ca="1" si="6"/>
        <v>0</v>
      </c>
      <c r="AN42" s="691">
        <f>$AN$16</f>
        <v>0.4</v>
      </c>
      <c r="AO42" s="400">
        <f t="shared" ca="1" si="28"/>
        <v>0</v>
      </c>
      <c r="AP42" s="692">
        <f t="shared" ca="1" si="7"/>
        <v>0</v>
      </c>
      <c r="AQ42" s="692">
        <f t="shared" ca="1" si="8"/>
        <v>0</v>
      </c>
      <c r="AR42" s="400">
        <f t="shared" ca="1" si="9"/>
        <v>0</v>
      </c>
      <c r="AS42" s="400">
        <f t="shared" ca="1" si="10"/>
        <v>0</v>
      </c>
      <c r="AT42" s="400">
        <f t="shared" ca="1" si="11"/>
        <v>0</v>
      </c>
      <c r="AU42" s="693"/>
      <c r="AV42" s="694">
        <f t="shared" ca="1" si="12"/>
        <v>0</v>
      </c>
      <c r="AW42" s="694">
        <f t="shared" ca="1" si="13"/>
        <v>0</v>
      </c>
      <c r="AY42" s="529" t="str">
        <f>IFERROR(VLOOKUP(G42,選定!$C$3:$AG$100,28,FALSE),"0")</f>
        <v>0</v>
      </c>
      <c r="AZ42" s="37">
        <f t="shared" si="22"/>
        <v>0</v>
      </c>
      <c r="BA42" s="37">
        <f t="shared" si="23"/>
        <v>0</v>
      </c>
      <c r="BB42" s="37" t="str">
        <f>IFERROR(VLOOKUP(G42,選定!$C$2:$AG$100,11,FALSE),"0")</f>
        <v>0</v>
      </c>
      <c r="BC42" s="37" t="str">
        <f>IFERROR(VLOOKUP(G42,選定!$C$2:$AG$100,13,FALSE),"")</f>
        <v/>
      </c>
      <c r="BD42" s="37" t="str">
        <f>IFERROR(VLOOKUP(G42,選定!$C$2:$AG$100,16,FALSE),"")</f>
        <v/>
      </c>
      <c r="BE42" s="37" t="str">
        <f>IFERROR(VLOOKUP(G42,選定!$C$2:$AG$100,19,FALSE),"")</f>
        <v/>
      </c>
      <c r="BF42" s="37" t="str">
        <f>IFERROR(VLOOKUP(G42,選定!$C$2:$AG$100,22,FALSE),"")</f>
        <v/>
      </c>
      <c r="BG42" s="530">
        <f t="shared" si="24"/>
        <v>0</v>
      </c>
    </row>
    <row r="43" spans="1:59" ht="13.5" customHeight="1">
      <c r="A43" s="674"/>
      <c r="B43" s="688" t="str">
        <f t="shared" si="14"/>
        <v/>
      </c>
      <c r="C43" s="287"/>
      <c r="D43" s="287"/>
      <c r="E43" s="288"/>
      <c r="F43" s="288"/>
      <c r="G43" s="446"/>
      <c r="H43" s="289">
        <f t="shared" si="30"/>
        <v>0</v>
      </c>
      <c r="I43" s="287"/>
      <c r="J43" s="286" t="str">
        <f t="shared" si="15"/>
        <v/>
      </c>
      <c r="K43" s="287"/>
      <c r="L43" s="286">
        <f t="shared" si="31"/>
        <v>0</v>
      </c>
      <c r="M43" s="287"/>
      <c r="N43" s="287"/>
      <c r="O43" s="287"/>
      <c r="P43" s="287"/>
      <c r="Q43" s="287"/>
      <c r="R43" s="287"/>
      <c r="S43" s="287"/>
      <c r="T43" s="287"/>
      <c r="U43" s="287"/>
      <c r="V43" s="287"/>
      <c r="W43" s="286">
        <f t="shared" si="32"/>
        <v>0</v>
      </c>
      <c r="X43" s="286">
        <f t="shared" si="33"/>
        <v>30</v>
      </c>
      <c r="Y43" s="297">
        <f t="shared" si="18"/>
        <v>0</v>
      </c>
      <c r="AA43" s="291">
        <f>IFERROR(VLOOKUP($G43,選定!$C$3:$AG$100,5,FALSE),0)</f>
        <v>0</v>
      </c>
      <c r="AB43" s="286">
        <f t="shared" si="3"/>
        <v>0</v>
      </c>
      <c r="AC43" s="297">
        <f>ROUNDDOWN($AB43*$X43,0)</f>
        <v>0</v>
      </c>
      <c r="AD43" s="293"/>
      <c r="AE43" s="632">
        <v>3000</v>
      </c>
      <c r="AF43" s="293">
        <v>28</v>
      </c>
      <c r="AG43" s="688"/>
      <c r="AH43" s="689">
        <f t="shared" si="4"/>
        <v>0</v>
      </c>
      <c r="AI43" s="400">
        <f>SUMIF($B$16:$B$45,$AG43,LED計算式!$T$4:$T$33)</f>
        <v>0</v>
      </c>
      <c r="AJ43" s="400">
        <f ca="1">SUMIF($B$16:$B$45,$AG43,LED計算式!$U$4)</f>
        <v>0</v>
      </c>
      <c r="AK43" s="400">
        <f t="shared" ca="1" si="5"/>
        <v>0</v>
      </c>
      <c r="AL43" s="400">
        <f t="shared" ca="1" si="27"/>
        <v>0</v>
      </c>
      <c r="AM43" s="690">
        <f t="shared" ca="1" si="6"/>
        <v>0</v>
      </c>
      <c r="AN43" s="691">
        <f>$AN$16</f>
        <v>0.4</v>
      </c>
      <c r="AO43" s="400">
        <f t="shared" ca="1" si="28"/>
        <v>0</v>
      </c>
      <c r="AP43" s="692">
        <f t="shared" ca="1" si="7"/>
        <v>0</v>
      </c>
      <c r="AQ43" s="692">
        <f t="shared" ca="1" si="8"/>
        <v>0</v>
      </c>
      <c r="AR43" s="400">
        <f t="shared" ca="1" si="9"/>
        <v>0</v>
      </c>
      <c r="AS43" s="400">
        <f t="shared" ca="1" si="10"/>
        <v>0</v>
      </c>
      <c r="AT43" s="400">
        <f t="shared" ca="1" si="11"/>
        <v>0</v>
      </c>
      <c r="AU43" s="693"/>
      <c r="AV43" s="694">
        <f t="shared" ca="1" si="12"/>
        <v>0</v>
      </c>
      <c r="AW43" s="694">
        <f t="shared" ca="1" si="13"/>
        <v>0</v>
      </c>
      <c r="AY43" s="529" t="str">
        <f>IFERROR(VLOOKUP(G43,選定!$C$3:$AG$100,28,FALSE),"0")</f>
        <v>0</v>
      </c>
      <c r="AZ43" s="37">
        <f t="shared" si="22"/>
        <v>0</v>
      </c>
      <c r="BA43" s="37">
        <f t="shared" si="23"/>
        <v>0</v>
      </c>
      <c r="BB43" s="37" t="str">
        <f>IFERROR(VLOOKUP(G43,選定!$C$2:$AG$100,11,FALSE),"0")</f>
        <v>0</v>
      </c>
      <c r="BC43" s="37" t="str">
        <f>IFERROR(VLOOKUP(G43,選定!$C$2:$AG$100,13,FALSE),"")</f>
        <v/>
      </c>
      <c r="BD43" s="37" t="str">
        <f>IFERROR(VLOOKUP(G43,選定!$C$2:$AG$100,16,FALSE),"")</f>
        <v/>
      </c>
      <c r="BE43" s="37" t="str">
        <f>IFERROR(VLOOKUP(G43,選定!$C$2:$AG$100,19,FALSE),"")</f>
        <v/>
      </c>
      <c r="BF43" s="37" t="str">
        <f>IFERROR(VLOOKUP(G43,選定!$C$2:$AG$100,22,FALSE),"")</f>
        <v/>
      </c>
      <c r="BG43" s="530">
        <f t="shared" si="24"/>
        <v>0</v>
      </c>
    </row>
    <row r="44" spans="1:59" ht="13.5" customHeight="1">
      <c r="A44" s="674"/>
      <c r="B44" s="688" t="str">
        <f t="shared" si="14"/>
        <v/>
      </c>
      <c r="C44" s="287"/>
      <c r="D44" s="287"/>
      <c r="E44" s="288"/>
      <c r="F44" s="288"/>
      <c r="G44" s="446"/>
      <c r="H44" s="289">
        <f t="shared" si="30"/>
        <v>0</v>
      </c>
      <c r="I44" s="287"/>
      <c r="J44" s="286" t="str">
        <f t="shared" si="15"/>
        <v/>
      </c>
      <c r="K44" s="287"/>
      <c r="L44" s="286">
        <f t="shared" si="31"/>
        <v>0</v>
      </c>
      <c r="M44" s="287"/>
      <c r="N44" s="287"/>
      <c r="O44" s="287"/>
      <c r="P44" s="287"/>
      <c r="Q44" s="287"/>
      <c r="R44" s="287"/>
      <c r="S44" s="287"/>
      <c r="T44" s="287"/>
      <c r="U44" s="287"/>
      <c r="V44" s="287"/>
      <c r="W44" s="286">
        <f t="shared" si="32"/>
        <v>0</v>
      </c>
      <c r="X44" s="286">
        <f t="shared" si="33"/>
        <v>30</v>
      </c>
      <c r="Y44" s="297">
        <f t="shared" si="18"/>
        <v>0</v>
      </c>
      <c r="AA44" s="291">
        <f>IFERROR(VLOOKUP($G44,選定!$C$3:$AG$100,5,FALSE),0)</f>
        <v>0</v>
      </c>
      <c r="AB44" s="286">
        <f t="shared" si="3"/>
        <v>0</v>
      </c>
      <c r="AC44" s="297">
        <f t="shared" si="25"/>
        <v>0</v>
      </c>
      <c r="AD44" s="293"/>
      <c r="AE44" s="632">
        <v>3000</v>
      </c>
      <c r="AF44" s="293">
        <v>29</v>
      </c>
      <c r="AG44" s="688"/>
      <c r="AH44" s="689">
        <f t="shared" si="4"/>
        <v>0</v>
      </c>
      <c r="AI44" s="400">
        <f>SUMIF($B$16:$B$45,$AG44,LED計算式!$T$4:$T$33)</f>
        <v>0</v>
      </c>
      <c r="AJ44" s="400">
        <f ca="1">SUMIF($B$16:$B$45,$AG44,LED計算式!$U$4)</f>
        <v>0</v>
      </c>
      <c r="AK44" s="400">
        <f t="shared" ca="1" si="5"/>
        <v>0</v>
      </c>
      <c r="AL44" s="400">
        <f t="shared" ca="1" si="27"/>
        <v>0</v>
      </c>
      <c r="AM44" s="690">
        <f t="shared" ca="1" si="6"/>
        <v>0</v>
      </c>
      <c r="AN44" s="691">
        <f>$AN$16</f>
        <v>0.4</v>
      </c>
      <c r="AO44" s="400">
        <f t="shared" ca="1" si="28"/>
        <v>0</v>
      </c>
      <c r="AP44" s="692">
        <f t="shared" ca="1" si="7"/>
        <v>0</v>
      </c>
      <c r="AQ44" s="692">
        <f t="shared" ca="1" si="8"/>
        <v>0</v>
      </c>
      <c r="AR44" s="400">
        <f t="shared" ca="1" si="9"/>
        <v>0</v>
      </c>
      <c r="AS44" s="400">
        <f t="shared" ca="1" si="10"/>
        <v>0</v>
      </c>
      <c r="AT44" s="400">
        <f t="shared" ca="1" si="11"/>
        <v>0</v>
      </c>
      <c r="AU44" s="693"/>
      <c r="AV44" s="694">
        <f t="shared" ca="1" si="12"/>
        <v>0</v>
      </c>
      <c r="AW44" s="694">
        <f t="shared" ca="1" si="13"/>
        <v>0</v>
      </c>
      <c r="AY44" s="529" t="str">
        <f>IFERROR(VLOOKUP(G44,選定!$C$3:$AG$100,28,FALSE),"0")</f>
        <v>0</v>
      </c>
      <c r="AZ44" s="37">
        <f t="shared" si="22"/>
        <v>0</v>
      </c>
      <c r="BA44" s="37">
        <f t="shared" si="23"/>
        <v>0</v>
      </c>
      <c r="BB44" s="37" t="str">
        <f>IFERROR(VLOOKUP(G44,選定!$C$2:$AG$100,11,FALSE),"0")</f>
        <v>0</v>
      </c>
      <c r="BC44" s="37" t="str">
        <f>IFERROR(VLOOKUP(G44,選定!$C$2:$AG$100,13,FALSE),"")</f>
        <v/>
      </c>
      <c r="BD44" s="37" t="str">
        <f>IFERROR(VLOOKUP(G44,選定!$C$2:$AG$100,16,FALSE),"")</f>
        <v/>
      </c>
      <c r="BE44" s="37" t="str">
        <f>IFERROR(VLOOKUP(G44,選定!$C$2:$AG$100,19,FALSE),"")</f>
        <v/>
      </c>
      <c r="BF44" s="37" t="str">
        <f>IFERROR(VLOOKUP(G44,選定!$C$2:$AG$100,22,FALSE),"")</f>
        <v/>
      </c>
      <c r="BG44" s="530">
        <f t="shared" si="24"/>
        <v>0</v>
      </c>
    </row>
    <row r="45" spans="1:59" ht="13.5" customHeight="1" thickBot="1">
      <c r="A45" s="675"/>
      <c r="B45" s="695" t="str">
        <f t="shared" si="14"/>
        <v/>
      </c>
      <c r="C45" s="508"/>
      <c r="D45" s="508"/>
      <c r="E45" s="512"/>
      <c r="F45" s="512"/>
      <c r="G45" s="602"/>
      <c r="H45" s="513">
        <f t="shared" si="30"/>
        <v>0</v>
      </c>
      <c r="I45" s="508"/>
      <c r="J45" s="510" t="str">
        <f t="shared" si="15"/>
        <v/>
      </c>
      <c r="K45" s="508"/>
      <c r="L45" s="510">
        <f t="shared" si="31"/>
        <v>0</v>
      </c>
      <c r="M45" s="508"/>
      <c r="N45" s="508"/>
      <c r="O45" s="508"/>
      <c r="P45" s="508"/>
      <c r="Q45" s="508"/>
      <c r="R45" s="508"/>
      <c r="S45" s="508"/>
      <c r="T45" s="508"/>
      <c r="U45" s="508"/>
      <c r="V45" s="508"/>
      <c r="W45" s="510">
        <f t="shared" si="32"/>
        <v>0</v>
      </c>
      <c r="X45" s="510">
        <f t="shared" si="33"/>
        <v>30</v>
      </c>
      <c r="Y45" s="511">
        <f t="shared" si="18"/>
        <v>0</v>
      </c>
      <c r="AA45" s="509">
        <f>IFERROR(VLOOKUP($G45,選定!$C$3:$AG$100,5,FALSE),0)</f>
        <v>0</v>
      </c>
      <c r="AB45" s="510">
        <f t="shared" si="3"/>
        <v>0</v>
      </c>
      <c r="AC45" s="511">
        <f t="shared" si="25"/>
        <v>0</v>
      </c>
      <c r="AD45" s="293"/>
      <c r="AE45" s="344">
        <v>3000</v>
      </c>
      <c r="AF45" s="293">
        <v>30</v>
      </c>
      <c r="AG45" s="695"/>
      <c r="AH45" s="696">
        <f t="shared" si="4"/>
        <v>0</v>
      </c>
      <c r="AI45" s="697">
        <f>SUMIF($B$16:$B$45,$AG45,LED計算式!$T$4:$T$33)</f>
        <v>0</v>
      </c>
      <c r="AJ45" s="697">
        <f ca="1">SUMIF($B$16:$B$45,$AG45,LED計算式!$U$4)</f>
        <v>0</v>
      </c>
      <c r="AK45" s="697">
        <f t="shared" ca="1" si="5"/>
        <v>0</v>
      </c>
      <c r="AL45" s="697">
        <f t="shared" ca="1" si="27"/>
        <v>0</v>
      </c>
      <c r="AM45" s="698">
        <f t="shared" ca="1" si="6"/>
        <v>0</v>
      </c>
      <c r="AN45" s="699">
        <f>$AN$16</f>
        <v>0.4</v>
      </c>
      <c r="AO45" s="697">
        <f t="shared" ca="1" si="28"/>
        <v>0</v>
      </c>
      <c r="AP45" s="700">
        <f t="shared" ca="1" si="7"/>
        <v>0</v>
      </c>
      <c r="AQ45" s="700">
        <f t="shared" ca="1" si="8"/>
        <v>0</v>
      </c>
      <c r="AR45" s="697">
        <f t="shared" ca="1" si="9"/>
        <v>0</v>
      </c>
      <c r="AS45" s="697">
        <f t="shared" ca="1" si="10"/>
        <v>0</v>
      </c>
      <c r="AT45" s="697">
        <f t="shared" ca="1" si="11"/>
        <v>0</v>
      </c>
      <c r="AU45" s="701"/>
      <c r="AV45" s="694">
        <f t="shared" ca="1" si="12"/>
        <v>0</v>
      </c>
      <c r="AW45" s="694">
        <f t="shared" ca="1" si="13"/>
        <v>0</v>
      </c>
      <c r="AY45" s="531" t="str">
        <f>IFERROR(VLOOKUP(G45,選定!$C$3:$AG$100,28,FALSE),"0")</f>
        <v>0</v>
      </c>
      <c r="AZ45" s="532">
        <f t="shared" si="22"/>
        <v>0</v>
      </c>
      <c r="BA45" s="532">
        <f t="shared" si="23"/>
        <v>0</v>
      </c>
      <c r="BB45" s="532" t="str">
        <f>IFERROR(VLOOKUP(G45,選定!$C$2:$AG$100,11,FALSE),"0")</f>
        <v>0</v>
      </c>
      <c r="BC45" s="532" t="str">
        <f>IFERROR(VLOOKUP(G45,選定!$C$2:$AG$100,13,FALSE),"")</f>
        <v/>
      </c>
      <c r="BD45" s="532" t="str">
        <f>IFERROR(VLOOKUP(G45,選定!$C$2:$AG$100,16,FALSE),"")</f>
        <v/>
      </c>
      <c r="BE45" s="532" t="str">
        <f>IFERROR(VLOOKUP(G45,選定!$C$2:$AG$100,19,FALSE),"")</f>
        <v/>
      </c>
      <c r="BF45" s="532" t="str">
        <f>IFERROR(VLOOKUP(G45,選定!$C$2:$AG$100,22,FALSE),"")</f>
        <v/>
      </c>
      <c r="BG45" s="533">
        <f t="shared" si="24"/>
        <v>0</v>
      </c>
    </row>
    <row r="47" spans="1:59" ht="13.5" customHeight="1">
      <c r="B47" s="266" t="s">
        <v>206</v>
      </c>
    </row>
    <row r="48" spans="1:59" ht="13.5" customHeight="1">
      <c r="A48" s="640"/>
      <c r="B48" s="640" t="s">
        <v>52</v>
      </c>
      <c r="C48" s="640" t="s">
        <v>136</v>
      </c>
      <c r="D48" s="640" t="s">
        <v>137</v>
      </c>
      <c r="E48" s="640" t="s">
        <v>138</v>
      </c>
      <c r="F48" s="407"/>
      <c r="G48" s="407"/>
      <c r="H48" s="407"/>
      <c r="I48" s="407"/>
      <c r="J48" s="407"/>
      <c r="K48" s="407"/>
      <c r="L48" s="640" t="s">
        <v>145</v>
      </c>
      <c r="M48" s="640" t="s">
        <v>146</v>
      </c>
      <c r="N48" s="640" t="s">
        <v>147</v>
      </c>
      <c r="O48" s="640" t="s">
        <v>148</v>
      </c>
      <c r="P48" s="640" t="s">
        <v>149</v>
      </c>
      <c r="Q48" s="640" t="s">
        <v>150</v>
      </c>
      <c r="R48" s="640" t="s">
        <v>151</v>
      </c>
      <c r="S48" s="640" t="s">
        <v>152</v>
      </c>
      <c r="T48" s="640" t="s">
        <v>153</v>
      </c>
      <c r="U48" s="640" t="s">
        <v>154</v>
      </c>
      <c r="V48" s="640" t="s">
        <v>155</v>
      </c>
      <c r="W48" s="755" t="s">
        <v>207</v>
      </c>
      <c r="X48" s="756"/>
      <c r="Y48" s="756"/>
      <c r="Z48" s="756"/>
      <c r="AA48" s="756"/>
      <c r="AB48" s="757"/>
      <c r="AC48" s="755" t="s">
        <v>208</v>
      </c>
      <c r="AD48" s="756"/>
      <c r="AE48" s="756"/>
      <c r="AF48" s="756"/>
      <c r="AG48" s="756"/>
      <c r="AH48" s="757"/>
    </row>
    <row r="49" spans="1:45" ht="13.5" customHeight="1">
      <c r="A49" s="283">
        <v>1</v>
      </c>
      <c r="B49" s="710" t="str">
        <f t="shared" ref="B49:B60" si="34">IF(C49="","",$C$5)</f>
        <v/>
      </c>
      <c r="C49" s="641"/>
      <c r="D49" s="641"/>
      <c r="E49" s="642"/>
      <c r="F49" s="407"/>
      <c r="G49" s="407"/>
      <c r="H49" s="407"/>
      <c r="I49" s="407"/>
      <c r="J49" s="407"/>
      <c r="K49" s="407"/>
      <c r="L49" s="639">
        <f>SUM(M49:V49)</f>
        <v>0</v>
      </c>
      <c r="M49" s="641"/>
      <c r="N49" s="641"/>
      <c r="O49" s="641"/>
      <c r="P49" s="641"/>
      <c r="Q49" s="641"/>
      <c r="R49" s="641"/>
      <c r="S49" s="641"/>
      <c r="T49" s="641"/>
      <c r="U49" s="641"/>
      <c r="V49" s="641"/>
      <c r="W49" s="738"/>
      <c r="X49" s="739"/>
      <c r="Y49" s="739"/>
      <c r="Z49" s="739"/>
      <c r="AA49" s="739"/>
      <c r="AB49" s="740"/>
      <c r="AC49" s="760"/>
      <c r="AD49" s="761"/>
      <c r="AE49" s="761"/>
      <c r="AF49" s="761"/>
      <c r="AG49" s="761"/>
      <c r="AH49" s="762"/>
    </row>
    <row r="50" spans="1:45" ht="13.5" customHeight="1">
      <c r="A50" s="674">
        <v>2</v>
      </c>
      <c r="B50" s="709" t="str">
        <f t="shared" si="34"/>
        <v/>
      </c>
      <c r="C50" s="287"/>
      <c r="D50" s="287"/>
      <c r="E50" s="288"/>
      <c r="F50" s="407"/>
      <c r="G50" s="407"/>
      <c r="H50" s="407"/>
      <c r="I50" s="407"/>
      <c r="J50" s="407"/>
      <c r="K50" s="407"/>
      <c r="L50" s="286">
        <f t="shared" ref="L50:L58" si="35">SUM(M50:V50)</f>
        <v>0</v>
      </c>
      <c r="M50" s="287"/>
      <c r="N50" s="287"/>
      <c r="O50" s="287"/>
      <c r="P50" s="287"/>
      <c r="Q50" s="287"/>
      <c r="R50" s="287"/>
      <c r="S50" s="287"/>
      <c r="T50" s="287"/>
      <c r="U50" s="287"/>
      <c r="V50" s="287"/>
      <c r="W50" s="748"/>
      <c r="X50" s="749"/>
      <c r="Y50" s="749"/>
      <c r="Z50" s="749"/>
      <c r="AA50" s="749"/>
      <c r="AB50" s="750"/>
      <c r="AC50" s="763"/>
      <c r="AD50" s="764"/>
      <c r="AE50" s="764"/>
      <c r="AF50" s="764"/>
      <c r="AG50" s="764"/>
      <c r="AH50" s="765"/>
    </row>
    <row r="51" spans="1:45" ht="13.5" customHeight="1">
      <c r="A51" s="674">
        <v>3</v>
      </c>
      <c r="B51" s="709" t="str">
        <f t="shared" si="34"/>
        <v/>
      </c>
      <c r="C51" s="287"/>
      <c r="D51" s="287"/>
      <c r="E51" s="288"/>
      <c r="F51" s="407"/>
      <c r="G51" s="407"/>
      <c r="H51" s="407"/>
      <c r="I51" s="407"/>
      <c r="J51" s="407"/>
      <c r="K51" s="407"/>
      <c r="L51" s="286">
        <f t="shared" si="35"/>
        <v>0</v>
      </c>
      <c r="M51" s="287"/>
      <c r="N51" s="287"/>
      <c r="O51" s="287"/>
      <c r="P51" s="287"/>
      <c r="Q51" s="287"/>
      <c r="R51" s="287"/>
      <c r="S51" s="287"/>
      <c r="T51" s="287"/>
      <c r="U51" s="287"/>
      <c r="V51" s="287"/>
      <c r="W51" s="748"/>
      <c r="X51" s="749"/>
      <c r="Y51" s="749"/>
      <c r="Z51" s="749"/>
      <c r="AA51" s="749"/>
      <c r="AB51" s="750"/>
      <c r="AC51" s="763"/>
      <c r="AD51" s="764"/>
      <c r="AE51" s="764"/>
      <c r="AF51" s="764"/>
      <c r="AG51" s="764"/>
      <c r="AH51" s="765"/>
    </row>
    <row r="52" spans="1:45" ht="13.5" customHeight="1">
      <c r="A52" s="674">
        <v>4</v>
      </c>
      <c r="B52" s="709" t="str">
        <f t="shared" si="34"/>
        <v/>
      </c>
      <c r="C52" s="287"/>
      <c r="D52" s="287"/>
      <c r="E52" s="288"/>
      <c r="F52" s="407"/>
      <c r="G52" s="407"/>
      <c r="H52" s="407"/>
      <c r="I52" s="407"/>
      <c r="J52" s="407"/>
      <c r="K52" s="407"/>
      <c r="L52" s="286">
        <f t="shared" si="35"/>
        <v>0</v>
      </c>
      <c r="M52" s="287"/>
      <c r="N52" s="287"/>
      <c r="O52" s="287"/>
      <c r="P52" s="287"/>
      <c r="Q52" s="287"/>
      <c r="R52" s="287"/>
      <c r="S52" s="287"/>
      <c r="T52" s="287"/>
      <c r="U52" s="287"/>
      <c r="V52" s="287"/>
      <c r="W52" s="748"/>
      <c r="X52" s="749"/>
      <c r="Y52" s="749"/>
      <c r="Z52" s="749"/>
      <c r="AA52" s="749"/>
      <c r="AB52" s="750"/>
      <c r="AC52" s="763"/>
      <c r="AD52" s="764"/>
      <c r="AE52" s="764"/>
      <c r="AF52" s="764"/>
      <c r="AG52" s="764"/>
      <c r="AH52" s="765"/>
    </row>
    <row r="53" spans="1:45" ht="13.5" customHeight="1">
      <c r="A53" s="674">
        <v>5</v>
      </c>
      <c r="B53" s="709" t="str">
        <f t="shared" si="34"/>
        <v/>
      </c>
      <c r="C53" s="287"/>
      <c r="D53" s="287"/>
      <c r="E53" s="288"/>
      <c r="F53" s="407"/>
      <c r="G53" s="407"/>
      <c r="H53" s="407"/>
      <c r="I53" s="407"/>
      <c r="J53" s="407"/>
      <c r="K53" s="407"/>
      <c r="L53" s="286">
        <f t="shared" si="35"/>
        <v>0</v>
      </c>
      <c r="M53" s="287"/>
      <c r="N53" s="287"/>
      <c r="O53" s="287"/>
      <c r="P53" s="287"/>
      <c r="Q53" s="287"/>
      <c r="R53" s="287"/>
      <c r="S53" s="287"/>
      <c r="T53" s="287"/>
      <c r="U53" s="287"/>
      <c r="V53" s="287"/>
      <c r="W53" s="748"/>
      <c r="X53" s="749"/>
      <c r="Y53" s="749"/>
      <c r="Z53" s="749"/>
      <c r="AA53" s="749"/>
      <c r="AB53" s="750"/>
      <c r="AC53" s="763"/>
      <c r="AD53" s="764"/>
      <c r="AE53" s="764"/>
      <c r="AF53" s="764"/>
      <c r="AG53" s="764"/>
      <c r="AH53" s="765"/>
    </row>
    <row r="54" spans="1:45" ht="13.5" customHeight="1">
      <c r="A54" s="674">
        <v>6</v>
      </c>
      <c r="B54" s="709" t="str">
        <f t="shared" si="34"/>
        <v/>
      </c>
      <c r="C54" s="287"/>
      <c r="D54" s="287"/>
      <c r="E54" s="288"/>
      <c r="F54" s="407"/>
      <c r="G54" s="407"/>
      <c r="H54" s="407"/>
      <c r="I54" s="407"/>
      <c r="J54" s="407"/>
      <c r="K54" s="407"/>
      <c r="L54" s="286">
        <f t="shared" si="35"/>
        <v>0</v>
      </c>
      <c r="M54" s="287"/>
      <c r="N54" s="287"/>
      <c r="O54" s="287"/>
      <c r="P54" s="287"/>
      <c r="Q54" s="287"/>
      <c r="R54" s="287"/>
      <c r="S54" s="287"/>
      <c r="T54" s="287"/>
      <c r="U54" s="287"/>
      <c r="V54" s="287"/>
      <c r="W54" s="748"/>
      <c r="X54" s="749"/>
      <c r="Y54" s="749"/>
      <c r="Z54" s="749"/>
      <c r="AA54" s="749"/>
      <c r="AB54" s="750"/>
      <c r="AC54" s="763"/>
      <c r="AD54" s="764"/>
      <c r="AE54" s="764"/>
      <c r="AF54" s="764"/>
      <c r="AG54" s="764"/>
      <c r="AH54" s="765"/>
    </row>
    <row r="55" spans="1:45" ht="13.5" customHeight="1">
      <c r="A55" s="674">
        <v>7</v>
      </c>
      <c r="B55" s="709" t="str">
        <f t="shared" si="34"/>
        <v/>
      </c>
      <c r="C55" s="287"/>
      <c r="D55" s="287"/>
      <c r="E55" s="288"/>
      <c r="F55" s="407"/>
      <c r="G55" s="407"/>
      <c r="H55" s="407"/>
      <c r="I55" s="407"/>
      <c r="J55" s="407"/>
      <c r="K55" s="407"/>
      <c r="L55" s="286">
        <f t="shared" si="35"/>
        <v>0</v>
      </c>
      <c r="M55" s="287"/>
      <c r="N55" s="287"/>
      <c r="O55" s="287"/>
      <c r="P55" s="287"/>
      <c r="Q55" s="287"/>
      <c r="R55" s="287"/>
      <c r="S55" s="287"/>
      <c r="T55" s="287"/>
      <c r="U55" s="287"/>
      <c r="V55" s="287"/>
      <c r="W55" s="748"/>
      <c r="X55" s="749"/>
      <c r="Y55" s="749"/>
      <c r="Z55" s="749"/>
      <c r="AA55" s="749"/>
      <c r="AB55" s="750"/>
      <c r="AC55" s="763"/>
      <c r="AD55" s="764"/>
      <c r="AE55" s="764"/>
      <c r="AF55" s="764"/>
      <c r="AG55" s="764"/>
      <c r="AH55" s="765"/>
    </row>
    <row r="56" spans="1:45" ht="13.5" customHeight="1">
      <c r="A56" s="674">
        <v>8</v>
      </c>
      <c r="B56" s="709" t="str">
        <f t="shared" si="34"/>
        <v/>
      </c>
      <c r="C56" s="287"/>
      <c r="D56" s="287"/>
      <c r="E56" s="288"/>
      <c r="F56" s="407"/>
      <c r="G56" s="407"/>
      <c r="H56" s="407"/>
      <c r="I56" s="407"/>
      <c r="J56" s="407"/>
      <c r="K56" s="407"/>
      <c r="L56" s="286">
        <f t="shared" si="35"/>
        <v>0</v>
      </c>
      <c r="M56" s="287"/>
      <c r="N56" s="287"/>
      <c r="O56" s="287"/>
      <c r="P56" s="287"/>
      <c r="Q56" s="287"/>
      <c r="R56" s="287"/>
      <c r="S56" s="287"/>
      <c r="T56" s="287"/>
      <c r="U56" s="287"/>
      <c r="V56" s="287"/>
      <c r="W56" s="748"/>
      <c r="X56" s="749"/>
      <c r="Y56" s="749"/>
      <c r="Z56" s="749"/>
      <c r="AA56" s="749"/>
      <c r="AB56" s="750"/>
      <c r="AC56" s="763"/>
      <c r="AD56" s="764"/>
      <c r="AE56" s="764"/>
      <c r="AF56" s="764"/>
      <c r="AG56" s="764"/>
      <c r="AH56" s="765"/>
    </row>
    <row r="57" spans="1:45" ht="13.5" customHeight="1">
      <c r="A57" s="674">
        <v>9</v>
      </c>
      <c r="B57" s="709" t="str">
        <f t="shared" si="34"/>
        <v/>
      </c>
      <c r="C57" s="287"/>
      <c r="D57" s="287"/>
      <c r="E57" s="288"/>
      <c r="F57" s="407"/>
      <c r="G57" s="407"/>
      <c r="H57" s="407"/>
      <c r="I57" s="407"/>
      <c r="J57" s="407"/>
      <c r="K57" s="407"/>
      <c r="L57" s="286">
        <f t="shared" si="35"/>
        <v>0</v>
      </c>
      <c r="M57" s="287"/>
      <c r="N57" s="287"/>
      <c r="O57" s="287"/>
      <c r="P57" s="287"/>
      <c r="Q57" s="287"/>
      <c r="R57" s="287"/>
      <c r="S57" s="287"/>
      <c r="T57" s="287"/>
      <c r="U57" s="287"/>
      <c r="V57" s="287"/>
      <c r="W57" s="748"/>
      <c r="X57" s="749"/>
      <c r="Y57" s="749"/>
      <c r="Z57" s="749"/>
      <c r="AA57" s="749"/>
      <c r="AB57" s="750"/>
      <c r="AC57" s="763"/>
      <c r="AD57" s="764"/>
      <c r="AE57" s="764"/>
      <c r="AF57" s="764"/>
      <c r="AG57" s="764"/>
      <c r="AH57" s="765"/>
    </row>
    <row r="58" spans="1:45" ht="13.5" customHeight="1">
      <c r="A58" s="674">
        <v>10</v>
      </c>
      <c r="B58" s="709" t="str">
        <f t="shared" si="34"/>
        <v/>
      </c>
      <c r="C58" s="287"/>
      <c r="D58" s="287"/>
      <c r="E58" s="288"/>
      <c r="F58" s="407"/>
      <c r="G58" s="407"/>
      <c r="H58" s="407"/>
      <c r="I58" s="407"/>
      <c r="J58" s="407"/>
      <c r="K58" s="407"/>
      <c r="L58" s="286">
        <f t="shared" si="35"/>
        <v>0</v>
      </c>
      <c r="M58" s="287"/>
      <c r="N58" s="287"/>
      <c r="O58" s="287"/>
      <c r="P58" s="287"/>
      <c r="Q58" s="287"/>
      <c r="R58" s="287"/>
      <c r="S58" s="287"/>
      <c r="T58" s="287"/>
      <c r="U58" s="287"/>
      <c r="V58" s="287"/>
      <c r="W58" s="748"/>
      <c r="X58" s="749"/>
      <c r="Y58" s="749"/>
      <c r="Z58" s="749"/>
      <c r="AA58" s="749"/>
      <c r="AB58" s="750"/>
      <c r="AC58" s="763"/>
      <c r="AD58" s="764"/>
      <c r="AE58" s="764"/>
      <c r="AF58" s="764"/>
      <c r="AG58" s="764"/>
      <c r="AH58" s="765"/>
    </row>
    <row r="59" spans="1:45" ht="13.5" customHeight="1">
      <c r="A59" s="674">
        <v>11</v>
      </c>
      <c r="B59" s="709" t="str">
        <f t="shared" si="34"/>
        <v/>
      </c>
      <c r="C59" s="287"/>
      <c r="D59" s="287"/>
      <c r="E59" s="288"/>
      <c r="F59" s="407"/>
      <c r="G59" s="407"/>
      <c r="H59" s="407"/>
      <c r="I59" s="407"/>
      <c r="J59" s="407"/>
      <c r="K59" s="407"/>
      <c r="L59" s="286">
        <f t="shared" ref="L59:L60" si="36">SUM(M59:V59)</f>
        <v>0</v>
      </c>
      <c r="M59" s="287"/>
      <c r="N59" s="287"/>
      <c r="O59" s="287"/>
      <c r="P59" s="287"/>
      <c r="Q59" s="287"/>
      <c r="R59" s="287"/>
      <c r="S59" s="287"/>
      <c r="T59" s="287"/>
      <c r="U59" s="287"/>
      <c r="V59" s="287"/>
      <c r="W59" s="748"/>
      <c r="X59" s="749"/>
      <c r="Y59" s="749"/>
      <c r="Z59" s="749"/>
      <c r="AA59" s="749"/>
      <c r="AB59" s="750"/>
      <c r="AC59" s="763"/>
      <c r="AD59" s="764"/>
      <c r="AE59" s="764"/>
      <c r="AF59" s="764"/>
      <c r="AG59" s="764"/>
      <c r="AH59" s="765"/>
    </row>
    <row r="60" spans="1:45" ht="13.5" customHeight="1">
      <c r="A60" s="675">
        <v>12</v>
      </c>
      <c r="B60" s="711" t="str">
        <f t="shared" si="34"/>
        <v/>
      </c>
      <c r="C60" s="508"/>
      <c r="D60" s="508"/>
      <c r="E60" s="512"/>
      <c r="F60" s="407"/>
      <c r="G60" s="407"/>
      <c r="H60" s="407"/>
      <c r="I60" s="407"/>
      <c r="J60" s="407"/>
      <c r="K60" s="407"/>
      <c r="L60" s="510">
        <f t="shared" si="36"/>
        <v>0</v>
      </c>
      <c r="M60" s="508"/>
      <c r="N60" s="508"/>
      <c r="O60" s="508"/>
      <c r="P60" s="508"/>
      <c r="Q60" s="508"/>
      <c r="R60" s="508"/>
      <c r="S60" s="508"/>
      <c r="T60" s="508"/>
      <c r="U60" s="508"/>
      <c r="V60" s="508"/>
      <c r="W60" s="744"/>
      <c r="X60" s="745"/>
      <c r="Y60" s="745"/>
      <c r="Z60" s="745"/>
      <c r="AA60" s="745"/>
      <c r="AB60" s="746"/>
      <c r="AC60" s="766"/>
      <c r="AD60" s="767"/>
      <c r="AE60" s="767"/>
      <c r="AF60" s="767"/>
      <c r="AG60" s="767"/>
      <c r="AH60" s="768"/>
    </row>
    <row r="61" spans="1:45" s="266" customFormat="1" ht="13.5" customHeight="1">
      <c r="AS61" s="275"/>
    </row>
    <row r="62" spans="1:45" s="266" customFormat="1" ht="13.5" customHeight="1">
      <c r="W62" s="633" t="s">
        <v>209</v>
      </c>
      <c r="AC62" s="633" t="s">
        <v>209</v>
      </c>
      <c r="AS62" s="275"/>
    </row>
    <row r="63" spans="1:45" s="266" customFormat="1" ht="13.5" customHeight="1">
      <c r="W63" s="731" t="s">
        <v>210</v>
      </c>
      <c r="X63" s="731"/>
      <c r="Y63" s="731"/>
      <c r="Z63" s="731"/>
      <c r="AA63" s="731"/>
      <c r="AB63" s="731"/>
      <c r="AC63" s="731" t="s">
        <v>211</v>
      </c>
      <c r="AD63" s="731"/>
      <c r="AE63" s="731"/>
      <c r="AF63" s="731"/>
      <c r="AG63" s="731"/>
      <c r="AH63" s="731"/>
      <c r="AS63" s="275"/>
    </row>
    <row r="64" spans="1:45" s="266" customFormat="1" ht="13.5" customHeight="1">
      <c r="W64" s="731" t="s">
        <v>212</v>
      </c>
      <c r="X64" s="731"/>
      <c r="Y64" s="731"/>
      <c r="Z64" s="731"/>
      <c r="AA64" s="731"/>
      <c r="AB64" s="731"/>
      <c r="AC64" s="633"/>
      <c r="AD64" s="633"/>
      <c r="AE64" s="633"/>
      <c r="AF64" s="633"/>
      <c r="AG64" s="633"/>
      <c r="AH64" s="633"/>
      <c r="AS64" s="275"/>
    </row>
    <row r="65" spans="6:45" s="266" customFormat="1" ht="13.5" customHeight="1">
      <c r="W65" s="731" t="s">
        <v>213</v>
      </c>
      <c r="X65" s="731"/>
      <c r="Y65" s="731"/>
      <c r="Z65" s="731"/>
      <c r="AA65" s="731"/>
      <c r="AB65" s="731"/>
      <c r="AC65" s="731" t="s">
        <v>214</v>
      </c>
      <c r="AD65" s="731"/>
      <c r="AE65" s="731"/>
      <c r="AF65" s="731"/>
      <c r="AG65" s="731"/>
      <c r="AH65" s="731"/>
      <c r="AS65" s="275"/>
    </row>
    <row r="66" spans="6:45" s="266" customFormat="1" ht="13.5" customHeight="1">
      <c r="W66" s="731" t="s">
        <v>215</v>
      </c>
      <c r="X66" s="731"/>
      <c r="Y66" s="731"/>
      <c r="Z66" s="731"/>
      <c r="AA66" s="731"/>
      <c r="AB66" s="731"/>
      <c r="AC66" s="731" t="s">
        <v>216</v>
      </c>
      <c r="AD66" s="731"/>
      <c r="AE66" s="731"/>
      <c r="AF66" s="731"/>
      <c r="AG66" s="731"/>
      <c r="AH66" s="731"/>
      <c r="AS66" s="275"/>
    </row>
    <row r="67" spans="6:45" s="266" customFormat="1" ht="13.5" customHeight="1">
      <c r="AC67" s="731" t="s">
        <v>217</v>
      </c>
      <c r="AD67" s="731"/>
      <c r="AE67" s="731"/>
      <c r="AF67" s="731"/>
      <c r="AG67" s="731"/>
      <c r="AH67" s="731"/>
      <c r="AS67" s="275"/>
    </row>
    <row r="68" spans="6:45" s="266" customFormat="1" ht="13.5" customHeight="1">
      <c r="AS68" s="275"/>
    </row>
    <row r="69" spans="6:45" ht="13.5" customHeight="1">
      <c r="F69" s="266"/>
      <c r="G69" s="266"/>
      <c r="H69" s="266"/>
      <c r="I69" s="266"/>
      <c r="J69" s="266"/>
      <c r="K69" s="266"/>
    </row>
    <row r="70" spans="6:45" ht="13.5" customHeight="1">
      <c r="F70" s="266"/>
      <c r="G70" s="266"/>
      <c r="H70" s="266"/>
      <c r="I70" s="266"/>
      <c r="J70" s="266"/>
      <c r="K70" s="266"/>
    </row>
    <row r="71" spans="6:45" ht="13.5" customHeight="1">
      <c r="F71" s="266"/>
      <c r="G71" s="266"/>
      <c r="H71" s="266"/>
      <c r="I71" s="266"/>
      <c r="J71" s="266"/>
      <c r="K71" s="266"/>
    </row>
    <row r="72" spans="6:45" ht="13.5" customHeight="1">
      <c r="F72" s="266"/>
      <c r="G72" s="266"/>
      <c r="H72" s="266"/>
      <c r="I72" s="266"/>
      <c r="J72" s="266"/>
      <c r="K72" s="266"/>
    </row>
    <row r="73" spans="6:45" ht="13.5" customHeight="1">
      <c r="F73" s="266"/>
      <c r="G73" s="266"/>
      <c r="H73" s="266"/>
      <c r="I73" s="266"/>
      <c r="J73" s="266"/>
      <c r="K73" s="266"/>
    </row>
    <row r="74" spans="6:45" ht="13.5" customHeight="1">
      <c r="F74" s="266"/>
      <c r="G74" s="266"/>
      <c r="H74" s="266"/>
      <c r="I74" s="266"/>
      <c r="J74" s="266"/>
      <c r="K74" s="266"/>
    </row>
  </sheetData>
  <dataConsolidate topLabels="1" link="1">
    <dataRefs count="1">
      <dataRef ref="BE16:BF40" sheet="☆入力シート" r:id="rId1"/>
    </dataRefs>
  </dataConsolidate>
  <mergeCells count="65">
    <mergeCell ref="W63:AB63"/>
    <mergeCell ref="W64:AB64"/>
    <mergeCell ref="W65:AB65"/>
    <mergeCell ref="W66:AB66"/>
    <mergeCell ref="AC63:AH63"/>
    <mergeCell ref="AC65:AH65"/>
    <mergeCell ref="AC66:AH66"/>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56:AB56"/>
    <mergeCell ref="W57:AB57"/>
    <mergeCell ref="W58:AB58"/>
    <mergeCell ref="W49:AB49"/>
    <mergeCell ref="W50:AB50"/>
    <mergeCell ref="W51:AB51"/>
    <mergeCell ref="W52:AB52"/>
    <mergeCell ref="W53:AB53"/>
    <mergeCell ref="AC48:AH48"/>
    <mergeCell ref="A11:G11"/>
    <mergeCell ref="A12:G12"/>
    <mergeCell ref="A13:G13"/>
    <mergeCell ref="AH11:AI11"/>
    <mergeCell ref="W48:AB48"/>
    <mergeCell ref="AH6:AN6"/>
    <mergeCell ref="AL10:AN10"/>
    <mergeCell ref="A10:G10"/>
    <mergeCell ref="AH5:AN5"/>
    <mergeCell ref="A5:B5"/>
    <mergeCell ref="A6:B6"/>
    <mergeCell ref="A7:B7"/>
    <mergeCell ref="A8:B8"/>
    <mergeCell ref="C5:F5"/>
    <mergeCell ref="C6:F6"/>
    <mergeCell ref="C7:F7"/>
    <mergeCell ref="C8:F8"/>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F1987-845C-4EC4-B6D5-9388A4F94FB4}">
  <dimension ref="A1:D18"/>
  <sheetViews>
    <sheetView workbookViewId="0">
      <selection activeCell="C56" sqref="C56"/>
    </sheetView>
  </sheetViews>
  <sheetFormatPr defaultColWidth="8.875" defaultRowHeight="15" customHeight="1"/>
  <cols>
    <col min="1" max="1" width="8.625" style="713" customWidth="1"/>
    <col min="2" max="2" width="6.375" style="713" customWidth="1"/>
    <col min="3" max="3" width="43.375" style="713" bestFit="1" customWidth="1"/>
    <col min="4" max="4" width="25.75" style="713" customWidth="1"/>
    <col min="5" max="16384" width="8.875" style="713"/>
  </cols>
  <sheetData>
    <row r="1" spans="1:4" ht="22.5" customHeight="1">
      <c r="A1" s="769" t="s">
        <v>218</v>
      </c>
      <c r="B1" s="1417"/>
      <c r="C1" s="1417"/>
      <c r="D1" s="1417"/>
    </row>
    <row r="3" spans="1:4" ht="15" customHeight="1">
      <c r="A3" s="730" t="s">
        <v>219</v>
      </c>
      <c r="B3" s="729" t="s">
        <v>220</v>
      </c>
      <c r="C3" s="729" t="s">
        <v>221</v>
      </c>
      <c r="D3" s="728" t="s">
        <v>91</v>
      </c>
    </row>
    <row r="4" spans="1:4" ht="15" customHeight="1">
      <c r="A4" s="727"/>
      <c r="B4" s="726">
        <v>1</v>
      </c>
      <c r="C4" s="725" t="s">
        <v>222</v>
      </c>
      <c r="D4" s="724"/>
    </row>
    <row r="5" spans="1:4" ht="15" customHeight="1">
      <c r="A5" s="727"/>
      <c r="B5" s="726">
        <v>2</v>
      </c>
      <c r="C5" s="725" t="s">
        <v>223</v>
      </c>
      <c r="D5" s="724"/>
    </row>
    <row r="6" spans="1:4" ht="15" customHeight="1">
      <c r="A6" s="727"/>
      <c r="B6" s="726">
        <v>3</v>
      </c>
      <c r="C6" s="725" t="s">
        <v>224</v>
      </c>
      <c r="D6" s="724"/>
    </row>
    <row r="7" spans="1:4" ht="15" customHeight="1">
      <c r="A7" s="727"/>
      <c r="B7" s="726">
        <v>4</v>
      </c>
      <c r="C7" s="725" t="s">
        <v>225</v>
      </c>
      <c r="D7" s="724"/>
    </row>
    <row r="8" spans="1:4" ht="15" customHeight="1">
      <c r="A8" s="723"/>
      <c r="B8" s="722">
        <v>5</v>
      </c>
      <c r="C8" s="721" t="s">
        <v>226</v>
      </c>
      <c r="D8" s="720"/>
    </row>
    <row r="9" spans="1:4" ht="15" customHeight="1">
      <c r="A9" s="723"/>
      <c r="B9" s="722">
        <v>6</v>
      </c>
      <c r="C9" s="721" t="s">
        <v>227</v>
      </c>
      <c r="D9" s="720"/>
    </row>
    <row r="10" spans="1:4" ht="15" customHeight="1">
      <c r="A10" s="723"/>
      <c r="B10" s="722">
        <v>7</v>
      </c>
      <c r="C10" s="721" t="s">
        <v>228</v>
      </c>
      <c r="D10" s="720"/>
    </row>
    <row r="11" spans="1:4" ht="15" customHeight="1">
      <c r="A11" s="723"/>
      <c r="B11" s="722">
        <v>8</v>
      </c>
      <c r="C11" s="721" t="s">
        <v>229</v>
      </c>
      <c r="D11" s="720"/>
    </row>
    <row r="12" spans="1:4" ht="15" customHeight="1">
      <c r="A12" s="723"/>
      <c r="B12" s="722">
        <v>9</v>
      </c>
      <c r="C12" s="721" t="s">
        <v>230</v>
      </c>
      <c r="D12" s="720"/>
    </row>
    <row r="13" spans="1:4" ht="15" customHeight="1">
      <c r="A13" s="723"/>
      <c r="B13" s="722">
        <v>10</v>
      </c>
      <c r="C13" s="721" t="s">
        <v>231</v>
      </c>
      <c r="D13" s="720"/>
    </row>
    <row r="14" spans="1:4" ht="15" customHeight="1">
      <c r="A14" s="723"/>
      <c r="B14" s="722">
        <v>11</v>
      </c>
      <c r="C14" s="721" t="s">
        <v>232</v>
      </c>
      <c r="D14" s="720"/>
    </row>
    <row r="15" spans="1:4" ht="15" customHeight="1" thickBot="1">
      <c r="A15" s="719"/>
      <c r="B15" s="718">
        <v>12</v>
      </c>
      <c r="C15" s="717" t="s">
        <v>233</v>
      </c>
      <c r="D15" s="716"/>
    </row>
    <row r="17" spans="1:3" ht="15" customHeight="1">
      <c r="A17" s="715" t="s">
        <v>234</v>
      </c>
      <c r="B17" s="715"/>
      <c r="C17" s="715"/>
    </row>
    <row r="18" spans="1:3" ht="15" customHeight="1">
      <c r="A18" s="714" t="s">
        <v>235</v>
      </c>
    </row>
  </sheetData>
  <mergeCells count="1">
    <mergeCell ref="A1:D1"/>
  </mergeCells>
  <phoneticPr fontId="2"/>
  <dataValidations count="1">
    <dataValidation type="list" allowBlank="1" showInputMessage="1" showErrorMessage="1" sqref="A4:A15" xr:uid="{CE4FE3BE-3274-4458-9415-B7E033FA98B3}">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zoomScale="70" zoomScaleNormal="50" zoomScaleSheetLayoutView="70" workbookViewId="0">
      <selection activeCell="N33" sqref="N33"/>
    </sheetView>
  </sheetViews>
  <sheetFormatPr defaultRowHeight="18.75"/>
  <sheetData>
    <row r="2" spans="1:9" ht="18.75" customHeight="1">
      <c r="A2" s="770">
        <f>☆入力!C5</f>
        <v>0</v>
      </c>
      <c r="B2" s="770"/>
      <c r="C2" s="770"/>
      <c r="D2" s="770"/>
      <c r="E2" s="770"/>
      <c r="F2" s="770"/>
      <c r="G2" s="770"/>
      <c r="H2" s="770"/>
      <c r="I2" s="770"/>
    </row>
    <row r="3" spans="1:9" ht="18.75" customHeight="1">
      <c r="A3" s="770"/>
      <c r="B3" s="770"/>
      <c r="C3" s="770"/>
      <c r="D3" s="770"/>
      <c r="E3" s="770"/>
      <c r="F3" s="770"/>
      <c r="G3" s="770"/>
      <c r="H3" s="770"/>
      <c r="I3" s="770"/>
    </row>
    <row r="4" spans="1:9" ht="18" customHeight="1">
      <c r="A4" s="770"/>
      <c r="B4" s="770"/>
      <c r="C4" s="770"/>
      <c r="D4" s="770"/>
      <c r="E4" s="770"/>
      <c r="F4" s="770"/>
      <c r="G4" s="770"/>
      <c r="H4" s="770"/>
      <c r="I4" s="770"/>
    </row>
    <row r="25" spans="1:14" ht="33">
      <c r="A25" s="771" t="str">
        <f>代理店入力用!N3</f>
        <v>株式会社クラスコ</v>
      </c>
      <c r="B25" s="771"/>
      <c r="C25" s="771"/>
      <c r="D25" s="771"/>
      <c r="E25" s="771"/>
      <c r="F25" s="771"/>
      <c r="G25" s="345"/>
      <c r="H25" s="345"/>
      <c r="I25" s="347" t="s">
        <v>236</v>
      </c>
    </row>
    <row r="26" spans="1:14" ht="19.5">
      <c r="A26" s="772" t="str">
        <f>代理店入力用!N4&amp;代理店入力用!N5</f>
        <v>〒920-0024石川県金沢市西念4丁目24-21</v>
      </c>
      <c r="B26" s="772"/>
      <c r="C26" s="772"/>
      <c r="D26" s="772"/>
      <c r="E26" s="772"/>
      <c r="F26" s="772"/>
      <c r="G26" s="346"/>
      <c r="H26" s="346"/>
      <c r="I26" s="4" t="s">
        <v>237</v>
      </c>
      <c r="K26" s="346"/>
    </row>
    <row r="27" spans="1:14" ht="19.5">
      <c r="A27" s="772" t="str">
        <f>"TEL：　"&amp;代理店入力用!N6</f>
        <v>TEL：　076-222-1111</v>
      </c>
      <c r="B27" s="772"/>
      <c r="C27" s="772"/>
      <c r="D27" s="772"/>
      <c r="E27" s="772"/>
      <c r="F27" s="772"/>
      <c r="G27" s="346"/>
      <c r="H27" s="346"/>
      <c r="I27" s="4" t="s">
        <v>238</v>
      </c>
    </row>
    <row r="28" spans="1:14" ht="19.5">
      <c r="A28" s="772" t="str">
        <f>"担当："&amp;代理店入力用!N7</f>
        <v>担当：</v>
      </c>
      <c r="B28" s="772"/>
      <c r="C28" s="772"/>
      <c r="D28" s="772"/>
      <c r="E28" s="772"/>
      <c r="F28" s="772"/>
      <c r="G28" s="346"/>
      <c r="H28" s="346"/>
      <c r="I28" s="4"/>
      <c r="N28" s="315"/>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55" zoomScaleNormal="120" zoomScaleSheetLayoutView="55" workbookViewId="0">
      <selection activeCell="I20" sqref="I20"/>
    </sheetView>
  </sheetViews>
  <sheetFormatPr defaultColWidth="3.625" defaultRowHeight="18.75"/>
  <cols>
    <col min="1" max="16384" width="3.625" style="12"/>
  </cols>
  <sheetData>
    <row r="1" spans="1:52" s="72" customFormat="1" ht="38.25">
      <c r="A1" s="773" t="s">
        <v>239</v>
      </c>
      <c r="B1" s="773"/>
      <c r="C1" s="773"/>
      <c r="D1" s="773"/>
      <c r="E1" s="773"/>
      <c r="F1" s="773"/>
      <c r="G1" s="773"/>
      <c r="H1" s="773"/>
      <c r="I1" s="773"/>
      <c r="J1" s="773"/>
      <c r="K1" s="773"/>
      <c r="L1" s="773"/>
      <c r="M1" s="773"/>
      <c r="N1" s="773"/>
      <c r="O1" s="773"/>
      <c r="P1" s="773"/>
      <c r="Q1" s="773"/>
      <c r="R1" s="773"/>
      <c r="S1" s="773"/>
      <c r="T1" s="773"/>
      <c r="U1" s="773"/>
      <c r="V1" s="773"/>
      <c r="W1" s="773"/>
      <c r="X1" s="773"/>
      <c r="Y1" s="773"/>
      <c r="Z1" s="773"/>
      <c r="AA1" s="773"/>
      <c r="AB1" s="773"/>
      <c r="AC1" s="773"/>
      <c r="AD1" s="773"/>
      <c r="AE1" s="773"/>
      <c r="AF1" s="773"/>
      <c r="AG1" s="773"/>
      <c r="AH1" s="773"/>
      <c r="AI1" s="773"/>
      <c r="AJ1" s="773"/>
      <c r="AK1" s="773"/>
      <c r="AL1" s="773"/>
      <c r="AM1" s="773"/>
      <c r="AN1" s="773"/>
      <c r="AO1" s="773"/>
      <c r="AP1" s="773"/>
      <c r="AQ1" s="773"/>
      <c r="AR1" s="773"/>
      <c r="AS1" s="773"/>
      <c r="AT1" s="773"/>
      <c r="AU1" s="773"/>
      <c r="AV1" s="773"/>
      <c r="AW1" s="773"/>
      <c r="AX1" s="773"/>
      <c r="AY1" s="773"/>
      <c r="AZ1" s="261"/>
    </row>
    <row r="2" spans="1:52" ht="21.95" customHeight="1">
      <c r="B2" s="12" t="s">
        <v>240</v>
      </c>
    </row>
    <row r="3" spans="1:52" ht="21.95" customHeight="1"/>
    <row r="4" spans="1:52" s="256" customFormat="1" ht="21.95" customHeight="1" thickBot="1">
      <c r="B4" s="259" t="s">
        <v>241</v>
      </c>
      <c r="C4" s="259"/>
      <c r="D4" s="259"/>
      <c r="E4" s="259"/>
      <c r="F4" s="259"/>
      <c r="G4" s="259"/>
      <c r="H4" s="259"/>
      <c r="I4" s="259"/>
      <c r="J4" s="259"/>
    </row>
    <row r="5" spans="1:52" ht="21.95" customHeight="1" thickTop="1"/>
    <row r="6" spans="1:52" s="258" customFormat="1" ht="21.95" customHeight="1">
      <c r="C6" s="260" t="s">
        <v>242</v>
      </c>
      <c r="D6" s="260"/>
      <c r="E6" s="260"/>
      <c r="F6" s="260"/>
      <c r="G6" s="260"/>
      <c r="H6" s="260"/>
      <c r="I6" s="260"/>
      <c r="J6" s="260"/>
      <c r="K6" s="260"/>
      <c r="L6" s="260"/>
      <c r="M6" s="260"/>
      <c r="N6" s="260"/>
      <c r="O6" s="260"/>
      <c r="P6" s="260"/>
      <c r="Q6" s="260"/>
      <c r="R6" s="260"/>
      <c r="S6" s="260"/>
      <c r="T6" s="260"/>
      <c r="U6" s="260"/>
      <c r="V6" s="260"/>
      <c r="W6" s="260"/>
      <c r="X6" s="260"/>
      <c r="Y6" s="260"/>
      <c r="Z6" s="260"/>
      <c r="AA6" s="260"/>
      <c r="AB6" s="260"/>
      <c r="AC6" s="260"/>
      <c r="AD6" s="260"/>
    </row>
    <row r="7" spans="1:52" s="257" customFormat="1" ht="21.95" customHeight="1">
      <c r="C7" s="12" t="s">
        <v>243</v>
      </c>
    </row>
    <row r="8" spans="1:52" ht="21.95" customHeight="1">
      <c r="C8" s="12" t="s">
        <v>244</v>
      </c>
    </row>
    <row r="9" spans="1:52" ht="21.95" customHeight="1"/>
    <row r="10" spans="1:52" s="256" customFormat="1" ht="21.95" customHeight="1" thickBot="1">
      <c r="B10" s="259" t="s">
        <v>245</v>
      </c>
      <c r="C10" s="259"/>
      <c r="D10" s="259"/>
      <c r="E10" s="259"/>
      <c r="F10" s="259"/>
      <c r="G10" s="259"/>
      <c r="H10" s="259"/>
      <c r="I10" s="259"/>
      <c r="J10" s="259"/>
    </row>
    <row r="11" spans="1:52" ht="21.95" customHeight="1" thickTop="1"/>
    <row r="12" spans="1:52" s="258" customFormat="1" ht="21.95" customHeight="1">
      <c r="C12" s="260" t="s">
        <v>246</v>
      </c>
      <c r="D12" s="260"/>
      <c r="E12" s="260"/>
      <c r="F12" s="260"/>
      <c r="G12" s="260"/>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row>
    <row r="13" spans="1:52" ht="21.95" customHeight="1">
      <c r="C13" s="12" t="s">
        <v>247</v>
      </c>
      <c r="M13" s="774">
        <f>☆入力!AR9</f>
        <v>2500</v>
      </c>
      <c r="N13" s="774"/>
      <c r="O13" s="774"/>
      <c r="P13" s="12" t="s">
        <v>248</v>
      </c>
    </row>
    <row r="14" spans="1:52">
      <c r="C14" s="12" t="s">
        <v>249</v>
      </c>
    </row>
    <row r="15" spans="1:52" ht="21.95" customHeight="1"/>
    <row r="16" spans="1:52" s="256" customFormat="1" ht="21.95" customHeight="1" thickBot="1">
      <c r="B16" s="704" t="s">
        <v>250</v>
      </c>
      <c r="C16" s="704"/>
      <c r="D16" s="704"/>
      <c r="E16" s="704"/>
      <c r="F16" s="704"/>
      <c r="G16" s="704"/>
      <c r="H16" s="704"/>
      <c r="I16" s="704"/>
    </row>
    <row r="17" spans="1:51" ht="21.95" customHeight="1" thickTop="1"/>
    <row r="18" spans="1:51" s="258" customFormat="1" ht="21.95" customHeight="1">
      <c r="A18" s="12"/>
      <c r="B18" s="12" t="s">
        <v>251</v>
      </c>
      <c r="C18" s="12"/>
      <c r="D18" s="12"/>
      <c r="E18" s="12"/>
      <c r="F18" s="12"/>
      <c r="G18" s="12"/>
      <c r="H18" s="12"/>
      <c r="I18" s="12"/>
      <c r="J18" s="12"/>
      <c r="K18" s="12"/>
      <c r="L18" s="12"/>
      <c r="M18" s="12"/>
      <c r="N18" s="12"/>
      <c r="O18" s="12"/>
      <c r="P18" s="12" t="s">
        <v>252</v>
      </c>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row>
    <row r="19" spans="1:51" ht="21.95" customHeight="1">
      <c r="B19" s="12" t="s">
        <v>253</v>
      </c>
      <c r="P19" s="12" t="s">
        <v>254</v>
      </c>
    </row>
    <row r="20" spans="1:51" ht="21.95" customHeight="1">
      <c r="P20" s="12" t="s">
        <v>255</v>
      </c>
    </row>
    <row r="21" spans="1:51" ht="21.95" customHeight="1">
      <c r="P21" s="12" t="s">
        <v>256</v>
      </c>
    </row>
    <row r="22" spans="1:51" ht="21.95" customHeight="1">
      <c r="P22" s="705" t="s">
        <v>257</v>
      </c>
    </row>
    <row r="23" spans="1:51" ht="21.95" customHeight="1"/>
    <row r="24" spans="1:51" s="256" customFormat="1" ht="21.95" customHeight="1" thickBot="1">
      <c r="B24" s="259" t="s">
        <v>258</v>
      </c>
      <c r="C24" s="259"/>
      <c r="D24" s="259"/>
      <c r="E24" s="259"/>
      <c r="F24" s="259"/>
      <c r="G24" s="259"/>
      <c r="H24" s="259"/>
      <c r="I24" s="259"/>
      <c r="J24" s="259"/>
    </row>
    <row r="25" spans="1:51" ht="21.95" customHeight="1" thickTop="1"/>
    <row r="26" spans="1:51" ht="21.95" customHeight="1">
      <c r="C26" s="12" t="s">
        <v>259</v>
      </c>
    </row>
    <row r="27" spans="1:51" ht="21.95" customHeight="1">
      <c r="C27" s="12" t="s">
        <v>260</v>
      </c>
    </row>
    <row r="28" spans="1:51" s="258" customFormat="1" ht="21.95" customHeight="1">
      <c r="C28" s="260" t="s">
        <v>261</v>
      </c>
      <c r="D28" s="260"/>
      <c r="E28" s="260"/>
      <c r="F28" s="260"/>
      <c r="G28" s="260"/>
      <c r="H28" s="260"/>
      <c r="I28" s="260"/>
      <c r="J28" s="260"/>
      <c r="K28" s="260"/>
      <c r="L28" s="260"/>
      <c r="M28" s="260"/>
      <c r="N28" s="260"/>
      <c r="O28" s="260"/>
      <c r="P28" s="260"/>
      <c r="Q28" s="260"/>
      <c r="R28" s="260"/>
      <c r="S28" s="260"/>
      <c r="T28" s="260"/>
      <c r="U28" s="260"/>
      <c r="V28" s="260"/>
      <c r="W28" s="260"/>
      <c r="X28" s="260"/>
      <c r="Y28" s="260"/>
      <c r="Z28" s="260"/>
      <c r="AA28" s="260"/>
    </row>
    <row r="29" spans="1:51" ht="21.95" customHeight="1"/>
    <row r="30" spans="1:51" s="256" customFormat="1" ht="21.95" customHeight="1" thickBot="1">
      <c r="B30" s="259" t="s">
        <v>262</v>
      </c>
      <c r="C30" s="259"/>
      <c r="D30" s="259"/>
      <c r="E30" s="259"/>
      <c r="F30" s="259"/>
      <c r="G30" s="259"/>
      <c r="H30" s="259"/>
      <c r="I30" s="259"/>
      <c r="J30" s="259"/>
      <c r="K30" s="259"/>
      <c r="L30" s="259"/>
      <c r="M30" s="259"/>
    </row>
    <row r="31" spans="1:51" ht="21.95" customHeight="1" thickTop="1"/>
    <row r="32" spans="1:51" s="257" customFormat="1" ht="21.95" customHeight="1">
      <c r="C32" s="260" t="s">
        <v>263</v>
      </c>
      <c r="D32" s="260"/>
      <c r="E32" s="260"/>
      <c r="F32" s="260"/>
      <c r="G32" s="260"/>
      <c r="H32" s="260"/>
      <c r="I32" s="260"/>
      <c r="J32" s="260"/>
      <c r="K32" s="260"/>
      <c r="L32" s="260"/>
      <c r="M32" s="260"/>
      <c r="N32" s="260"/>
      <c r="O32" s="260"/>
      <c r="P32" s="260"/>
      <c r="Q32" s="260"/>
      <c r="R32" s="260"/>
      <c r="S32" s="260"/>
      <c r="T32" s="260"/>
      <c r="U32" s="260"/>
      <c r="V32" s="260"/>
      <c r="W32" s="260"/>
      <c r="X32" s="260"/>
      <c r="Y32" s="260"/>
      <c r="Z32" s="260"/>
      <c r="AA32" s="260"/>
      <c r="AB32" s="260"/>
      <c r="AC32" s="260"/>
      <c r="AD32" s="260"/>
      <c r="AE32" s="260"/>
      <c r="AF32" s="260"/>
      <c r="AG32" s="260"/>
      <c r="AH32" s="260"/>
      <c r="AI32" s="260"/>
      <c r="AY32" s="257">
        <v>2</v>
      </c>
    </row>
  </sheetData>
  <mergeCells count="2">
    <mergeCell ref="A1:AY1"/>
    <mergeCell ref="M13:O13"/>
  </mergeCells>
  <phoneticPr fontId="2"/>
  <printOptions horizontalCentered="1"/>
  <pageMargins left="0" right="0" top="0.59055118110236227" bottom="0.19685039370078741" header="0.31496062992125984" footer="0.31496062992125984"/>
  <pageSetup paperSize="9" scale="7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BQ50" sqref="BQ50"/>
    </sheetView>
  </sheetViews>
  <sheetFormatPr defaultColWidth="3.5" defaultRowHeight="21" customHeight="1" outlineLevelRow="1"/>
  <cols>
    <col min="1" max="2" width="3.5" style="1"/>
    <col min="3" max="13" width="3.5" style="2"/>
    <col min="14" max="16384" width="3.5" style="1"/>
  </cols>
  <sheetData>
    <row r="1" spans="1:57" ht="38.25">
      <c r="A1" s="803" t="s">
        <v>264</v>
      </c>
      <c r="B1" s="803"/>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03"/>
      <c r="AN1" s="803"/>
      <c r="AO1" s="803"/>
      <c r="AP1" s="803"/>
      <c r="AQ1" s="803"/>
      <c r="AR1" s="803"/>
      <c r="AS1" s="803"/>
      <c r="AT1" s="803"/>
      <c r="AU1" s="803"/>
      <c r="AV1" s="803"/>
      <c r="AW1" s="803"/>
      <c r="AX1" s="803"/>
      <c r="AY1" s="803"/>
      <c r="AZ1" s="803"/>
      <c r="BA1" s="803"/>
      <c r="BB1" s="803"/>
      <c r="BC1" s="803"/>
      <c r="BD1" s="803"/>
      <c r="BE1" s="54"/>
    </row>
    <row r="2" spans="1:57" ht="21" customHeight="1" thickBot="1">
      <c r="A2" s="471"/>
      <c r="B2" s="471"/>
      <c r="C2" s="471"/>
      <c r="D2" s="471"/>
      <c r="E2" s="471"/>
      <c r="F2" s="471"/>
      <c r="G2" s="471"/>
      <c r="H2" s="471"/>
      <c r="I2" s="471"/>
      <c r="J2" s="471"/>
      <c r="K2" s="471"/>
      <c r="L2" s="471"/>
      <c r="M2" s="471"/>
      <c r="N2" s="471"/>
      <c r="O2" s="471"/>
      <c r="P2" s="471"/>
      <c r="Q2" s="471"/>
      <c r="R2" s="471"/>
      <c r="S2" s="471"/>
      <c r="T2" s="471"/>
      <c r="U2" s="471"/>
      <c r="V2" s="471"/>
      <c r="W2" s="471"/>
      <c r="X2" s="471"/>
      <c r="Y2" s="471"/>
      <c r="Z2" s="471"/>
      <c r="AA2" s="471"/>
      <c r="AB2" s="471"/>
      <c r="AC2" s="471"/>
      <c r="AD2" s="471"/>
      <c r="AE2" s="471"/>
      <c r="AF2" s="471"/>
      <c r="AG2" s="471"/>
      <c r="AH2" s="471"/>
      <c r="AI2" s="471"/>
      <c r="AJ2" s="471"/>
      <c r="AK2" s="471"/>
      <c r="AL2" s="471"/>
      <c r="AM2" s="471"/>
      <c r="AN2" s="471"/>
      <c r="AO2" s="471"/>
      <c r="AP2" s="471"/>
      <c r="AQ2" s="471"/>
      <c r="AR2" s="471"/>
      <c r="AS2" s="471"/>
      <c r="AT2" s="471"/>
      <c r="AU2" s="471"/>
      <c r="AV2" s="471"/>
      <c r="AW2" s="471"/>
      <c r="AX2" s="471"/>
      <c r="AY2" s="471"/>
      <c r="AZ2" s="471"/>
      <c r="BA2" s="471"/>
      <c r="BB2" s="471"/>
      <c r="BC2" s="471"/>
      <c r="BD2" s="471"/>
      <c r="BE2" s="54"/>
    </row>
    <row r="3" spans="1:57" s="3" customFormat="1" ht="23.1" customHeight="1" thickTop="1">
      <c r="R3" s="838" t="s">
        <v>265</v>
      </c>
      <c r="S3" s="839"/>
      <c r="T3" s="839"/>
      <c r="U3" s="839"/>
      <c r="V3" s="839"/>
      <c r="W3" s="839"/>
      <c r="X3" s="839"/>
      <c r="Y3" s="839"/>
      <c r="Z3" s="839"/>
      <c r="AA3" s="839"/>
      <c r="AB3" s="840"/>
      <c r="AC3" s="59"/>
      <c r="AD3" s="59"/>
      <c r="AE3" s="59"/>
      <c r="AF3" s="844" t="s">
        <v>266</v>
      </c>
      <c r="AG3" s="845"/>
      <c r="AH3" s="845"/>
      <c r="AI3" s="845"/>
      <c r="AJ3" s="845"/>
      <c r="AK3" s="845"/>
      <c r="AL3" s="845"/>
      <c r="AM3" s="845"/>
      <c r="AN3" s="845"/>
      <c r="AO3" s="845"/>
      <c r="AP3" s="845"/>
      <c r="AQ3" s="845"/>
      <c r="AR3" s="845"/>
      <c r="AS3" s="845"/>
      <c r="AT3" s="845"/>
      <c r="AU3" s="845"/>
      <c r="AV3" s="845"/>
      <c r="AW3" s="845"/>
      <c r="AX3" s="845"/>
      <c r="AY3" s="845"/>
      <c r="AZ3" s="845"/>
      <c r="BA3" s="846"/>
      <c r="BB3" s="59"/>
      <c r="BC3" s="59"/>
      <c r="BD3" s="59"/>
    </row>
    <row r="4" spans="1:57" s="12" customFormat="1" ht="21" customHeight="1" thickBot="1">
      <c r="B4" s="11"/>
      <c r="C4" s="11"/>
      <c r="D4" s="11"/>
      <c r="E4" s="11"/>
      <c r="F4" s="11"/>
      <c r="G4" s="11"/>
      <c r="H4" s="11"/>
      <c r="I4" s="11"/>
      <c r="J4" s="11"/>
      <c r="K4" s="11"/>
      <c r="L4" s="11"/>
      <c r="M4" s="11"/>
      <c r="N4" s="11"/>
      <c r="O4" s="11"/>
      <c r="P4" s="11"/>
      <c r="Q4" s="11"/>
      <c r="R4" s="841"/>
      <c r="S4" s="842"/>
      <c r="T4" s="842"/>
      <c r="U4" s="842"/>
      <c r="V4" s="842"/>
      <c r="W4" s="842"/>
      <c r="X4" s="842"/>
      <c r="Y4" s="842"/>
      <c r="Z4" s="842"/>
      <c r="AA4" s="842"/>
      <c r="AB4" s="843"/>
      <c r="AD4" s="65"/>
      <c r="AF4" s="847"/>
      <c r="AG4" s="848"/>
      <c r="AH4" s="848"/>
      <c r="AI4" s="848"/>
      <c r="AJ4" s="848"/>
      <c r="AK4" s="848"/>
      <c r="AL4" s="848"/>
      <c r="AM4" s="848"/>
      <c r="AN4" s="848"/>
      <c r="AO4" s="848"/>
      <c r="AP4" s="848"/>
      <c r="AQ4" s="848"/>
      <c r="AR4" s="848"/>
      <c r="AS4" s="848"/>
      <c r="AT4" s="848"/>
      <c r="AU4" s="848"/>
      <c r="AV4" s="848"/>
      <c r="AW4" s="848"/>
      <c r="AX4" s="848"/>
      <c r="AY4" s="848"/>
      <c r="AZ4" s="848"/>
      <c r="BA4" s="849"/>
    </row>
    <row r="5" spans="1:57"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Top="1">
      <c r="A6" s="829" t="s">
        <v>267</v>
      </c>
      <c r="B6" s="833"/>
      <c r="C6" s="834" t="str">
        <f>LED計算式!M32</f>
        <v>試算エリア</v>
      </c>
      <c r="D6" s="835"/>
      <c r="E6" s="835"/>
      <c r="F6" s="836"/>
      <c r="G6" s="797" t="s">
        <v>268</v>
      </c>
      <c r="H6" s="797"/>
      <c r="I6" s="797"/>
      <c r="J6" s="797"/>
      <c r="K6" s="797"/>
      <c r="L6" s="799" t="s">
        <v>269</v>
      </c>
      <c r="M6" s="799"/>
      <c r="N6" s="799"/>
      <c r="O6" s="799"/>
      <c r="P6" s="828" t="s">
        <v>161</v>
      </c>
      <c r="Q6" s="829"/>
      <c r="R6" s="830" t="s">
        <v>82</v>
      </c>
      <c r="S6" s="830"/>
      <c r="T6" s="830"/>
      <c r="U6" s="831" t="s">
        <v>270</v>
      </c>
      <c r="V6" s="831"/>
      <c r="W6" s="831"/>
      <c r="X6" s="831"/>
      <c r="Y6" s="832" t="s">
        <v>271</v>
      </c>
      <c r="Z6" s="832"/>
      <c r="AA6" s="832"/>
      <c r="AB6" s="832"/>
      <c r="AD6" s="63"/>
      <c r="AF6" s="804" t="s">
        <v>272</v>
      </c>
      <c r="AG6" s="804"/>
      <c r="AH6" s="804"/>
      <c r="AI6" s="804"/>
      <c r="AJ6" s="804"/>
      <c r="AK6" s="804"/>
      <c r="AL6" s="804"/>
      <c r="AM6" s="804"/>
      <c r="AN6" s="804"/>
      <c r="AO6" s="804"/>
      <c r="AP6" s="804"/>
      <c r="AQ6" s="804"/>
      <c r="AR6" s="804"/>
      <c r="AS6" s="821">
        <f>Y39*120</f>
        <v>0</v>
      </c>
      <c r="AT6" s="822"/>
      <c r="AU6" s="822"/>
      <c r="AV6" s="822"/>
      <c r="AW6" s="822"/>
      <c r="AX6" s="822"/>
      <c r="AY6" s="822"/>
      <c r="AZ6" s="822"/>
      <c r="BA6" s="823"/>
    </row>
    <row r="7" spans="1:57"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04"/>
      <c r="AG7" s="804"/>
      <c r="AH7" s="804"/>
      <c r="AI7" s="804"/>
      <c r="AJ7" s="804"/>
      <c r="AK7" s="804"/>
      <c r="AL7" s="804"/>
      <c r="AM7" s="804"/>
      <c r="AN7" s="804"/>
      <c r="AO7" s="804"/>
      <c r="AP7" s="804"/>
      <c r="AQ7" s="804"/>
      <c r="AR7" s="804"/>
      <c r="AS7" s="824"/>
      <c r="AT7" s="825"/>
      <c r="AU7" s="825"/>
      <c r="AV7" s="825"/>
      <c r="AW7" s="825"/>
      <c r="AX7" s="825"/>
      <c r="AY7" s="825"/>
      <c r="AZ7" s="825"/>
      <c r="BA7" s="826"/>
    </row>
    <row r="8" spans="1:57" s="3" customFormat="1" ht="21" customHeight="1" thickTop="1">
      <c r="A8" s="837">
        <v>1</v>
      </c>
      <c r="B8" s="837"/>
      <c r="C8" s="798">
        <f>IF($C$6=☆入力!$B$15,☆入力!$B16,☆入力!$C16)</f>
        <v>0</v>
      </c>
      <c r="D8" s="798"/>
      <c r="E8" s="798"/>
      <c r="F8" s="798"/>
      <c r="G8" s="798">
        <f>☆入力!D16</f>
        <v>0</v>
      </c>
      <c r="H8" s="798"/>
      <c r="I8" s="798"/>
      <c r="J8" s="798"/>
      <c r="K8" s="798"/>
      <c r="L8" s="802">
        <f>☆入力!H16</f>
        <v>0</v>
      </c>
      <c r="M8" s="802"/>
      <c r="N8" s="802"/>
      <c r="O8" s="802"/>
      <c r="P8" s="851">
        <f>☆入力!L16</f>
        <v>0</v>
      </c>
      <c r="Q8" s="852"/>
      <c r="R8" s="853">
        <f>☆入力!K16</f>
        <v>0</v>
      </c>
      <c r="S8" s="853"/>
      <c r="T8" s="853"/>
      <c r="U8" s="854">
        <f>☆入力!W16</f>
        <v>0</v>
      </c>
      <c r="V8" s="854"/>
      <c r="W8" s="854"/>
      <c r="X8" s="854"/>
      <c r="Y8" s="855">
        <f>☆入力!Y16</f>
        <v>0</v>
      </c>
      <c r="Z8" s="855"/>
      <c r="AA8" s="855"/>
      <c r="AB8" s="855"/>
      <c r="AD8" s="62"/>
      <c r="AF8" s="52"/>
      <c r="AG8" s="66" t="s">
        <v>273</v>
      </c>
      <c r="AH8" s="66"/>
      <c r="AI8" s="66"/>
      <c r="AJ8" s="66"/>
      <c r="AK8" s="66"/>
      <c r="AL8" s="66"/>
      <c r="AM8" s="66"/>
      <c r="AN8" s="13"/>
      <c r="AO8" s="800">
        <f>Y39</f>
        <v>0</v>
      </c>
      <c r="AP8" s="800"/>
      <c r="AQ8" s="800"/>
      <c r="AR8" s="800"/>
      <c r="AS8" s="66" t="s">
        <v>274</v>
      </c>
      <c r="AT8" s="66"/>
      <c r="AU8" s="66"/>
      <c r="AV8" s="66"/>
      <c r="AW8" s="66"/>
      <c r="AX8" s="66"/>
      <c r="AY8" s="66"/>
      <c r="AZ8" s="66"/>
      <c r="BA8" s="66"/>
    </row>
    <row r="9" spans="1:57" s="3" customFormat="1" ht="21" customHeight="1">
      <c r="A9" s="786">
        <v>2</v>
      </c>
      <c r="B9" s="786"/>
      <c r="C9" s="787">
        <f>IF($C$6=☆入力!$B$15,☆入力!$B17,☆入力!$C17)</f>
        <v>0</v>
      </c>
      <c r="D9" s="788"/>
      <c r="E9" s="788"/>
      <c r="F9" s="789"/>
      <c r="G9" s="790">
        <f>☆入力!D17</f>
        <v>0</v>
      </c>
      <c r="H9" s="790"/>
      <c r="I9" s="790"/>
      <c r="J9" s="790"/>
      <c r="K9" s="790"/>
      <c r="L9" s="791">
        <f>☆入力!H17</f>
        <v>0</v>
      </c>
      <c r="M9" s="791"/>
      <c r="N9" s="791"/>
      <c r="O9" s="791"/>
      <c r="P9" s="792">
        <f>☆入力!L17</f>
        <v>0</v>
      </c>
      <c r="Q9" s="793"/>
      <c r="R9" s="794">
        <f>☆入力!K17</f>
        <v>0</v>
      </c>
      <c r="S9" s="794"/>
      <c r="T9" s="794"/>
      <c r="U9" s="795">
        <f>☆入力!W17</f>
        <v>0</v>
      </c>
      <c r="V9" s="795"/>
      <c r="W9" s="795"/>
      <c r="X9" s="795"/>
      <c r="Y9" s="796">
        <f>☆入力!Y17</f>
        <v>0</v>
      </c>
      <c r="Z9" s="796"/>
      <c r="AA9" s="796"/>
      <c r="AB9" s="796"/>
      <c r="AD9" s="62"/>
      <c r="AS9" s="827" t="s">
        <v>275</v>
      </c>
      <c r="AT9" s="827"/>
      <c r="AU9" s="827"/>
      <c r="AV9" s="827"/>
      <c r="AW9" s="827"/>
      <c r="AX9" s="827"/>
      <c r="AY9" s="827"/>
      <c r="AZ9" s="827"/>
      <c r="BA9" s="827"/>
    </row>
    <row r="10" spans="1:57" s="3" customFormat="1" ht="21" customHeight="1">
      <c r="A10" s="786">
        <v>3</v>
      </c>
      <c r="B10" s="786"/>
      <c r="C10" s="787">
        <f>IF($C$6=☆入力!$B$15,☆入力!$B18,☆入力!$C18)</f>
        <v>0</v>
      </c>
      <c r="D10" s="788"/>
      <c r="E10" s="788"/>
      <c r="F10" s="789"/>
      <c r="G10" s="790">
        <f>☆入力!D18</f>
        <v>0</v>
      </c>
      <c r="H10" s="790"/>
      <c r="I10" s="790"/>
      <c r="J10" s="790"/>
      <c r="K10" s="790"/>
      <c r="L10" s="791">
        <f>☆入力!H18</f>
        <v>0</v>
      </c>
      <c r="M10" s="791"/>
      <c r="N10" s="791"/>
      <c r="O10" s="791"/>
      <c r="P10" s="792">
        <f>☆入力!L18</f>
        <v>0</v>
      </c>
      <c r="Q10" s="793"/>
      <c r="R10" s="794">
        <f>☆入力!K18</f>
        <v>0</v>
      </c>
      <c r="S10" s="794"/>
      <c r="T10" s="794"/>
      <c r="U10" s="795">
        <f>☆入力!W18</f>
        <v>0</v>
      </c>
      <c r="V10" s="795"/>
      <c r="W10" s="795"/>
      <c r="X10" s="795"/>
      <c r="Y10" s="796">
        <f>☆入力!Y18</f>
        <v>0</v>
      </c>
      <c r="Z10" s="796"/>
      <c r="AA10" s="796"/>
      <c r="AB10" s="796"/>
      <c r="AD10" s="62"/>
      <c r="AS10" s="827"/>
      <c r="AT10" s="827"/>
      <c r="AU10" s="827"/>
      <c r="AV10" s="827"/>
      <c r="AW10" s="827"/>
      <c r="AX10" s="827"/>
      <c r="AY10" s="827"/>
      <c r="AZ10" s="827"/>
      <c r="BA10" s="827"/>
    </row>
    <row r="11" spans="1:57" s="3" customFormat="1" ht="21" customHeight="1">
      <c r="A11" s="786">
        <v>4</v>
      </c>
      <c r="B11" s="786"/>
      <c r="C11" s="787">
        <f>IF($C$6=☆入力!$B$15,☆入力!$B19,☆入力!$C19)</f>
        <v>0</v>
      </c>
      <c r="D11" s="788"/>
      <c r="E11" s="788"/>
      <c r="F11" s="789"/>
      <c r="G11" s="790">
        <f>☆入力!D19</f>
        <v>0</v>
      </c>
      <c r="H11" s="790"/>
      <c r="I11" s="790"/>
      <c r="J11" s="790"/>
      <c r="K11" s="790"/>
      <c r="L11" s="791">
        <f>☆入力!H19</f>
        <v>0</v>
      </c>
      <c r="M11" s="791"/>
      <c r="N11" s="791"/>
      <c r="O11" s="791"/>
      <c r="P11" s="792">
        <f>☆入力!L19</f>
        <v>0</v>
      </c>
      <c r="Q11" s="793"/>
      <c r="R11" s="794">
        <f>☆入力!K19</f>
        <v>0</v>
      </c>
      <c r="S11" s="794"/>
      <c r="T11" s="794"/>
      <c r="U11" s="795">
        <f>☆入力!W19</f>
        <v>0</v>
      </c>
      <c r="V11" s="795"/>
      <c r="W11" s="795"/>
      <c r="X11" s="795"/>
      <c r="Y11" s="796">
        <f>☆入力!Y19</f>
        <v>0</v>
      </c>
      <c r="Z11" s="796"/>
      <c r="AA11" s="796"/>
      <c r="AB11" s="796"/>
      <c r="AD11" s="62"/>
      <c r="AF11" s="804" t="s">
        <v>276</v>
      </c>
      <c r="AG11" s="804"/>
      <c r="AH11" s="804"/>
      <c r="AI11" s="804"/>
      <c r="AJ11" s="804"/>
      <c r="AK11" s="804"/>
      <c r="AL11" s="804"/>
      <c r="AM11" s="804"/>
      <c r="AN11" s="804"/>
      <c r="AO11" s="804"/>
      <c r="AP11" s="804"/>
      <c r="AQ11" s="804"/>
      <c r="AR11" s="804"/>
      <c r="AS11" s="804"/>
      <c r="AT11" s="804"/>
      <c r="AU11" s="804"/>
      <c r="AV11" s="804"/>
      <c r="AW11" s="804"/>
      <c r="AX11" s="804"/>
      <c r="AY11" s="804"/>
      <c r="AZ11" s="804"/>
      <c r="BA11" s="804"/>
    </row>
    <row r="12" spans="1:57" s="3" customFormat="1" ht="21" customHeight="1" thickBot="1">
      <c r="A12" s="786">
        <v>5</v>
      </c>
      <c r="B12" s="786"/>
      <c r="C12" s="787">
        <f>IF($C$6=☆入力!$B$15,☆入力!$B20,☆入力!$C20)</f>
        <v>0</v>
      </c>
      <c r="D12" s="788"/>
      <c r="E12" s="788"/>
      <c r="F12" s="789"/>
      <c r="G12" s="790">
        <f>☆入力!D20</f>
        <v>0</v>
      </c>
      <c r="H12" s="790"/>
      <c r="I12" s="790"/>
      <c r="J12" s="790"/>
      <c r="K12" s="790"/>
      <c r="L12" s="791">
        <f>☆入力!H20</f>
        <v>0</v>
      </c>
      <c r="M12" s="791"/>
      <c r="N12" s="791"/>
      <c r="O12" s="791"/>
      <c r="P12" s="792">
        <f>☆入力!L20</f>
        <v>0</v>
      </c>
      <c r="Q12" s="793"/>
      <c r="R12" s="794">
        <f>☆入力!K20</f>
        <v>0</v>
      </c>
      <c r="S12" s="794"/>
      <c r="T12" s="794"/>
      <c r="U12" s="795">
        <f>☆入力!W20</f>
        <v>0</v>
      </c>
      <c r="V12" s="795"/>
      <c r="W12" s="795"/>
      <c r="X12" s="795"/>
      <c r="Y12" s="796">
        <f>☆入力!Y20</f>
        <v>0</v>
      </c>
      <c r="Z12" s="796"/>
      <c r="AA12" s="796"/>
      <c r="AB12" s="796"/>
      <c r="AD12" s="62"/>
      <c r="AF12" s="804"/>
      <c r="AG12" s="804"/>
      <c r="AH12" s="804"/>
      <c r="AI12" s="804"/>
      <c r="AJ12" s="804"/>
      <c r="AK12" s="804"/>
      <c r="AL12" s="804"/>
      <c r="AM12" s="804"/>
      <c r="AN12" s="804"/>
      <c r="AO12" s="804"/>
      <c r="AP12" s="804"/>
      <c r="AQ12" s="804"/>
      <c r="AR12" s="804"/>
      <c r="AS12" s="804"/>
      <c r="AT12" s="804"/>
      <c r="AU12" s="804"/>
      <c r="AV12" s="804"/>
      <c r="AW12" s="804"/>
      <c r="AX12" s="804"/>
      <c r="AY12" s="804"/>
      <c r="AZ12" s="804"/>
      <c r="BA12" s="804"/>
    </row>
    <row r="13" spans="1:57" s="3" customFormat="1" ht="21" customHeight="1" thickTop="1">
      <c r="A13" s="786">
        <v>6</v>
      </c>
      <c r="B13" s="786"/>
      <c r="C13" s="787">
        <f>IF($C$6=☆入力!$B$15,☆入力!$B21,☆入力!$C21)</f>
        <v>0</v>
      </c>
      <c r="D13" s="788"/>
      <c r="E13" s="788"/>
      <c r="F13" s="789"/>
      <c r="G13" s="790">
        <f>☆入力!D21</f>
        <v>0</v>
      </c>
      <c r="H13" s="790"/>
      <c r="I13" s="790"/>
      <c r="J13" s="790"/>
      <c r="K13" s="790"/>
      <c r="L13" s="791">
        <f>☆入力!H21</f>
        <v>0</v>
      </c>
      <c r="M13" s="791"/>
      <c r="N13" s="791"/>
      <c r="O13" s="791"/>
      <c r="P13" s="792">
        <f>☆入力!L21</f>
        <v>0</v>
      </c>
      <c r="Q13" s="793"/>
      <c r="R13" s="794">
        <f>☆入力!K21</f>
        <v>0</v>
      </c>
      <c r="S13" s="794"/>
      <c r="T13" s="794"/>
      <c r="U13" s="795">
        <f>☆入力!W21</f>
        <v>0</v>
      </c>
      <c r="V13" s="795"/>
      <c r="W13" s="795"/>
      <c r="X13" s="795"/>
      <c r="Y13" s="796">
        <f>☆入力!Y21</f>
        <v>0</v>
      </c>
      <c r="Z13" s="796"/>
      <c r="AA13" s="796"/>
      <c r="AB13" s="796"/>
      <c r="AD13" s="62"/>
      <c r="AS13" s="821">
        <f>(AN15*☆入力!AR9*7)+(AN16*☆入力!AR9*15)</f>
        <v>0</v>
      </c>
      <c r="AT13" s="822"/>
      <c r="AU13" s="822"/>
      <c r="AV13" s="822"/>
      <c r="AW13" s="822"/>
      <c r="AX13" s="822"/>
      <c r="AY13" s="822"/>
      <c r="AZ13" s="822"/>
      <c r="BA13" s="823"/>
    </row>
    <row r="14" spans="1:57" s="3" customFormat="1" ht="21" customHeight="1" thickBot="1">
      <c r="A14" s="786">
        <v>7</v>
      </c>
      <c r="B14" s="786"/>
      <c r="C14" s="787">
        <f>IF($C$6=☆入力!$B$15,☆入力!$B22,☆入力!$C22)</f>
        <v>0</v>
      </c>
      <c r="D14" s="788"/>
      <c r="E14" s="788"/>
      <c r="F14" s="789"/>
      <c r="G14" s="790">
        <f>☆入力!D22</f>
        <v>0</v>
      </c>
      <c r="H14" s="790"/>
      <c r="I14" s="790"/>
      <c r="J14" s="790"/>
      <c r="K14" s="790"/>
      <c r="L14" s="791">
        <f>☆入力!H22</f>
        <v>0</v>
      </c>
      <c r="M14" s="791"/>
      <c r="N14" s="791"/>
      <c r="O14" s="791"/>
      <c r="P14" s="792">
        <f>☆入力!L22</f>
        <v>0</v>
      </c>
      <c r="Q14" s="793"/>
      <c r="R14" s="794">
        <f>☆入力!K22</f>
        <v>0</v>
      </c>
      <c r="S14" s="794"/>
      <c r="T14" s="794"/>
      <c r="U14" s="795">
        <f>☆入力!W22</f>
        <v>0</v>
      </c>
      <c r="V14" s="795"/>
      <c r="W14" s="795"/>
      <c r="X14" s="795"/>
      <c r="Y14" s="796">
        <f>☆入力!Y22</f>
        <v>0</v>
      </c>
      <c r="Z14" s="796"/>
      <c r="AA14" s="796"/>
      <c r="AB14" s="796"/>
      <c r="AD14" s="62"/>
      <c r="AS14" s="824"/>
      <c r="AT14" s="825"/>
      <c r="AU14" s="825"/>
      <c r="AV14" s="825"/>
      <c r="AW14" s="825"/>
      <c r="AX14" s="825"/>
      <c r="AY14" s="825"/>
      <c r="AZ14" s="825"/>
      <c r="BA14" s="826"/>
    </row>
    <row r="15" spans="1:57" s="3" customFormat="1" ht="21" customHeight="1" thickTop="1">
      <c r="A15" s="786">
        <v>8</v>
      </c>
      <c r="B15" s="786"/>
      <c r="C15" s="787">
        <f>IF($C$6=☆入力!$B$15,☆入力!$B23,☆入力!$C23)</f>
        <v>0</v>
      </c>
      <c r="D15" s="788"/>
      <c r="E15" s="788"/>
      <c r="F15" s="789"/>
      <c r="G15" s="790">
        <f>☆入力!D23</f>
        <v>0</v>
      </c>
      <c r="H15" s="790"/>
      <c r="I15" s="790"/>
      <c r="J15" s="790"/>
      <c r="K15" s="790"/>
      <c r="L15" s="791">
        <f>☆入力!H23</f>
        <v>0</v>
      </c>
      <c r="M15" s="791"/>
      <c r="N15" s="791"/>
      <c r="O15" s="791"/>
      <c r="P15" s="792">
        <f>☆入力!L23</f>
        <v>0</v>
      </c>
      <c r="Q15" s="793"/>
      <c r="R15" s="794">
        <f>☆入力!K23</f>
        <v>0</v>
      </c>
      <c r="S15" s="794"/>
      <c r="T15" s="794"/>
      <c r="U15" s="795">
        <f>☆入力!W23</f>
        <v>0</v>
      </c>
      <c r="V15" s="795"/>
      <c r="W15" s="795"/>
      <c r="X15" s="795"/>
      <c r="Y15" s="796">
        <f>☆入力!Y23</f>
        <v>0</v>
      </c>
      <c r="Z15" s="796"/>
      <c r="AA15" s="796"/>
      <c r="AB15" s="796"/>
      <c r="AD15" s="62"/>
      <c r="AG15" s="66" t="s">
        <v>277</v>
      </c>
      <c r="AH15" s="66"/>
      <c r="AI15" s="66"/>
      <c r="AJ15" s="66"/>
      <c r="AK15" s="66"/>
      <c r="AL15" s="66"/>
      <c r="AN15" s="801">
        <f>LED計算式!N16</f>
        <v>0</v>
      </c>
      <c r="AO15" s="801"/>
      <c r="AP15" s="801"/>
      <c r="AQ15" s="66" t="str">
        <f>"× "&amp;TEXT(☆入力!AR9,"#,#00")&amp;"円（※1）× 7回（※2）"</f>
        <v>× 2,500円（※1）× 7回（※2）</v>
      </c>
      <c r="AS15" s="66"/>
      <c r="AT15" s="66"/>
      <c r="AU15" s="66"/>
      <c r="AV15" s="66"/>
      <c r="AW15" s="66"/>
      <c r="AX15" s="66"/>
      <c r="AY15" s="66"/>
      <c r="AZ15" s="66"/>
      <c r="BA15" s="66"/>
    </row>
    <row r="16" spans="1:57" s="3" customFormat="1" ht="21" customHeight="1">
      <c r="A16" s="786">
        <v>9</v>
      </c>
      <c r="B16" s="786"/>
      <c r="C16" s="787">
        <f>IF($C$6=☆入力!$B$15,☆入力!$B24,☆入力!$C24)</f>
        <v>0</v>
      </c>
      <c r="D16" s="788"/>
      <c r="E16" s="788"/>
      <c r="F16" s="789"/>
      <c r="G16" s="790">
        <f>☆入力!D24</f>
        <v>0</v>
      </c>
      <c r="H16" s="790"/>
      <c r="I16" s="790"/>
      <c r="J16" s="790"/>
      <c r="K16" s="790"/>
      <c r="L16" s="791">
        <f>☆入力!H24</f>
        <v>0</v>
      </c>
      <c r="M16" s="791"/>
      <c r="N16" s="791"/>
      <c r="O16" s="791"/>
      <c r="P16" s="792">
        <f>☆入力!L24</f>
        <v>0</v>
      </c>
      <c r="Q16" s="793"/>
      <c r="R16" s="794">
        <f>☆入力!K24</f>
        <v>0</v>
      </c>
      <c r="S16" s="794"/>
      <c r="T16" s="794"/>
      <c r="U16" s="795">
        <f>☆入力!W24</f>
        <v>0</v>
      </c>
      <c r="V16" s="795"/>
      <c r="W16" s="795"/>
      <c r="X16" s="795"/>
      <c r="Y16" s="796">
        <f>☆入力!Y24</f>
        <v>0</v>
      </c>
      <c r="Z16" s="796"/>
      <c r="AA16" s="796"/>
      <c r="AB16" s="796"/>
      <c r="AD16" s="62"/>
      <c r="AG16" s="66" t="s">
        <v>278</v>
      </c>
      <c r="AN16" s="801">
        <f>LED計算式!N17</f>
        <v>0</v>
      </c>
      <c r="AO16" s="801"/>
      <c r="AP16" s="801"/>
      <c r="AQ16" s="66" t="str">
        <f>"× "&amp;TEXT(☆入力!AR9,"#,#00")&amp;"円（※1）× 15回（※3）"</f>
        <v>× 2,500円（※1）× 15回（※3）</v>
      </c>
      <c r="AS16" s="66"/>
      <c r="AT16" s="66"/>
      <c r="AU16" s="66"/>
      <c r="AV16" s="66"/>
      <c r="AW16" s="66"/>
      <c r="AX16" s="66"/>
      <c r="AY16" s="66"/>
    </row>
    <row r="17" spans="1:53" s="3" customFormat="1" ht="21" customHeight="1">
      <c r="A17" s="786">
        <v>10</v>
      </c>
      <c r="B17" s="786"/>
      <c r="C17" s="787">
        <f>IF($C$6=☆入力!$B$15,☆入力!$B25,☆入力!$C25)</f>
        <v>0</v>
      </c>
      <c r="D17" s="788"/>
      <c r="E17" s="788"/>
      <c r="F17" s="789"/>
      <c r="G17" s="790">
        <f>☆入力!D25</f>
        <v>0</v>
      </c>
      <c r="H17" s="790"/>
      <c r="I17" s="790"/>
      <c r="J17" s="790"/>
      <c r="K17" s="790"/>
      <c r="L17" s="791">
        <f>☆入力!H25</f>
        <v>0</v>
      </c>
      <c r="M17" s="791"/>
      <c r="N17" s="791"/>
      <c r="O17" s="791"/>
      <c r="P17" s="792">
        <f>☆入力!L25</f>
        <v>0</v>
      </c>
      <c r="Q17" s="793"/>
      <c r="R17" s="794">
        <f>☆入力!K25</f>
        <v>0</v>
      </c>
      <c r="S17" s="794"/>
      <c r="T17" s="794"/>
      <c r="U17" s="795">
        <f>☆入力!W25</f>
        <v>0</v>
      </c>
      <c r="V17" s="795"/>
      <c r="W17" s="795"/>
      <c r="X17" s="795"/>
      <c r="Y17" s="796">
        <f>☆入力!Y25</f>
        <v>0</v>
      </c>
      <c r="Z17" s="796"/>
      <c r="AA17" s="796"/>
      <c r="AB17" s="796"/>
      <c r="AD17" s="62"/>
      <c r="AG17" s="1" t="str">
        <f>"(※1)白熱球の1球あたりの交換費用⇒"&amp;TEXT(☆入力!AR9,"#,#00")&amp;"円で計算(管理会社に委託している場合の平均)"</f>
        <v>(※1)白熱球の1球あたりの交換費用⇒2,500円で計算(管理会社に委託している場合の平均)</v>
      </c>
    </row>
    <row r="18" spans="1:53" s="3" customFormat="1" ht="21" customHeight="1">
      <c r="A18" s="786">
        <v>11</v>
      </c>
      <c r="B18" s="786"/>
      <c r="C18" s="787">
        <f>IF($C$6=☆入力!$B$15,☆入力!$B26,☆入力!$C26)</f>
        <v>0</v>
      </c>
      <c r="D18" s="788"/>
      <c r="E18" s="788"/>
      <c r="F18" s="789"/>
      <c r="G18" s="790">
        <f>☆入力!D26</f>
        <v>0</v>
      </c>
      <c r="H18" s="790"/>
      <c r="I18" s="790"/>
      <c r="J18" s="790"/>
      <c r="K18" s="790"/>
      <c r="L18" s="791">
        <f>☆入力!H26</f>
        <v>0</v>
      </c>
      <c r="M18" s="791"/>
      <c r="N18" s="791"/>
      <c r="O18" s="791"/>
      <c r="P18" s="792">
        <f>☆入力!L26</f>
        <v>0</v>
      </c>
      <c r="Q18" s="793"/>
      <c r="R18" s="794">
        <f>☆入力!K26</f>
        <v>0</v>
      </c>
      <c r="S18" s="794"/>
      <c r="T18" s="794"/>
      <c r="U18" s="795">
        <f>☆入力!W26</f>
        <v>0</v>
      </c>
      <c r="V18" s="795"/>
      <c r="W18" s="795"/>
      <c r="X18" s="795"/>
      <c r="Y18" s="796">
        <f>☆入力!Y26</f>
        <v>0</v>
      </c>
      <c r="Z18" s="796"/>
      <c r="AA18" s="796"/>
      <c r="AB18" s="796"/>
      <c r="AD18" s="62"/>
      <c r="AG18" s="1" t="s">
        <v>279</v>
      </c>
    </row>
    <row r="19" spans="1:53" s="3" customFormat="1" ht="21" customHeight="1">
      <c r="A19" s="786">
        <v>12</v>
      </c>
      <c r="B19" s="786"/>
      <c r="C19" s="787">
        <f>IF($C$6=☆入力!$B$15,☆入力!$B27,☆入力!$C27)</f>
        <v>0</v>
      </c>
      <c r="D19" s="788"/>
      <c r="E19" s="788"/>
      <c r="F19" s="789"/>
      <c r="G19" s="790">
        <f>☆入力!D27</f>
        <v>0</v>
      </c>
      <c r="H19" s="790"/>
      <c r="I19" s="790"/>
      <c r="J19" s="790"/>
      <c r="K19" s="790"/>
      <c r="L19" s="791">
        <f>☆入力!H27</f>
        <v>0</v>
      </c>
      <c r="M19" s="791"/>
      <c r="N19" s="791"/>
      <c r="O19" s="791"/>
      <c r="P19" s="792">
        <f>☆入力!L27</f>
        <v>0</v>
      </c>
      <c r="Q19" s="793"/>
      <c r="R19" s="794">
        <f>☆入力!K27</f>
        <v>0</v>
      </c>
      <c r="S19" s="794"/>
      <c r="T19" s="794"/>
      <c r="U19" s="795">
        <f>☆入力!W27</f>
        <v>0</v>
      </c>
      <c r="V19" s="795"/>
      <c r="W19" s="795"/>
      <c r="X19" s="795"/>
      <c r="Y19" s="796">
        <f>☆入力!Y27</f>
        <v>0</v>
      </c>
      <c r="Z19" s="796"/>
      <c r="AA19" s="796"/>
      <c r="AB19" s="796"/>
      <c r="AD19" s="62"/>
      <c r="AG19" s="1" t="s">
        <v>280</v>
      </c>
      <c r="AT19" s="80"/>
      <c r="AU19" s="80"/>
      <c r="AV19" s="80"/>
      <c r="AW19" s="80"/>
      <c r="AX19" s="80"/>
      <c r="AY19" s="80"/>
      <c r="AZ19" s="80"/>
      <c r="BA19" s="80"/>
    </row>
    <row r="20" spans="1:53" s="3" customFormat="1" ht="21" customHeight="1">
      <c r="A20" s="786">
        <v>13</v>
      </c>
      <c r="B20" s="786"/>
      <c r="C20" s="787">
        <f>IF($C$6=☆入力!$B$15,☆入力!$B28,☆入力!$C28)</f>
        <v>0</v>
      </c>
      <c r="D20" s="788"/>
      <c r="E20" s="788"/>
      <c r="F20" s="789"/>
      <c r="G20" s="790">
        <f>☆入力!D28</f>
        <v>0</v>
      </c>
      <c r="H20" s="790"/>
      <c r="I20" s="790"/>
      <c r="J20" s="790"/>
      <c r="K20" s="790"/>
      <c r="L20" s="791">
        <f>☆入力!H28</f>
        <v>0</v>
      </c>
      <c r="M20" s="791"/>
      <c r="N20" s="791"/>
      <c r="O20" s="791"/>
      <c r="P20" s="792">
        <f>☆入力!L28</f>
        <v>0</v>
      </c>
      <c r="Q20" s="793"/>
      <c r="R20" s="794">
        <f>☆入力!K28</f>
        <v>0</v>
      </c>
      <c r="S20" s="794"/>
      <c r="T20" s="794"/>
      <c r="U20" s="795">
        <f>☆入力!W28</f>
        <v>0</v>
      </c>
      <c r="V20" s="795"/>
      <c r="W20" s="795"/>
      <c r="X20" s="795"/>
      <c r="Y20" s="796">
        <f>☆入力!Y28</f>
        <v>0</v>
      </c>
      <c r="Z20" s="796"/>
      <c r="AA20" s="796"/>
      <c r="AB20" s="796"/>
      <c r="AD20" s="62"/>
      <c r="AS20" s="850" t="s">
        <v>275</v>
      </c>
      <c r="AT20" s="850"/>
      <c r="AU20" s="850"/>
      <c r="AV20" s="850"/>
      <c r="AW20" s="850"/>
      <c r="AX20" s="850"/>
      <c r="AY20" s="850"/>
      <c r="AZ20" s="850"/>
      <c r="BA20" s="850"/>
    </row>
    <row r="21" spans="1:53" s="3" customFormat="1" ht="21" customHeight="1">
      <c r="A21" s="786">
        <v>14</v>
      </c>
      <c r="B21" s="786"/>
      <c r="C21" s="787">
        <f>IF($C$6=☆入力!$B$15,☆入力!$B29,☆入力!$C29)</f>
        <v>0</v>
      </c>
      <c r="D21" s="788"/>
      <c r="E21" s="788"/>
      <c r="F21" s="789"/>
      <c r="G21" s="790">
        <f>☆入力!D29</f>
        <v>0</v>
      </c>
      <c r="H21" s="790"/>
      <c r="I21" s="790"/>
      <c r="J21" s="790"/>
      <c r="K21" s="790"/>
      <c r="L21" s="791">
        <f>☆入力!H29</f>
        <v>0</v>
      </c>
      <c r="M21" s="791"/>
      <c r="N21" s="791"/>
      <c r="O21" s="791"/>
      <c r="P21" s="792">
        <f>☆入力!L29</f>
        <v>0</v>
      </c>
      <c r="Q21" s="793"/>
      <c r="R21" s="794">
        <f>☆入力!K29</f>
        <v>0</v>
      </c>
      <c r="S21" s="794"/>
      <c r="T21" s="794"/>
      <c r="U21" s="795">
        <f>☆入力!W29</f>
        <v>0</v>
      </c>
      <c r="V21" s="795"/>
      <c r="W21" s="795"/>
      <c r="X21" s="795"/>
      <c r="Y21" s="796">
        <f>☆入力!Y29</f>
        <v>0</v>
      </c>
      <c r="Z21" s="796"/>
      <c r="AA21" s="796"/>
      <c r="AB21" s="796"/>
      <c r="AD21" s="62"/>
      <c r="AG21" s="79"/>
      <c r="AH21" s="79"/>
      <c r="AI21" s="79"/>
      <c r="AJ21" s="79"/>
      <c r="AK21" s="79"/>
      <c r="AL21" s="79"/>
      <c r="AM21" s="79"/>
      <c r="AN21" s="79"/>
      <c r="AO21" s="79"/>
      <c r="AP21" s="79"/>
      <c r="AQ21" s="79"/>
      <c r="AR21" s="79"/>
      <c r="AS21" s="850"/>
      <c r="AT21" s="850"/>
      <c r="AU21" s="850"/>
      <c r="AV21" s="850"/>
      <c r="AW21" s="850"/>
      <c r="AX21" s="850"/>
      <c r="AY21" s="850"/>
      <c r="AZ21" s="850"/>
      <c r="BA21" s="850"/>
    </row>
    <row r="22" spans="1:53" s="3" customFormat="1" ht="21" customHeight="1">
      <c r="A22" s="786">
        <v>15</v>
      </c>
      <c r="B22" s="786"/>
      <c r="C22" s="787">
        <f>IF($C$6=☆入力!$B$15,☆入力!$B30,☆入力!$C30)</f>
        <v>0</v>
      </c>
      <c r="D22" s="788"/>
      <c r="E22" s="788"/>
      <c r="F22" s="789"/>
      <c r="G22" s="790">
        <f>☆入力!D30</f>
        <v>0</v>
      </c>
      <c r="H22" s="790"/>
      <c r="I22" s="790"/>
      <c r="J22" s="790"/>
      <c r="K22" s="790"/>
      <c r="L22" s="791">
        <f>☆入力!H30</f>
        <v>0</v>
      </c>
      <c r="M22" s="791"/>
      <c r="N22" s="791"/>
      <c r="O22" s="791"/>
      <c r="P22" s="792">
        <f>☆入力!L30</f>
        <v>0</v>
      </c>
      <c r="Q22" s="793"/>
      <c r="R22" s="794">
        <f>☆入力!K30</f>
        <v>0</v>
      </c>
      <c r="S22" s="794"/>
      <c r="T22" s="794"/>
      <c r="U22" s="795">
        <f>☆入力!W30</f>
        <v>0</v>
      </c>
      <c r="V22" s="795"/>
      <c r="W22" s="795"/>
      <c r="X22" s="795"/>
      <c r="Y22" s="796">
        <f>☆入力!Y30</f>
        <v>0</v>
      </c>
      <c r="Z22" s="796"/>
      <c r="AA22" s="796"/>
      <c r="AB22" s="796"/>
      <c r="AD22" s="62"/>
      <c r="AF22" s="804" t="s">
        <v>281</v>
      </c>
      <c r="AG22" s="804"/>
      <c r="AH22" s="804"/>
      <c r="AI22" s="804"/>
      <c r="AJ22" s="804"/>
      <c r="AK22" s="804"/>
      <c r="AL22" s="804"/>
      <c r="AM22" s="804"/>
      <c r="AN22" s="804"/>
      <c r="AO22" s="804"/>
      <c r="AP22" s="804"/>
      <c r="AQ22" s="804"/>
      <c r="AR22" s="804"/>
      <c r="AS22" s="804"/>
      <c r="AT22" s="804"/>
      <c r="AU22" s="804"/>
      <c r="AV22" s="804"/>
      <c r="AW22" s="804"/>
      <c r="AX22" s="804"/>
      <c r="AY22" s="804"/>
      <c r="AZ22" s="804"/>
      <c r="BA22" s="804"/>
    </row>
    <row r="23" spans="1:53" s="3" customFormat="1" ht="21" customHeight="1" thickBot="1">
      <c r="A23" s="786">
        <v>16</v>
      </c>
      <c r="B23" s="786"/>
      <c r="C23" s="787">
        <f>IF($C$6=☆入力!$B$15,☆入力!$B31,☆入力!$C31)</f>
        <v>0</v>
      </c>
      <c r="D23" s="788"/>
      <c r="E23" s="788"/>
      <c r="F23" s="789"/>
      <c r="G23" s="790">
        <f>☆入力!D31</f>
        <v>0</v>
      </c>
      <c r="H23" s="790"/>
      <c r="I23" s="790"/>
      <c r="J23" s="790"/>
      <c r="K23" s="790"/>
      <c r="L23" s="791">
        <f>☆入力!H31</f>
        <v>0</v>
      </c>
      <c r="M23" s="791"/>
      <c r="N23" s="791"/>
      <c r="O23" s="791"/>
      <c r="P23" s="792">
        <f>☆入力!L31</f>
        <v>0</v>
      </c>
      <c r="Q23" s="793"/>
      <c r="R23" s="794">
        <f>☆入力!K31</f>
        <v>0</v>
      </c>
      <c r="S23" s="794"/>
      <c r="T23" s="794"/>
      <c r="U23" s="795">
        <f>☆入力!W31</f>
        <v>0</v>
      </c>
      <c r="V23" s="795"/>
      <c r="W23" s="795"/>
      <c r="X23" s="795"/>
      <c r="Y23" s="796">
        <f>☆入力!Y31</f>
        <v>0</v>
      </c>
      <c r="Z23" s="796"/>
      <c r="AA23" s="796"/>
      <c r="AB23" s="796"/>
      <c r="AD23" s="62"/>
      <c r="AF23" s="804"/>
      <c r="AG23" s="804"/>
      <c r="AH23" s="804"/>
      <c r="AI23" s="804"/>
      <c r="AJ23" s="804"/>
      <c r="AK23" s="804"/>
      <c r="AL23" s="804"/>
      <c r="AM23" s="804"/>
      <c r="AN23" s="804"/>
      <c r="AO23" s="804"/>
      <c r="AP23" s="804"/>
      <c r="AQ23" s="804"/>
      <c r="AR23" s="804"/>
      <c r="AS23" s="804"/>
      <c r="AT23" s="804"/>
      <c r="AU23" s="804"/>
      <c r="AV23" s="804"/>
      <c r="AW23" s="804"/>
      <c r="AX23" s="804"/>
      <c r="AY23" s="804"/>
      <c r="AZ23" s="804"/>
      <c r="BA23" s="804"/>
    </row>
    <row r="24" spans="1:53" s="3" customFormat="1" ht="21" customHeight="1" thickTop="1">
      <c r="A24" s="786">
        <v>17</v>
      </c>
      <c r="B24" s="786"/>
      <c r="C24" s="787">
        <f>IF($C$6=☆入力!$B$15,☆入力!$B32,☆入力!$C32)</f>
        <v>0</v>
      </c>
      <c r="D24" s="788"/>
      <c r="E24" s="788"/>
      <c r="F24" s="789"/>
      <c r="G24" s="790">
        <f>☆入力!D32</f>
        <v>0</v>
      </c>
      <c r="H24" s="790"/>
      <c r="I24" s="790"/>
      <c r="J24" s="790"/>
      <c r="K24" s="790"/>
      <c r="L24" s="791">
        <f>☆入力!H32</f>
        <v>0</v>
      </c>
      <c r="M24" s="791"/>
      <c r="N24" s="791"/>
      <c r="O24" s="791"/>
      <c r="P24" s="792">
        <f>☆入力!L32</f>
        <v>0</v>
      </c>
      <c r="Q24" s="793"/>
      <c r="R24" s="794">
        <f>☆入力!K32</f>
        <v>0</v>
      </c>
      <c r="S24" s="794"/>
      <c r="T24" s="794"/>
      <c r="U24" s="795">
        <f>☆入力!W32</f>
        <v>0</v>
      </c>
      <c r="V24" s="795"/>
      <c r="W24" s="795"/>
      <c r="X24" s="795"/>
      <c r="Y24" s="796">
        <f>☆入力!Y32</f>
        <v>0</v>
      </c>
      <c r="Z24" s="796"/>
      <c r="AA24" s="796"/>
      <c r="AB24" s="796"/>
      <c r="AD24" s="62"/>
      <c r="AS24" s="821">
        <f>☆入力!L12*10000*2</f>
        <v>0</v>
      </c>
      <c r="AT24" s="822"/>
      <c r="AU24" s="822"/>
      <c r="AV24" s="822"/>
      <c r="AW24" s="822"/>
      <c r="AX24" s="822"/>
      <c r="AY24" s="822"/>
      <c r="AZ24" s="822"/>
      <c r="BA24" s="823"/>
    </row>
    <row r="25" spans="1:53" s="3" customFormat="1" ht="21" customHeight="1" thickBot="1">
      <c r="A25" s="786">
        <v>18</v>
      </c>
      <c r="B25" s="786"/>
      <c r="C25" s="787">
        <f>IF($C$6=☆入力!$B$15,☆入力!$B33,☆入力!$C33)</f>
        <v>0</v>
      </c>
      <c r="D25" s="788"/>
      <c r="E25" s="788"/>
      <c r="F25" s="789"/>
      <c r="G25" s="790">
        <f>☆入力!D33</f>
        <v>0</v>
      </c>
      <c r="H25" s="790"/>
      <c r="I25" s="790"/>
      <c r="J25" s="790"/>
      <c r="K25" s="790"/>
      <c r="L25" s="791">
        <f>☆入力!H33</f>
        <v>0</v>
      </c>
      <c r="M25" s="791"/>
      <c r="N25" s="791"/>
      <c r="O25" s="791"/>
      <c r="P25" s="792">
        <f>☆入力!L33</f>
        <v>0</v>
      </c>
      <c r="Q25" s="793"/>
      <c r="R25" s="794">
        <f>☆入力!K33</f>
        <v>0</v>
      </c>
      <c r="S25" s="794"/>
      <c r="T25" s="794"/>
      <c r="U25" s="795">
        <f>☆入力!W33</f>
        <v>0</v>
      </c>
      <c r="V25" s="795"/>
      <c r="W25" s="795"/>
      <c r="X25" s="795"/>
      <c r="Y25" s="796">
        <f>☆入力!Y33</f>
        <v>0</v>
      </c>
      <c r="Z25" s="796"/>
      <c r="AA25" s="796"/>
      <c r="AB25" s="796"/>
      <c r="AD25" s="62"/>
      <c r="AF25" s="52"/>
      <c r="AS25" s="824"/>
      <c r="AT25" s="825"/>
      <c r="AU25" s="825"/>
      <c r="AV25" s="825"/>
      <c r="AW25" s="825"/>
      <c r="AX25" s="825"/>
      <c r="AY25" s="825"/>
      <c r="AZ25" s="825"/>
      <c r="BA25" s="826"/>
    </row>
    <row r="26" spans="1:53" s="3" customFormat="1" ht="21" customHeight="1" thickTop="1">
      <c r="A26" s="786">
        <v>19</v>
      </c>
      <c r="B26" s="786"/>
      <c r="C26" s="787">
        <f>IF($C$6=☆入力!$B$15,☆入力!$B34,☆入力!$C34)</f>
        <v>0</v>
      </c>
      <c r="D26" s="788"/>
      <c r="E26" s="788"/>
      <c r="F26" s="789"/>
      <c r="G26" s="790">
        <f>☆入力!D34</f>
        <v>0</v>
      </c>
      <c r="H26" s="790"/>
      <c r="I26" s="790"/>
      <c r="J26" s="790"/>
      <c r="K26" s="790"/>
      <c r="L26" s="791">
        <f>☆入力!H34</f>
        <v>0</v>
      </c>
      <c r="M26" s="791"/>
      <c r="N26" s="791"/>
      <c r="O26" s="791"/>
      <c r="P26" s="792">
        <f>☆入力!L34</f>
        <v>0</v>
      </c>
      <c r="Q26" s="793"/>
      <c r="R26" s="794">
        <f>☆入力!K34</f>
        <v>0</v>
      </c>
      <c r="S26" s="794"/>
      <c r="T26" s="794"/>
      <c r="U26" s="795">
        <f>☆入力!W34</f>
        <v>0</v>
      </c>
      <c r="V26" s="795"/>
      <c r="W26" s="795"/>
      <c r="X26" s="795"/>
      <c r="Y26" s="796">
        <f>☆入力!Y34</f>
        <v>0</v>
      </c>
      <c r="Z26" s="796"/>
      <c r="AA26" s="796"/>
      <c r="AB26" s="796"/>
      <c r="AD26" s="62"/>
      <c r="AG26" s="66" t="s">
        <v>282</v>
      </c>
      <c r="AH26" s="66"/>
      <c r="AI26" s="66"/>
      <c r="AJ26" s="66"/>
      <c r="AK26" s="66"/>
      <c r="AL26" s="66"/>
      <c r="AM26" s="66"/>
      <c r="AO26" s="801">
        <f>☆入力!L12</f>
        <v>0</v>
      </c>
      <c r="AP26" s="801"/>
      <c r="AQ26" s="801"/>
      <c r="AR26" s="66" t="s">
        <v>283</v>
      </c>
      <c r="AS26" s="66"/>
      <c r="AT26" s="66"/>
      <c r="AU26" s="66"/>
      <c r="AV26" s="66"/>
      <c r="AW26" s="66"/>
      <c r="AX26" s="66"/>
      <c r="AY26" s="66"/>
      <c r="AZ26" s="66"/>
      <c r="BA26" s="66"/>
    </row>
    <row r="27" spans="1:53" s="3" customFormat="1" ht="21" customHeight="1">
      <c r="A27" s="786">
        <v>20</v>
      </c>
      <c r="B27" s="786"/>
      <c r="C27" s="787">
        <f>IF($C$6=☆入力!$B$15,☆入力!$B35,☆入力!$C35)</f>
        <v>0</v>
      </c>
      <c r="D27" s="788"/>
      <c r="E27" s="788"/>
      <c r="F27" s="789"/>
      <c r="G27" s="790">
        <f>☆入力!D35</f>
        <v>0</v>
      </c>
      <c r="H27" s="790"/>
      <c r="I27" s="790"/>
      <c r="J27" s="790"/>
      <c r="K27" s="790"/>
      <c r="L27" s="791">
        <f>☆入力!H35</f>
        <v>0</v>
      </c>
      <c r="M27" s="791"/>
      <c r="N27" s="791"/>
      <c r="O27" s="791"/>
      <c r="P27" s="792">
        <f>☆入力!L35</f>
        <v>0</v>
      </c>
      <c r="Q27" s="793"/>
      <c r="R27" s="794">
        <f>☆入力!K35</f>
        <v>0</v>
      </c>
      <c r="S27" s="794"/>
      <c r="T27" s="794"/>
      <c r="U27" s="795">
        <f>☆入力!W35</f>
        <v>0</v>
      </c>
      <c r="V27" s="795"/>
      <c r="W27" s="795"/>
      <c r="X27" s="795"/>
      <c r="Y27" s="796">
        <f>☆入力!Y35</f>
        <v>0</v>
      </c>
      <c r="Z27" s="796"/>
      <c r="AA27" s="796"/>
      <c r="AB27" s="796"/>
      <c r="AD27" s="62"/>
    </row>
    <row r="28" spans="1:53" s="3" customFormat="1" ht="21" customHeight="1">
      <c r="A28" s="786">
        <v>21</v>
      </c>
      <c r="B28" s="786"/>
      <c r="C28" s="787">
        <f>IF($C$6=☆入力!$B$15,☆入力!$B36,☆入力!$C36)</f>
        <v>0</v>
      </c>
      <c r="D28" s="788"/>
      <c r="E28" s="788"/>
      <c r="F28" s="789"/>
      <c r="G28" s="790">
        <f>☆入力!D36</f>
        <v>0</v>
      </c>
      <c r="H28" s="790"/>
      <c r="I28" s="790"/>
      <c r="J28" s="790"/>
      <c r="K28" s="790"/>
      <c r="L28" s="791">
        <f>☆入力!H36</f>
        <v>0</v>
      </c>
      <c r="M28" s="791"/>
      <c r="N28" s="791"/>
      <c r="O28" s="791"/>
      <c r="P28" s="792">
        <f>☆入力!L36</f>
        <v>0</v>
      </c>
      <c r="Q28" s="793"/>
      <c r="R28" s="794">
        <f>☆入力!K36</f>
        <v>0</v>
      </c>
      <c r="S28" s="794"/>
      <c r="T28" s="794"/>
      <c r="U28" s="795">
        <f>☆入力!W36</f>
        <v>0</v>
      </c>
      <c r="V28" s="795"/>
      <c r="W28" s="795"/>
      <c r="X28" s="795"/>
      <c r="Y28" s="796">
        <f>☆入力!Y36</f>
        <v>0</v>
      </c>
      <c r="Z28" s="796"/>
      <c r="AA28" s="796"/>
      <c r="AB28" s="796"/>
      <c r="AD28" s="62"/>
      <c r="AG28" s="1" t="s">
        <v>284</v>
      </c>
    </row>
    <row r="29" spans="1:53" s="3" customFormat="1" ht="21" customHeight="1">
      <c r="A29" s="786">
        <v>22</v>
      </c>
      <c r="B29" s="786"/>
      <c r="C29" s="787">
        <f>IF($C$6=☆入力!$B$15,☆入力!$B37,☆入力!$C37)</f>
        <v>0</v>
      </c>
      <c r="D29" s="788"/>
      <c r="E29" s="788"/>
      <c r="F29" s="789"/>
      <c r="G29" s="790">
        <f>☆入力!D37</f>
        <v>0</v>
      </c>
      <c r="H29" s="790"/>
      <c r="I29" s="790"/>
      <c r="J29" s="790"/>
      <c r="K29" s="790"/>
      <c r="L29" s="791">
        <f>☆入力!H37</f>
        <v>0</v>
      </c>
      <c r="M29" s="791"/>
      <c r="N29" s="791"/>
      <c r="O29" s="791"/>
      <c r="P29" s="792">
        <f>☆入力!L37</f>
        <v>0</v>
      </c>
      <c r="Q29" s="793"/>
      <c r="R29" s="794">
        <f>☆入力!K37</f>
        <v>0</v>
      </c>
      <c r="S29" s="794"/>
      <c r="T29" s="794"/>
      <c r="U29" s="795">
        <f>☆入力!W37</f>
        <v>0</v>
      </c>
      <c r="V29" s="795"/>
      <c r="W29" s="795"/>
      <c r="X29" s="795"/>
      <c r="Y29" s="796">
        <f>☆入力!Y37</f>
        <v>0</v>
      </c>
      <c r="Z29" s="796"/>
      <c r="AA29" s="796"/>
      <c r="AB29" s="796"/>
      <c r="AD29" s="62"/>
      <c r="AG29" s="1" t="s">
        <v>285</v>
      </c>
    </row>
    <row r="30" spans="1:53" s="3" customFormat="1" ht="21" customHeight="1">
      <c r="A30" s="786">
        <v>23</v>
      </c>
      <c r="B30" s="786"/>
      <c r="C30" s="787">
        <f>IF($C$6=☆入力!$B$15,☆入力!$B38,☆入力!$C38)</f>
        <v>0</v>
      </c>
      <c r="D30" s="788"/>
      <c r="E30" s="788"/>
      <c r="F30" s="789"/>
      <c r="G30" s="790">
        <f>☆入力!D38</f>
        <v>0</v>
      </c>
      <c r="H30" s="790"/>
      <c r="I30" s="790"/>
      <c r="J30" s="790"/>
      <c r="K30" s="790"/>
      <c r="L30" s="791">
        <f>☆入力!H38</f>
        <v>0</v>
      </c>
      <c r="M30" s="791"/>
      <c r="N30" s="791"/>
      <c r="O30" s="791"/>
      <c r="P30" s="792">
        <f>☆入力!L38</f>
        <v>0</v>
      </c>
      <c r="Q30" s="793"/>
      <c r="R30" s="794">
        <f>☆入力!K38</f>
        <v>0</v>
      </c>
      <c r="S30" s="794"/>
      <c r="T30" s="794"/>
      <c r="U30" s="795">
        <f>☆入力!W38</f>
        <v>0</v>
      </c>
      <c r="V30" s="795"/>
      <c r="W30" s="795"/>
      <c r="X30" s="795"/>
      <c r="Y30" s="796">
        <f>☆入力!Y38</f>
        <v>0</v>
      </c>
      <c r="Z30" s="796"/>
      <c r="AA30" s="796"/>
      <c r="AB30" s="796"/>
      <c r="AD30" s="62"/>
      <c r="AS30" s="55"/>
      <c r="AT30" s="55"/>
      <c r="AU30" s="55"/>
      <c r="AV30" s="55"/>
      <c r="AW30" s="55"/>
      <c r="AX30" s="55"/>
      <c r="AY30" s="55"/>
      <c r="AZ30" s="55"/>
      <c r="BA30" s="55"/>
    </row>
    <row r="31" spans="1:53" s="3" customFormat="1" ht="21" customHeight="1">
      <c r="A31" s="786">
        <v>24</v>
      </c>
      <c r="B31" s="786"/>
      <c r="C31" s="787">
        <f>IF($C$6=☆入力!$B$15,☆入力!$B39,☆入力!$C39)</f>
        <v>0</v>
      </c>
      <c r="D31" s="788"/>
      <c r="E31" s="788"/>
      <c r="F31" s="789"/>
      <c r="G31" s="790">
        <f>☆入力!D39</f>
        <v>0</v>
      </c>
      <c r="H31" s="790"/>
      <c r="I31" s="790"/>
      <c r="J31" s="790"/>
      <c r="K31" s="790"/>
      <c r="L31" s="791">
        <f>☆入力!H39</f>
        <v>0</v>
      </c>
      <c r="M31" s="791"/>
      <c r="N31" s="791"/>
      <c r="O31" s="791"/>
      <c r="P31" s="792">
        <f>☆入力!L39</f>
        <v>0</v>
      </c>
      <c r="Q31" s="793"/>
      <c r="R31" s="794">
        <f>☆入力!K39</f>
        <v>0</v>
      </c>
      <c r="S31" s="794"/>
      <c r="T31" s="794"/>
      <c r="U31" s="795">
        <f>☆入力!W39</f>
        <v>0</v>
      </c>
      <c r="V31" s="795"/>
      <c r="W31" s="795"/>
      <c r="X31" s="795"/>
      <c r="Y31" s="796">
        <f>☆入力!Y39</f>
        <v>0</v>
      </c>
      <c r="Z31" s="796"/>
      <c r="AA31" s="796"/>
      <c r="AB31" s="796"/>
      <c r="AD31" s="62"/>
      <c r="AS31" s="55"/>
      <c r="AT31" s="55"/>
      <c r="AU31" s="55"/>
      <c r="AV31" s="55"/>
      <c r="AW31" s="55"/>
      <c r="AX31" s="55"/>
      <c r="AY31" s="55"/>
      <c r="AZ31" s="55"/>
      <c r="BA31" s="55"/>
    </row>
    <row r="32" spans="1:53" s="3" customFormat="1" ht="21" customHeight="1">
      <c r="A32" s="786">
        <v>25</v>
      </c>
      <c r="B32" s="786"/>
      <c r="C32" s="787">
        <f>IF($C$6=☆入力!$B$15,☆入力!$B40,☆入力!$C40)</f>
        <v>0</v>
      </c>
      <c r="D32" s="788"/>
      <c r="E32" s="788"/>
      <c r="F32" s="789"/>
      <c r="G32" s="790">
        <f>☆入力!D40</f>
        <v>0</v>
      </c>
      <c r="H32" s="790"/>
      <c r="I32" s="790"/>
      <c r="J32" s="790"/>
      <c r="K32" s="790"/>
      <c r="L32" s="791">
        <f>☆入力!H40</f>
        <v>0</v>
      </c>
      <c r="M32" s="791"/>
      <c r="N32" s="791"/>
      <c r="O32" s="791"/>
      <c r="P32" s="792">
        <f>☆入力!L40</f>
        <v>0</v>
      </c>
      <c r="Q32" s="793"/>
      <c r="R32" s="794">
        <f>☆入力!K40</f>
        <v>0</v>
      </c>
      <c r="S32" s="794"/>
      <c r="T32" s="794"/>
      <c r="U32" s="795">
        <f>☆入力!W40</f>
        <v>0</v>
      </c>
      <c r="V32" s="795"/>
      <c r="W32" s="795"/>
      <c r="X32" s="795"/>
      <c r="Y32" s="796">
        <f>☆入力!Y40</f>
        <v>0</v>
      </c>
      <c r="Z32" s="796"/>
      <c r="AA32" s="796"/>
      <c r="AB32" s="796"/>
      <c r="AD32" s="62"/>
    </row>
    <row r="33" spans="1:56" s="3" customFormat="1" ht="21" customHeight="1" outlineLevel="1">
      <c r="A33" s="786">
        <v>26</v>
      </c>
      <c r="B33" s="786"/>
      <c r="C33" s="787">
        <f>IF($C$6=☆入力!$B$15,☆入力!$B41,☆入力!$C41)</f>
        <v>0</v>
      </c>
      <c r="D33" s="788"/>
      <c r="E33" s="788"/>
      <c r="F33" s="789"/>
      <c r="G33" s="790">
        <f>☆入力!D41</f>
        <v>0</v>
      </c>
      <c r="H33" s="790"/>
      <c r="I33" s="790"/>
      <c r="J33" s="790"/>
      <c r="K33" s="790"/>
      <c r="L33" s="791">
        <f>☆入力!H41</f>
        <v>0</v>
      </c>
      <c r="M33" s="791"/>
      <c r="N33" s="791"/>
      <c r="O33" s="791"/>
      <c r="P33" s="792">
        <f>☆入力!L41</f>
        <v>0</v>
      </c>
      <c r="Q33" s="793"/>
      <c r="R33" s="794">
        <f>☆入力!K41</f>
        <v>0</v>
      </c>
      <c r="S33" s="794"/>
      <c r="T33" s="794"/>
      <c r="U33" s="795">
        <f>☆入力!W41</f>
        <v>0</v>
      </c>
      <c r="V33" s="795"/>
      <c r="W33" s="795"/>
      <c r="X33" s="795"/>
      <c r="Y33" s="796">
        <f>☆入力!Y41</f>
        <v>0</v>
      </c>
      <c r="Z33" s="796"/>
      <c r="AA33" s="796"/>
      <c r="AB33" s="796"/>
      <c r="AD33" s="62"/>
    </row>
    <row r="34" spans="1:56" s="3" customFormat="1" ht="21" customHeight="1" outlineLevel="1">
      <c r="A34" s="786">
        <v>27</v>
      </c>
      <c r="B34" s="786"/>
      <c r="C34" s="787">
        <f>IF($C$6=☆入力!$B$15,☆入力!$B42,☆入力!$C42)</f>
        <v>0</v>
      </c>
      <c r="D34" s="788"/>
      <c r="E34" s="788"/>
      <c r="F34" s="789"/>
      <c r="G34" s="790">
        <f>☆入力!D42</f>
        <v>0</v>
      </c>
      <c r="H34" s="790"/>
      <c r="I34" s="790"/>
      <c r="J34" s="790"/>
      <c r="K34" s="790"/>
      <c r="L34" s="791">
        <f>☆入力!H42</f>
        <v>0</v>
      </c>
      <c r="M34" s="791"/>
      <c r="N34" s="791"/>
      <c r="O34" s="791"/>
      <c r="P34" s="792">
        <f>☆入力!L42</f>
        <v>0</v>
      </c>
      <c r="Q34" s="793"/>
      <c r="R34" s="794">
        <f>☆入力!K42</f>
        <v>0</v>
      </c>
      <c r="S34" s="794"/>
      <c r="T34" s="794"/>
      <c r="U34" s="795">
        <f>☆入力!W42</f>
        <v>0</v>
      </c>
      <c r="V34" s="795"/>
      <c r="W34" s="795"/>
      <c r="X34" s="795"/>
      <c r="Y34" s="796">
        <f>☆入力!Y42</f>
        <v>0</v>
      </c>
      <c r="Z34" s="796"/>
      <c r="AA34" s="796"/>
      <c r="AB34" s="796"/>
      <c r="AD34" s="62"/>
    </row>
    <row r="35" spans="1:56" s="3" customFormat="1" ht="21" customHeight="1" outlineLevel="1">
      <c r="A35" s="786">
        <v>28</v>
      </c>
      <c r="B35" s="786"/>
      <c r="C35" s="787">
        <f>IF($C$6=☆入力!$B$15,☆入力!$B43,☆入力!$C43)</f>
        <v>0</v>
      </c>
      <c r="D35" s="788"/>
      <c r="E35" s="788"/>
      <c r="F35" s="789"/>
      <c r="G35" s="790">
        <f>☆入力!D43</f>
        <v>0</v>
      </c>
      <c r="H35" s="790"/>
      <c r="I35" s="790"/>
      <c r="J35" s="790"/>
      <c r="K35" s="790"/>
      <c r="L35" s="791">
        <f>☆入力!H43</f>
        <v>0</v>
      </c>
      <c r="M35" s="791"/>
      <c r="N35" s="791"/>
      <c r="O35" s="791"/>
      <c r="P35" s="792">
        <f>☆入力!L43</f>
        <v>0</v>
      </c>
      <c r="Q35" s="793"/>
      <c r="R35" s="794">
        <f>☆入力!K43</f>
        <v>0</v>
      </c>
      <c r="S35" s="794"/>
      <c r="T35" s="794"/>
      <c r="U35" s="795">
        <f>☆入力!W43</f>
        <v>0</v>
      </c>
      <c r="V35" s="795"/>
      <c r="W35" s="795"/>
      <c r="X35" s="795"/>
      <c r="Y35" s="796">
        <f>☆入力!Y43</f>
        <v>0</v>
      </c>
      <c r="Z35" s="796"/>
      <c r="AA35" s="796"/>
      <c r="AB35" s="796"/>
      <c r="AD35" s="62"/>
    </row>
    <row r="36" spans="1:56" s="3" customFormat="1" ht="21" customHeight="1" outlineLevel="1">
      <c r="A36" s="786">
        <v>29</v>
      </c>
      <c r="B36" s="786"/>
      <c r="C36" s="787">
        <f>IF($C$6=☆入力!$B$15,☆入力!$B44,☆入力!$C44)</f>
        <v>0</v>
      </c>
      <c r="D36" s="788"/>
      <c r="E36" s="788"/>
      <c r="F36" s="789"/>
      <c r="G36" s="790">
        <f>☆入力!D44</f>
        <v>0</v>
      </c>
      <c r="H36" s="790"/>
      <c r="I36" s="790"/>
      <c r="J36" s="790"/>
      <c r="K36" s="790"/>
      <c r="L36" s="791">
        <f>☆入力!H44</f>
        <v>0</v>
      </c>
      <c r="M36" s="791"/>
      <c r="N36" s="791"/>
      <c r="O36" s="791"/>
      <c r="P36" s="792">
        <f>☆入力!L44</f>
        <v>0</v>
      </c>
      <c r="Q36" s="793"/>
      <c r="R36" s="794">
        <f>☆入力!K44</f>
        <v>0</v>
      </c>
      <c r="S36" s="794"/>
      <c r="T36" s="794"/>
      <c r="U36" s="795">
        <f>☆入力!W44</f>
        <v>0</v>
      </c>
      <c r="V36" s="795"/>
      <c r="W36" s="795"/>
      <c r="X36" s="795"/>
      <c r="Y36" s="796">
        <f>☆入力!Y44</f>
        <v>0</v>
      </c>
      <c r="Z36" s="796"/>
      <c r="AA36" s="796"/>
      <c r="AB36" s="796"/>
      <c r="AD36" s="62"/>
    </row>
    <row r="37" spans="1:56" s="3" customFormat="1" ht="21" customHeight="1" outlineLevel="1">
      <c r="A37" s="775">
        <v>30</v>
      </c>
      <c r="B37" s="775"/>
      <c r="C37" s="776">
        <f>IF($C$6=☆入力!$B$15,☆入力!$B45,☆入力!$C45)</f>
        <v>0</v>
      </c>
      <c r="D37" s="777"/>
      <c r="E37" s="777"/>
      <c r="F37" s="778"/>
      <c r="G37" s="779">
        <f>☆入力!D45</f>
        <v>0</v>
      </c>
      <c r="H37" s="779"/>
      <c r="I37" s="779"/>
      <c r="J37" s="779"/>
      <c r="K37" s="779"/>
      <c r="L37" s="780">
        <f>☆入力!H45</f>
        <v>0</v>
      </c>
      <c r="M37" s="780"/>
      <c r="N37" s="780"/>
      <c r="O37" s="780"/>
      <c r="P37" s="781">
        <f>☆入力!L45</f>
        <v>0</v>
      </c>
      <c r="Q37" s="782"/>
      <c r="R37" s="783">
        <f>☆入力!K45</f>
        <v>0</v>
      </c>
      <c r="S37" s="783"/>
      <c r="T37" s="783"/>
      <c r="U37" s="784">
        <f>☆入力!W45</f>
        <v>0</v>
      </c>
      <c r="V37" s="784"/>
      <c r="W37" s="784"/>
      <c r="X37" s="784"/>
      <c r="Y37" s="785">
        <f>☆入力!Y45</f>
        <v>0</v>
      </c>
      <c r="Z37" s="785"/>
      <c r="AA37" s="785"/>
      <c r="AB37" s="785"/>
      <c r="AD37" s="62"/>
    </row>
    <row r="38" spans="1:56" s="13" customFormat="1" ht="21" customHeight="1">
      <c r="C38" s="483"/>
      <c r="D38" s="483"/>
      <c r="E38" s="483"/>
      <c r="F38" s="483"/>
      <c r="G38" s="483"/>
      <c r="H38" s="483"/>
      <c r="I38" s="483"/>
      <c r="J38" s="483"/>
      <c r="K38" s="74" t="s">
        <v>286</v>
      </c>
      <c r="L38" s="483"/>
      <c r="M38" s="483"/>
      <c r="N38" s="483"/>
      <c r="O38" s="483"/>
      <c r="P38" s="483"/>
      <c r="Q38" s="483"/>
      <c r="R38" s="483"/>
      <c r="S38" s="483"/>
      <c r="T38" s="483"/>
      <c r="U38" s="483"/>
      <c r="V38" s="483"/>
      <c r="W38" s="483"/>
      <c r="X38" s="483"/>
      <c r="AD38" s="64"/>
    </row>
    <row r="39" spans="1:56" s="13" customFormat="1" ht="21" customHeight="1">
      <c r="C39" s="483"/>
      <c r="D39" s="483"/>
      <c r="E39" s="483"/>
      <c r="F39" s="483"/>
      <c r="G39" s="483"/>
      <c r="H39" s="483"/>
      <c r="I39" s="483"/>
      <c r="J39" s="483"/>
      <c r="K39" s="811" t="s">
        <v>19</v>
      </c>
      <c r="L39" s="811"/>
      <c r="M39" s="811"/>
      <c r="N39" s="811"/>
      <c r="O39" s="811"/>
      <c r="P39" s="813">
        <f>SUM(P8:Q37)</f>
        <v>0</v>
      </c>
      <c r="Q39" s="813"/>
      <c r="R39" s="815" t="s">
        <v>287</v>
      </c>
      <c r="S39" s="815"/>
      <c r="T39" s="815"/>
      <c r="U39" s="817">
        <f>SUM(U8:X37)</f>
        <v>0</v>
      </c>
      <c r="V39" s="817"/>
      <c r="W39" s="817"/>
      <c r="X39" s="817"/>
      <c r="Y39" s="819">
        <f>SUM(Y8:AB37)</f>
        <v>0</v>
      </c>
      <c r="Z39" s="819"/>
      <c r="AA39" s="819"/>
      <c r="AB39" s="819"/>
      <c r="AD39" s="64"/>
      <c r="AF39" s="804" t="s">
        <v>288</v>
      </c>
      <c r="AG39" s="804"/>
      <c r="AH39" s="804"/>
      <c r="AI39" s="804"/>
      <c r="AJ39" s="804"/>
      <c r="AK39" s="804"/>
      <c r="AL39" s="804"/>
      <c r="AM39" s="804"/>
      <c r="AN39" s="804"/>
      <c r="AO39" s="804"/>
      <c r="AP39" s="804"/>
      <c r="AQ39" s="804"/>
      <c r="AR39" s="804"/>
      <c r="AS39" s="804"/>
      <c r="AT39" s="804"/>
      <c r="AU39" s="804"/>
      <c r="AV39" s="804"/>
      <c r="AW39" s="804"/>
      <c r="AX39" s="804"/>
      <c r="AY39" s="804"/>
      <c r="AZ39" s="804"/>
      <c r="BA39" s="804"/>
    </row>
    <row r="40" spans="1:56" s="13" customFormat="1" ht="21" customHeight="1" thickBot="1">
      <c r="C40" s="14"/>
      <c r="D40" s="14"/>
      <c r="E40" s="14"/>
      <c r="F40" s="14"/>
      <c r="G40" s="14"/>
      <c r="H40" s="14"/>
      <c r="I40" s="14"/>
      <c r="J40" s="14"/>
      <c r="K40" s="812"/>
      <c r="L40" s="812"/>
      <c r="M40" s="812"/>
      <c r="N40" s="812"/>
      <c r="O40" s="812"/>
      <c r="P40" s="814"/>
      <c r="Q40" s="814"/>
      <c r="R40" s="816"/>
      <c r="S40" s="816"/>
      <c r="T40" s="816"/>
      <c r="U40" s="818"/>
      <c r="V40" s="818"/>
      <c r="W40" s="818"/>
      <c r="X40" s="818"/>
      <c r="Y40" s="820"/>
      <c r="Z40" s="820"/>
      <c r="AA40" s="820"/>
      <c r="AB40" s="820"/>
      <c r="AD40" s="64"/>
      <c r="AF40" s="804"/>
      <c r="AG40" s="804"/>
      <c r="AH40" s="804"/>
      <c r="AI40" s="804"/>
      <c r="AJ40" s="804"/>
      <c r="AK40" s="804"/>
      <c r="AL40" s="804"/>
      <c r="AM40" s="804"/>
      <c r="AN40" s="804"/>
      <c r="AO40" s="804"/>
      <c r="AP40" s="804"/>
      <c r="AQ40" s="804"/>
      <c r="AR40" s="804"/>
      <c r="AS40" s="804"/>
      <c r="AT40" s="804"/>
      <c r="AU40" s="804"/>
      <c r="AV40" s="804"/>
      <c r="AW40" s="804"/>
      <c r="AX40" s="804"/>
      <c r="AY40" s="804"/>
      <c r="AZ40" s="804"/>
      <c r="BA40" s="804"/>
    </row>
    <row r="41" spans="1:56" s="13" customFormat="1" ht="21" customHeight="1" thickTop="1">
      <c r="C41" s="14"/>
      <c r="D41" s="14"/>
      <c r="E41" s="14"/>
      <c r="F41" s="14"/>
      <c r="G41" s="14"/>
      <c r="H41" s="14"/>
      <c r="I41" s="14"/>
      <c r="J41" s="14"/>
      <c r="L41" s="483"/>
      <c r="M41" s="483"/>
      <c r="N41" s="483"/>
      <c r="O41" s="483"/>
      <c r="P41" s="483"/>
      <c r="Q41" s="483"/>
      <c r="R41" s="483"/>
      <c r="S41" s="483"/>
      <c r="T41" s="483"/>
      <c r="U41" s="483"/>
      <c r="V41" s="483"/>
      <c r="W41" s="483"/>
      <c r="X41" s="483"/>
      <c r="Y41" s="483"/>
      <c r="Z41" s="483"/>
      <c r="AA41" s="483"/>
      <c r="AB41" s="483"/>
      <c r="AC41" s="483"/>
      <c r="AD41" s="64"/>
      <c r="AS41" s="805">
        <f>AS6+AS13+AS24</f>
        <v>0</v>
      </c>
      <c r="AT41" s="806"/>
      <c r="AU41" s="806"/>
      <c r="AV41" s="806"/>
      <c r="AW41" s="806"/>
      <c r="AX41" s="806"/>
      <c r="AY41" s="806"/>
      <c r="AZ41" s="806"/>
      <c r="BA41" s="807"/>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08"/>
      <c r="AT42" s="809"/>
      <c r="AU42" s="809"/>
      <c r="AV42" s="809"/>
      <c r="AW42" s="809"/>
      <c r="AX42" s="809"/>
      <c r="AY42" s="809"/>
      <c r="AZ42" s="809"/>
      <c r="BA42" s="810"/>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14">
        <v>3</v>
      </c>
    </row>
  </sheetData>
  <mergeCells count="270">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A9:B9"/>
    <mergeCell ref="C9:F9"/>
    <mergeCell ref="P9:Q9"/>
    <mergeCell ref="R9:T9"/>
    <mergeCell ref="U9:X9"/>
    <mergeCell ref="Y9:AB9"/>
    <mergeCell ref="A10:B10"/>
    <mergeCell ref="C10:F10"/>
    <mergeCell ref="P10:Q10"/>
    <mergeCell ref="R10:T10"/>
    <mergeCell ref="U10:X10"/>
    <mergeCell ref="Y10:AB10"/>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15:B15"/>
    <mergeCell ref="C15:F15"/>
    <mergeCell ref="P15:Q15"/>
    <mergeCell ref="R15:T15"/>
    <mergeCell ref="U15:X15"/>
    <mergeCell ref="Y15:AB15"/>
    <mergeCell ref="L14:O14"/>
    <mergeCell ref="L15:O15"/>
    <mergeCell ref="A14:B14"/>
    <mergeCell ref="C14:F14"/>
    <mergeCell ref="P14:Q14"/>
    <mergeCell ref="R14:T14"/>
    <mergeCell ref="A16:B16"/>
    <mergeCell ref="C16:F16"/>
    <mergeCell ref="P16:Q16"/>
    <mergeCell ref="R16:T16"/>
    <mergeCell ref="U16:X16"/>
    <mergeCell ref="Y16:AB16"/>
    <mergeCell ref="R17:T17"/>
    <mergeCell ref="U17:X17"/>
    <mergeCell ref="Y17:AB17"/>
    <mergeCell ref="L16:O16"/>
    <mergeCell ref="A18:B18"/>
    <mergeCell ref="C18:F18"/>
    <mergeCell ref="P18:Q18"/>
    <mergeCell ref="R18:T18"/>
    <mergeCell ref="A17:B17"/>
    <mergeCell ref="C17:F17"/>
    <mergeCell ref="P17:Q17"/>
    <mergeCell ref="L17:O17"/>
    <mergeCell ref="L18:O18"/>
    <mergeCell ref="G17:K17"/>
    <mergeCell ref="G18:K18"/>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22:B22"/>
    <mergeCell ref="C22:F22"/>
    <mergeCell ref="P22:Q22"/>
    <mergeCell ref="R22:T22"/>
    <mergeCell ref="A21:B21"/>
    <mergeCell ref="C21:F21"/>
    <mergeCell ref="P21:Q21"/>
    <mergeCell ref="L21:O21"/>
    <mergeCell ref="L22:O22"/>
    <mergeCell ref="G21:K21"/>
    <mergeCell ref="G22:K22"/>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6:B26"/>
    <mergeCell ref="C26:F26"/>
    <mergeCell ref="P26:Q26"/>
    <mergeCell ref="R26:T26"/>
    <mergeCell ref="A25:B25"/>
    <mergeCell ref="C25:F25"/>
    <mergeCell ref="P25:Q25"/>
    <mergeCell ref="L25:O25"/>
    <mergeCell ref="L26:O26"/>
    <mergeCell ref="G26:K26"/>
    <mergeCell ref="G25:K25"/>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BQ50" sqref="BQ50"/>
    </sheetView>
  </sheetViews>
  <sheetFormatPr defaultColWidth="3.5" defaultRowHeight="21" customHeight="1" outlineLevelRow="1"/>
  <cols>
    <col min="1" max="2" width="3.5" style="1"/>
    <col min="3" max="13" width="3.5" style="2"/>
    <col min="14" max="16384" width="3.5" style="1"/>
  </cols>
  <sheetData>
    <row r="1" spans="1:80" ht="38.25">
      <c r="A1" s="803" t="s">
        <v>289</v>
      </c>
      <c r="B1" s="803"/>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03"/>
      <c r="AN1" s="803"/>
      <c r="AO1" s="803"/>
      <c r="AP1" s="803"/>
      <c r="AQ1" s="803"/>
      <c r="AR1" s="803"/>
      <c r="AS1" s="803"/>
      <c r="AT1" s="803"/>
      <c r="AU1" s="803"/>
      <c r="AV1" s="803"/>
      <c r="AW1" s="803"/>
      <c r="AX1" s="803"/>
      <c r="AY1" s="803"/>
      <c r="AZ1" s="803"/>
      <c r="BA1" s="803"/>
      <c r="BB1" s="803"/>
      <c r="BC1" s="803"/>
      <c r="BD1" s="803"/>
      <c r="BE1" s="54"/>
    </row>
    <row r="2" spans="1:80" ht="21" customHeight="1" thickBot="1">
      <c r="A2" s="471"/>
      <c r="B2" s="471"/>
      <c r="C2" s="471"/>
      <c r="D2" s="471"/>
      <c r="E2" s="471"/>
      <c r="F2" s="471"/>
      <c r="G2" s="471"/>
      <c r="H2" s="471"/>
      <c r="I2" s="471"/>
      <c r="J2" s="471"/>
      <c r="K2" s="471"/>
      <c r="L2" s="471"/>
      <c r="M2" s="471"/>
      <c r="N2" s="471"/>
      <c r="O2" s="471"/>
      <c r="P2" s="471"/>
      <c r="Q2" s="471"/>
      <c r="R2" s="471"/>
      <c r="S2" s="471"/>
      <c r="T2" s="471"/>
      <c r="U2" s="471"/>
      <c r="V2" s="471"/>
      <c r="W2" s="471"/>
      <c r="X2" s="471"/>
      <c r="Y2" s="471"/>
      <c r="Z2" s="471"/>
      <c r="AA2" s="471"/>
      <c r="AB2" s="471"/>
      <c r="AC2" s="471"/>
      <c r="AD2" s="471"/>
      <c r="AE2" s="471"/>
      <c r="AF2" s="471"/>
      <c r="AG2" s="471"/>
      <c r="AH2" s="471"/>
      <c r="AI2" s="471"/>
      <c r="AJ2" s="471"/>
      <c r="AK2" s="471"/>
      <c r="AL2" s="471"/>
      <c r="AM2" s="471"/>
      <c r="AN2" s="471"/>
      <c r="AO2" s="471"/>
      <c r="AP2" s="471"/>
      <c r="AQ2" s="471"/>
      <c r="AR2" s="471"/>
      <c r="AS2" s="471"/>
      <c r="AT2" s="471"/>
      <c r="AU2" s="471"/>
      <c r="AV2" s="471"/>
      <c r="AW2" s="471"/>
      <c r="AX2" s="471"/>
      <c r="AY2" s="471"/>
      <c r="AZ2" s="471"/>
      <c r="BA2" s="471"/>
      <c r="BB2" s="471"/>
      <c r="BC2" s="471"/>
      <c r="BD2" s="471"/>
      <c r="BE2" s="54"/>
    </row>
    <row r="3" spans="1:80" s="3" customFormat="1" ht="23.1" customHeight="1" thickTop="1">
      <c r="A3" s="59"/>
      <c r="B3" s="59"/>
      <c r="C3" s="59"/>
      <c r="D3" s="59"/>
      <c r="E3" s="59"/>
      <c r="F3" s="59"/>
      <c r="G3" s="59"/>
      <c r="H3" s="59"/>
      <c r="I3" s="59"/>
      <c r="J3" s="59"/>
      <c r="K3" s="59"/>
      <c r="L3" s="59"/>
      <c r="M3" s="59"/>
      <c r="N3" s="59"/>
      <c r="O3" s="59"/>
      <c r="P3" s="59"/>
      <c r="Q3" s="59"/>
      <c r="R3" s="871" t="s">
        <v>290</v>
      </c>
      <c r="S3" s="872"/>
      <c r="T3" s="872"/>
      <c r="U3" s="872"/>
      <c r="V3" s="872"/>
      <c r="W3" s="872"/>
      <c r="X3" s="872"/>
      <c r="Y3" s="872"/>
      <c r="Z3" s="872"/>
      <c r="AA3" s="872"/>
      <c r="AB3" s="873"/>
      <c r="AC3" s="59"/>
      <c r="AD3" s="59"/>
      <c r="AE3" s="59"/>
      <c r="AF3" s="877" t="s">
        <v>291</v>
      </c>
      <c r="AG3" s="878"/>
      <c r="AH3" s="878"/>
      <c r="AI3" s="878"/>
      <c r="AJ3" s="878"/>
      <c r="AK3" s="878"/>
      <c r="AL3" s="878"/>
      <c r="AM3" s="878"/>
      <c r="AN3" s="878"/>
      <c r="AO3" s="878"/>
      <c r="AP3" s="878"/>
      <c r="AQ3" s="878"/>
      <c r="AR3" s="878"/>
      <c r="AS3" s="878"/>
      <c r="AT3" s="878"/>
      <c r="AU3" s="878"/>
      <c r="AV3" s="878"/>
      <c r="AW3" s="878"/>
      <c r="AX3" s="878"/>
      <c r="AY3" s="878"/>
      <c r="AZ3" s="878"/>
      <c r="BA3" s="879"/>
      <c r="BB3" s="59"/>
      <c r="BC3" s="59"/>
      <c r="BD3" s="59"/>
    </row>
    <row r="4" spans="1:80" s="12" customFormat="1" ht="21" customHeight="1" thickBot="1">
      <c r="B4" s="11"/>
      <c r="C4" s="11"/>
      <c r="D4" s="11"/>
      <c r="E4" s="11"/>
      <c r="F4" s="11"/>
      <c r="G4" s="11"/>
      <c r="H4" s="11"/>
      <c r="I4" s="11"/>
      <c r="J4" s="11"/>
      <c r="K4" s="11"/>
      <c r="L4" s="11"/>
      <c r="M4" s="11"/>
      <c r="N4" s="11"/>
      <c r="O4" s="11"/>
      <c r="P4" s="11"/>
      <c r="Q4" s="11"/>
      <c r="R4" s="874"/>
      <c r="S4" s="875"/>
      <c r="T4" s="875"/>
      <c r="U4" s="875"/>
      <c r="V4" s="875"/>
      <c r="W4" s="875"/>
      <c r="X4" s="875"/>
      <c r="Y4" s="875"/>
      <c r="Z4" s="875"/>
      <c r="AA4" s="875"/>
      <c r="AB4" s="876"/>
      <c r="AD4" s="65"/>
      <c r="AF4" s="880"/>
      <c r="AG4" s="881"/>
      <c r="AH4" s="881"/>
      <c r="AI4" s="881"/>
      <c r="AJ4" s="881"/>
      <c r="AK4" s="881"/>
      <c r="AL4" s="881"/>
      <c r="AM4" s="881"/>
      <c r="AN4" s="881"/>
      <c r="AO4" s="881"/>
      <c r="AP4" s="881"/>
      <c r="AQ4" s="881"/>
      <c r="AR4" s="881"/>
      <c r="AS4" s="881"/>
      <c r="AT4" s="881"/>
      <c r="AU4" s="881"/>
      <c r="AV4" s="881"/>
      <c r="AW4" s="881"/>
      <c r="AX4" s="881"/>
      <c r="AY4" s="881"/>
      <c r="AZ4" s="881"/>
      <c r="BA4" s="882"/>
    </row>
    <row r="5" spans="1:80"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Top="1">
      <c r="A6" s="829" t="s">
        <v>267</v>
      </c>
      <c r="B6" s="833"/>
      <c r="C6" s="834" t="str">
        <f>LED計算式!M32</f>
        <v>試算エリア</v>
      </c>
      <c r="D6" s="835"/>
      <c r="E6" s="835"/>
      <c r="F6" s="836"/>
      <c r="G6" s="797" t="s">
        <v>268</v>
      </c>
      <c r="H6" s="797"/>
      <c r="I6" s="797"/>
      <c r="J6" s="797"/>
      <c r="K6" s="797"/>
      <c r="L6" s="799" t="s">
        <v>269</v>
      </c>
      <c r="M6" s="799"/>
      <c r="N6" s="799"/>
      <c r="O6" s="799"/>
      <c r="P6" s="828" t="s">
        <v>161</v>
      </c>
      <c r="Q6" s="828"/>
      <c r="R6" s="830" t="s">
        <v>82</v>
      </c>
      <c r="S6" s="830"/>
      <c r="T6" s="830"/>
      <c r="U6" s="831" t="s">
        <v>270</v>
      </c>
      <c r="V6" s="831"/>
      <c r="W6" s="831"/>
      <c r="X6" s="831"/>
      <c r="Y6" s="832" t="s">
        <v>271</v>
      </c>
      <c r="Z6" s="832"/>
      <c r="AA6" s="832"/>
      <c r="AB6" s="832"/>
      <c r="AD6" s="63"/>
      <c r="AF6" s="804" t="s">
        <v>272</v>
      </c>
      <c r="AG6" s="804"/>
      <c r="AH6" s="804"/>
      <c r="AI6" s="804"/>
      <c r="AJ6" s="804"/>
      <c r="AK6" s="804"/>
      <c r="AL6" s="804"/>
      <c r="AM6" s="804"/>
      <c r="AN6" s="804"/>
      <c r="AO6" s="804"/>
      <c r="AP6" s="804"/>
      <c r="AQ6" s="804"/>
      <c r="AR6" s="804"/>
      <c r="AS6" s="857">
        <f>Y39*120</f>
        <v>0</v>
      </c>
      <c r="AT6" s="858"/>
      <c r="AU6" s="858"/>
      <c r="AV6" s="858"/>
      <c r="AW6" s="858"/>
      <c r="AX6" s="858"/>
      <c r="AY6" s="858"/>
      <c r="AZ6" s="858"/>
      <c r="BA6" s="859"/>
    </row>
    <row r="7" spans="1:80"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04"/>
      <c r="AG7" s="804"/>
      <c r="AH7" s="804"/>
      <c r="AI7" s="804"/>
      <c r="AJ7" s="804"/>
      <c r="AK7" s="804"/>
      <c r="AL7" s="804"/>
      <c r="AM7" s="804"/>
      <c r="AN7" s="804"/>
      <c r="AO7" s="804"/>
      <c r="AP7" s="804"/>
      <c r="AQ7" s="804"/>
      <c r="AR7" s="804"/>
      <c r="AS7" s="860"/>
      <c r="AT7" s="861"/>
      <c r="AU7" s="861"/>
      <c r="AV7" s="861"/>
      <c r="AW7" s="861"/>
      <c r="AX7" s="861"/>
      <c r="AY7" s="861"/>
      <c r="AZ7" s="861"/>
      <c r="BA7" s="862"/>
    </row>
    <row r="8" spans="1:80" s="3" customFormat="1" ht="21" customHeight="1" thickTop="1">
      <c r="A8" s="837">
        <v>1</v>
      </c>
      <c r="B8" s="837"/>
      <c r="C8" s="798">
        <f>IF($C$6=☆入力!$B$15,☆入力!$B16,☆入力!$C16)</f>
        <v>0</v>
      </c>
      <c r="D8" s="798"/>
      <c r="E8" s="798"/>
      <c r="F8" s="798"/>
      <c r="G8" s="798">
        <f>☆入力!D16</f>
        <v>0</v>
      </c>
      <c r="H8" s="798"/>
      <c r="I8" s="798"/>
      <c r="J8" s="798"/>
      <c r="K8" s="798"/>
      <c r="L8" s="802">
        <f>☆入力!H16</f>
        <v>0</v>
      </c>
      <c r="M8" s="802"/>
      <c r="N8" s="802"/>
      <c r="O8" s="802"/>
      <c r="P8" s="851">
        <f>☆入力!L16</f>
        <v>0</v>
      </c>
      <c r="Q8" s="851"/>
      <c r="R8" s="853">
        <f>☆入力!AA16</f>
        <v>0</v>
      </c>
      <c r="S8" s="853"/>
      <c r="T8" s="853"/>
      <c r="U8" s="854">
        <f>☆入力!AB16</f>
        <v>0</v>
      </c>
      <c r="V8" s="854"/>
      <c r="W8" s="854"/>
      <c r="X8" s="854"/>
      <c r="Y8" s="855">
        <f>☆入力!AC16</f>
        <v>0</v>
      </c>
      <c r="Z8" s="855"/>
      <c r="AA8" s="855"/>
      <c r="AB8" s="855"/>
      <c r="AD8" s="62"/>
      <c r="AF8" s="52"/>
      <c r="AG8" s="66" t="s">
        <v>273</v>
      </c>
      <c r="AH8" s="66"/>
      <c r="AI8" s="66"/>
      <c r="AJ8" s="66"/>
      <c r="AK8" s="66"/>
      <c r="AL8" s="66"/>
      <c r="AM8" s="66"/>
      <c r="AO8" s="800">
        <f>Y39</f>
        <v>0</v>
      </c>
      <c r="AP8" s="800"/>
      <c r="AQ8" s="800"/>
      <c r="AR8" s="800"/>
      <c r="AS8" s="66" t="s">
        <v>274</v>
      </c>
      <c r="AT8" s="66"/>
      <c r="AU8" s="66"/>
      <c r="AV8" s="66"/>
      <c r="AW8" s="66"/>
      <c r="AX8" s="66"/>
      <c r="AY8" s="66"/>
      <c r="AZ8" s="66"/>
      <c r="BA8" s="66"/>
    </row>
    <row r="9" spans="1:80" s="3" customFormat="1" ht="21" customHeight="1">
      <c r="A9" s="786">
        <v>2</v>
      </c>
      <c r="B9" s="786"/>
      <c r="C9" s="787">
        <f>IF($C$6=☆入力!$B$15,☆入力!$B17,☆入力!$C17)</f>
        <v>0</v>
      </c>
      <c r="D9" s="788"/>
      <c r="E9" s="788"/>
      <c r="F9" s="789"/>
      <c r="G9" s="790">
        <f>☆入力!D17</f>
        <v>0</v>
      </c>
      <c r="H9" s="790"/>
      <c r="I9" s="790"/>
      <c r="J9" s="790"/>
      <c r="K9" s="790"/>
      <c r="L9" s="791">
        <f>☆入力!H17</f>
        <v>0</v>
      </c>
      <c r="M9" s="791"/>
      <c r="N9" s="791"/>
      <c r="O9" s="791"/>
      <c r="P9" s="792">
        <f>☆入力!L17</f>
        <v>0</v>
      </c>
      <c r="Q9" s="792"/>
      <c r="R9" s="794">
        <f>☆入力!AA17</f>
        <v>0</v>
      </c>
      <c r="S9" s="794"/>
      <c r="T9" s="794"/>
      <c r="U9" s="795">
        <f>☆入力!AB17</f>
        <v>0</v>
      </c>
      <c r="V9" s="795"/>
      <c r="W9" s="795"/>
      <c r="X9" s="795"/>
      <c r="Y9" s="796">
        <f>☆入力!AC17</f>
        <v>0</v>
      </c>
      <c r="Z9" s="796"/>
      <c r="AA9" s="796"/>
      <c r="AB9" s="796"/>
      <c r="AD9" s="62"/>
      <c r="AS9" s="863" t="s">
        <v>275</v>
      </c>
      <c r="AT9" s="863"/>
      <c r="AU9" s="863"/>
      <c r="AV9" s="863"/>
      <c r="AW9" s="863"/>
      <c r="AX9" s="863"/>
      <c r="AY9" s="863"/>
      <c r="AZ9" s="863"/>
      <c r="BA9" s="863"/>
    </row>
    <row r="10" spans="1:80" s="3" customFormat="1" ht="21" customHeight="1">
      <c r="A10" s="786">
        <v>3</v>
      </c>
      <c r="B10" s="786"/>
      <c r="C10" s="787">
        <f>IF($C$6=☆入力!$B$15,☆入力!$B18,☆入力!$C18)</f>
        <v>0</v>
      </c>
      <c r="D10" s="788"/>
      <c r="E10" s="788"/>
      <c r="F10" s="789"/>
      <c r="G10" s="790">
        <f>☆入力!D18</f>
        <v>0</v>
      </c>
      <c r="H10" s="790"/>
      <c r="I10" s="790"/>
      <c r="J10" s="790"/>
      <c r="K10" s="790"/>
      <c r="L10" s="791">
        <f>☆入力!H18</f>
        <v>0</v>
      </c>
      <c r="M10" s="791"/>
      <c r="N10" s="791"/>
      <c r="O10" s="791"/>
      <c r="P10" s="792">
        <f>☆入力!L18</f>
        <v>0</v>
      </c>
      <c r="Q10" s="792"/>
      <c r="R10" s="794">
        <f>☆入力!AA18</f>
        <v>0</v>
      </c>
      <c r="S10" s="794"/>
      <c r="T10" s="794"/>
      <c r="U10" s="795">
        <f>☆入力!AB18</f>
        <v>0</v>
      </c>
      <c r="V10" s="795"/>
      <c r="W10" s="795"/>
      <c r="X10" s="795"/>
      <c r="Y10" s="796">
        <f>☆入力!AC18</f>
        <v>0</v>
      </c>
      <c r="Z10" s="796"/>
      <c r="AA10" s="796"/>
      <c r="AB10" s="796"/>
      <c r="AD10" s="62"/>
      <c r="AS10" s="863"/>
      <c r="AT10" s="863"/>
      <c r="AU10" s="863"/>
      <c r="AV10" s="863"/>
      <c r="AW10" s="863"/>
      <c r="AX10" s="863"/>
      <c r="AY10" s="863"/>
      <c r="AZ10" s="863"/>
      <c r="BA10" s="863"/>
      <c r="BF10" s="856" t="s">
        <v>292</v>
      </c>
      <c r="BG10" s="856"/>
      <c r="BH10" s="856"/>
      <c r="BI10" s="856"/>
      <c r="BJ10" s="856"/>
      <c r="BK10" s="856"/>
      <c r="BL10" s="856"/>
      <c r="BM10" s="856"/>
      <c r="BN10" s="856"/>
      <c r="BO10" s="856"/>
      <c r="BP10" s="856"/>
      <c r="BQ10" s="856"/>
      <c r="BR10" s="856"/>
      <c r="BS10" s="856"/>
      <c r="BT10" s="856"/>
      <c r="BU10" s="856"/>
      <c r="BV10" s="856"/>
      <c r="BW10" s="856"/>
      <c r="BX10" s="856"/>
      <c r="BY10" s="856"/>
      <c r="BZ10" s="856"/>
      <c r="CA10" s="856"/>
      <c r="CB10" s="856"/>
    </row>
    <row r="11" spans="1:80" s="3" customFormat="1" ht="21" customHeight="1">
      <c r="A11" s="786">
        <v>4</v>
      </c>
      <c r="B11" s="786"/>
      <c r="C11" s="787">
        <f>IF($C$6=☆入力!$B$15,☆入力!$B19,☆入力!$C19)</f>
        <v>0</v>
      </c>
      <c r="D11" s="788"/>
      <c r="E11" s="788"/>
      <c r="F11" s="789"/>
      <c r="G11" s="790">
        <f>☆入力!D19</f>
        <v>0</v>
      </c>
      <c r="H11" s="790"/>
      <c r="I11" s="790"/>
      <c r="J11" s="790"/>
      <c r="K11" s="790"/>
      <c r="L11" s="791">
        <f>☆入力!H19</f>
        <v>0</v>
      </c>
      <c r="M11" s="791"/>
      <c r="N11" s="791"/>
      <c r="O11" s="791"/>
      <c r="P11" s="792">
        <f>☆入力!L19</f>
        <v>0</v>
      </c>
      <c r="Q11" s="792"/>
      <c r="R11" s="794">
        <f>☆入力!AA19</f>
        <v>0</v>
      </c>
      <c r="S11" s="794"/>
      <c r="T11" s="794"/>
      <c r="U11" s="795">
        <f>☆入力!AB19</f>
        <v>0</v>
      </c>
      <c r="V11" s="795"/>
      <c r="W11" s="795"/>
      <c r="X11" s="795"/>
      <c r="Y11" s="796">
        <f>☆入力!AC19</f>
        <v>0</v>
      </c>
      <c r="Z11" s="796"/>
      <c r="AA11" s="796"/>
      <c r="AB11" s="796"/>
      <c r="AD11" s="62"/>
      <c r="AF11" s="804" t="s">
        <v>293</v>
      </c>
      <c r="AG11" s="804"/>
      <c r="AH11" s="804"/>
      <c r="AI11" s="804"/>
      <c r="AJ11" s="804"/>
      <c r="AK11" s="804"/>
      <c r="AL11" s="804"/>
      <c r="AM11" s="804"/>
      <c r="AN11" s="804"/>
      <c r="AO11" s="804"/>
      <c r="AP11" s="804"/>
      <c r="AQ11" s="804"/>
      <c r="AR11" s="804"/>
      <c r="AS11" s="804"/>
      <c r="AT11" s="804"/>
      <c r="AU11" s="804"/>
      <c r="AV11" s="804"/>
      <c r="AW11" s="804"/>
      <c r="AX11" s="804"/>
      <c r="AY11" s="804"/>
      <c r="AZ11" s="804"/>
      <c r="BA11" s="804"/>
      <c r="BF11" s="856"/>
      <c r="BG11" s="856"/>
      <c r="BH11" s="856"/>
      <c r="BI11" s="856"/>
      <c r="BJ11" s="856"/>
      <c r="BK11" s="856"/>
      <c r="BL11" s="856"/>
      <c r="BM11" s="856"/>
      <c r="BN11" s="856"/>
      <c r="BO11" s="856"/>
      <c r="BP11" s="856"/>
      <c r="BQ11" s="856"/>
      <c r="BR11" s="856"/>
      <c r="BS11" s="856"/>
      <c r="BT11" s="856"/>
      <c r="BU11" s="856"/>
      <c r="BV11" s="856"/>
      <c r="BW11" s="856"/>
      <c r="BX11" s="856"/>
      <c r="BY11" s="856"/>
      <c r="BZ11" s="856"/>
      <c r="CA11" s="856"/>
      <c r="CB11" s="856"/>
    </row>
    <row r="12" spans="1:80" s="3" customFormat="1" ht="21" customHeight="1" thickBot="1">
      <c r="A12" s="786">
        <v>5</v>
      </c>
      <c r="B12" s="786"/>
      <c r="C12" s="787">
        <f>IF($C$6=☆入力!$B$15,☆入力!$B20,☆入力!$C20)</f>
        <v>0</v>
      </c>
      <c r="D12" s="788"/>
      <c r="E12" s="788"/>
      <c r="F12" s="789"/>
      <c r="G12" s="790">
        <f>☆入力!D20</f>
        <v>0</v>
      </c>
      <c r="H12" s="790"/>
      <c r="I12" s="790"/>
      <c r="J12" s="790"/>
      <c r="K12" s="790"/>
      <c r="L12" s="791">
        <f>☆入力!H20</f>
        <v>0</v>
      </c>
      <c r="M12" s="791"/>
      <c r="N12" s="791"/>
      <c r="O12" s="791"/>
      <c r="P12" s="792">
        <f>☆入力!L20</f>
        <v>0</v>
      </c>
      <c r="Q12" s="792"/>
      <c r="R12" s="794">
        <f>☆入力!AA20</f>
        <v>0</v>
      </c>
      <c r="S12" s="794"/>
      <c r="T12" s="794"/>
      <c r="U12" s="795">
        <f>☆入力!AB20</f>
        <v>0</v>
      </c>
      <c r="V12" s="795"/>
      <c r="W12" s="795"/>
      <c r="X12" s="795"/>
      <c r="Y12" s="796">
        <f>☆入力!AC20</f>
        <v>0</v>
      </c>
      <c r="Z12" s="796"/>
      <c r="AA12" s="796"/>
      <c r="AB12" s="796"/>
      <c r="AD12" s="62"/>
      <c r="AF12" s="804"/>
      <c r="AG12" s="804"/>
      <c r="AH12" s="804"/>
      <c r="AI12" s="804"/>
      <c r="AJ12" s="804"/>
      <c r="AK12" s="804"/>
      <c r="AL12" s="804"/>
      <c r="AM12" s="804"/>
      <c r="AN12" s="804"/>
      <c r="AO12" s="804"/>
      <c r="AP12" s="804"/>
      <c r="AQ12" s="804"/>
      <c r="AR12" s="804"/>
      <c r="AS12" s="804"/>
      <c r="AT12" s="804"/>
      <c r="AU12" s="804"/>
      <c r="AV12" s="804"/>
      <c r="AW12" s="804"/>
      <c r="AX12" s="804"/>
      <c r="AY12" s="804"/>
      <c r="AZ12" s="804"/>
      <c r="BA12" s="804"/>
    </row>
    <row r="13" spans="1:80" s="3" customFormat="1" ht="21" customHeight="1" thickTop="1">
      <c r="A13" s="786">
        <v>6</v>
      </c>
      <c r="B13" s="786"/>
      <c r="C13" s="787">
        <f>IF($C$6=☆入力!$B$15,☆入力!$B21,☆入力!$C21)</f>
        <v>0</v>
      </c>
      <c r="D13" s="788"/>
      <c r="E13" s="788"/>
      <c r="F13" s="789"/>
      <c r="G13" s="790">
        <f>☆入力!D21</f>
        <v>0</v>
      </c>
      <c r="H13" s="790"/>
      <c r="I13" s="790"/>
      <c r="J13" s="790"/>
      <c r="K13" s="790"/>
      <c r="L13" s="791">
        <f>☆入力!H21</f>
        <v>0</v>
      </c>
      <c r="M13" s="791"/>
      <c r="N13" s="791"/>
      <c r="O13" s="791"/>
      <c r="P13" s="792">
        <f>☆入力!L21</f>
        <v>0</v>
      </c>
      <c r="Q13" s="792"/>
      <c r="R13" s="794">
        <f>☆入力!AA21</f>
        <v>0</v>
      </c>
      <c r="S13" s="794"/>
      <c r="T13" s="794"/>
      <c r="U13" s="795">
        <f>☆入力!AB21</f>
        <v>0</v>
      </c>
      <c r="V13" s="795"/>
      <c r="W13" s="795"/>
      <c r="X13" s="795"/>
      <c r="Y13" s="796">
        <f>☆入力!AC21</f>
        <v>0</v>
      </c>
      <c r="Z13" s="796"/>
      <c r="AA13" s="796"/>
      <c r="AB13" s="796"/>
      <c r="AD13" s="62"/>
      <c r="AS13" s="857">
        <f>AN16*3000*1</f>
        <v>0</v>
      </c>
      <c r="AT13" s="858"/>
      <c r="AU13" s="858"/>
      <c r="AV13" s="858"/>
      <c r="AW13" s="858"/>
      <c r="AX13" s="858"/>
      <c r="AY13" s="858"/>
      <c r="AZ13" s="858"/>
      <c r="BA13" s="859"/>
    </row>
    <row r="14" spans="1:80" s="3" customFormat="1" ht="21" customHeight="1" thickBot="1">
      <c r="A14" s="786">
        <v>7</v>
      </c>
      <c r="B14" s="786"/>
      <c r="C14" s="787">
        <f>IF($C$6=☆入力!$B$15,☆入力!$B22,☆入力!$C22)</f>
        <v>0</v>
      </c>
      <c r="D14" s="788"/>
      <c r="E14" s="788"/>
      <c r="F14" s="789"/>
      <c r="G14" s="790">
        <f>☆入力!D22</f>
        <v>0</v>
      </c>
      <c r="H14" s="790"/>
      <c r="I14" s="790"/>
      <c r="J14" s="790"/>
      <c r="K14" s="790"/>
      <c r="L14" s="791">
        <f>☆入力!H22</f>
        <v>0</v>
      </c>
      <c r="M14" s="791"/>
      <c r="N14" s="791"/>
      <c r="O14" s="791"/>
      <c r="P14" s="792">
        <f>☆入力!L22</f>
        <v>0</v>
      </c>
      <c r="Q14" s="792"/>
      <c r="R14" s="794">
        <f>☆入力!AA22</f>
        <v>0</v>
      </c>
      <c r="S14" s="794"/>
      <c r="T14" s="794"/>
      <c r="U14" s="795">
        <f>☆入力!AB22</f>
        <v>0</v>
      </c>
      <c r="V14" s="795"/>
      <c r="W14" s="795"/>
      <c r="X14" s="795"/>
      <c r="Y14" s="796">
        <f>☆入力!AC22</f>
        <v>0</v>
      </c>
      <c r="Z14" s="796"/>
      <c r="AA14" s="796"/>
      <c r="AB14" s="796"/>
      <c r="AD14" s="62"/>
      <c r="AS14" s="860"/>
      <c r="AT14" s="861"/>
      <c r="AU14" s="861"/>
      <c r="AV14" s="861"/>
      <c r="AW14" s="861"/>
      <c r="AX14" s="861"/>
      <c r="AY14" s="861"/>
      <c r="AZ14" s="861"/>
      <c r="BA14" s="862"/>
    </row>
    <row r="15" spans="1:80" s="3" customFormat="1" ht="21" customHeight="1" thickTop="1">
      <c r="A15" s="786">
        <v>8</v>
      </c>
      <c r="B15" s="786"/>
      <c r="C15" s="787">
        <f>IF($C$6=☆入力!$B$15,☆入力!$B23,☆入力!$C23)</f>
        <v>0</v>
      </c>
      <c r="D15" s="788"/>
      <c r="E15" s="788"/>
      <c r="F15" s="789"/>
      <c r="G15" s="790">
        <f>☆入力!D23</f>
        <v>0</v>
      </c>
      <c r="H15" s="790"/>
      <c r="I15" s="790"/>
      <c r="J15" s="790"/>
      <c r="K15" s="790"/>
      <c r="L15" s="791">
        <f>☆入力!H23</f>
        <v>0</v>
      </c>
      <c r="M15" s="791"/>
      <c r="N15" s="791"/>
      <c r="O15" s="791"/>
      <c r="P15" s="792">
        <f>☆入力!L23</f>
        <v>0</v>
      </c>
      <c r="Q15" s="792"/>
      <c r="R15" s="794">
        <f>☆入力!AA23</f>
        <v>0</v>
      </c>
      <c r="S15" s="794"/>
      <c r="T15" s="794"/>
      <c r="U15" s="795">
        <f>☆入力!AB23</f>
        <v>0</v>
      </c>
      <c r="V15" s="795"/>
      <c r="W15" s="795"/>
      <c r="X15" s="795"/>
      <c r="Y15" s="796">
        <f>☆入力!AC23</f>
        <v>0</v>
      </c>
      <c r="Z15" s="796"/>
      <c r="AA15" s="796"/>
      <c r="AB15" s="796"/>
      <c r="AD15" s="62"/>
      <c r="AG15" s="262" t="s">
        <v>277</v>
      </c>
      <c r="AH15" s="262"/>
      <c r="AI15" s="262"/>
      <c r="AJ15" s="262"/>
      <c r="AK15" s="262"/>
      <c r="AL15" s="262"/>
      <c r="AM15" s="263"/>
      <c r="AN15" s="864">
        <f>LED計算式!N16</f>
        <v>0</v>
      </c>
      <c r="AO15" s="864"/>
      <c r="AP15" s="864"/>
      <c r="AQ15" s="262" t="str">
        <f>"× "&amp;TEXT(☆入力!AR9,"#,#00")&amp;"円（※1）× 0回（※2）"</f>
        <v>× 2,500円（※1）× 0回（※2）</v>
      </c>
      <c r="AR15" s="263"/>
      <c r="AS15" s="262"/>
      <c r="AT15" s="262"/>
      <c r="AU15" s="262"/>
      <c r="AV15" s="262"/>
      <c r="AW15" s="262"/>
      <c r="AX15" s="262"/>
      <c r="AY15" s="262"/>
      <c r="AZ15" s="262"/>
      <c r="BA15" s="66"/>
    </row>
    <row r="16" spans="1:80" s="3" customFormat="1" ht="21" customHeight="1">
      <c r="A16" s="786">
        <v>9</v>
      </c>
      <c r="B16" s="786"/>
      <c r="C16" s="787">
        <f>IF($C$6=☆入力!$B$15,☆入力!$B24,☆入力!$C24)</f>
        <v>0</v>
      </c>
      <c r="D16" s="788"/>
      <c r="E16" s="788"/>
      <c r="F16" s="789"/>
      <c r="G16" s="790">
        <f>☆入力!D24</f>
        <v>0</v>
      </c>
      <c r="H16" s="790"/>
      <c r="I16" s="790"/>
      <c r="J16" s="790"/>
      <c r="K16" s="790"/>
      <c r="L16" s="791">
        <f>☆入力!H24</f>
        <v>0</v>
      </c>
      <c r="M16" s="791"/>
      <c r="N16" s="791"/>
      <c r="O16" s="791"/>
      <c r="P16" s="792">
        <f>☆入力!L24</f>
        <v>0</v>
      </c>
      <c r="Q16" s="792"/>
      <c r="R16" s="794">
        <f>☆入力!AA24</f>
        <v>0</v>
      </c>
      <c r="S16" s="794"/>
      <c r="T16" s="794"/>
      <c r="U16" s="795">
        <f>☆入力!AB24</f>
        <v>0</v>
      </c>
      <c r="V16" s="795"/>
      <c r="W16" s="795"/>
      <c r="X16" s="795"/>
      <c r="Y16" s="796">
        <f>☆入力!AC24</f>
        <v>0</v>
      </c>
      <c r="Z16" s="796"/>
      <c r="AA16" s="796"/>
      <c r="AB16" s="796"/>
      <c r="AD16" s="62"/>
      <c r="AG16" s="66" t="s">
        <v>278</v>
      </c>
      <c r="AN16" s="801">
        <f>LED計算式!N17</f>
        <v>0</v>
      </c>
      <c r="AO16" s="801"/>
      <c r="AP16" s="801"/>
      <c r="AQ16" s="66" t="s">
        <v>294</v>
      </c>
      <c r="AS16" s="66"/>
      <c r="AT16" s="66"/>
      <c r="AU16" s="66"/>
      <c r="AV16" s="66"/>
      <c r="AW16" s="66"/>
      <c r="AX16" s="66"/>
      <c r="AY16" s="66"/>
    </row>
    <row r="17" spans="1:53" s="3" customFormat="1" ht="21" customHeight="1">
      <c r="A17" s="786">
        <v>10</v>
      </c>
      <c r="B17" s="786"/>
      <c r="C17" s="787">
        <f>IF($C$6=☆入力!$B$15,☆入力!$B25,☆入力!$C25)</f>
        <v>0</v>
      </c>
      <c r="D17" s="788"/>
      <c r="E17" s="788"/>
      <c r="F17" s="789"/>
      <c r="G17" s="790">
        <f>☆入力!D25</f>
        <v>0</v>
      </c>
      <c r="H17" s="790"/>
      <c r="I17" s="790"/>
      <c r="J17" s="790"/>
      <c r="K17" s="790"/>
      <c r="L17" s="791">
        <f>☆入力!H25</f>
        <v>0</v>
      </c>
      <c r="M17" s="791"/>
      <c r="N17" s="791"/>
      <c r="O17" s="791"/>
      <c r="P17" s="792">
        <f>☆入力!L25</f>
        <v>0</v>
      </c>
      <c r="Q17" s="792"/>
      <c r="R17" s="794">
        <f>☆入力!AA25</f>
        <v>0</v>
      </c>
      <c r="S17" s="794"/>
      <c r="T17" s="794"/>
      <c r="U17" s="795">
        <f>☆入力!AB25</f>
        <v>0</v>
      </c>
      <c r="V17" s="795"/>
      <c r="W17" s="795"/>
      <c r="X17" s="795"/>
      <c r="Y17" s="796">
        <f>☆入力!AC25</f>
        <v>0</v>
      </c>
      <c r="Z17" s="796"/>
      <c r="AA17" s="796"/>
      <c r="AB17" s="796"/>
      <c r="AD17" s="62"/>
      <c r="AG17" s="1" t="s">
        <v>295</v>
      </c>
    </row>
    <row r="18" spans="1:53" s="3" customFormat="1" ht="21" customHeight="1">
      <c r="A18" s="786">
        <v>11</v>
      </c>
      <c r="B18" s="786"/>
      <c r="C18" s="787">
        <f>IF($C$6=☆入力!$B$15,☆入力!$B26,☆入力!$C26)</f>
        <v>0</v>
      </c>
      <c r="D18" s="788"/>
      <c r="E18" s="788"/>
      <c r="F18" s="789"/>
      <c r="G18" s="790">
        <f>☆入力!D26</f>
        <v>0</v>
      </c>
      <c r="H18" s="790"/>
      <c r="I18" s="790"/>
      <c r="J18" s="790"/>
      <c r="K18" s="790"/>
      <c r="L18" s="791">
        <f>☆入力!H26</f>
        <v>0</v>
      </c>
      <c r="M18" s="791"/>
      <c r="N18" s="791"/>
      <c r="O18" s="791"/>
      <c r="P18" s="792">
        <f>☆入力!L26</f>
        <v>0</v>
      </c>
      <c r="Q18" s="792"/>
      <c r="R18" s="794">
        <f>☆入力!AA26</f>
        <v>0</v>
      </c>
      <c r="S18" s="794"/>
      <c r="T18" s="794"/>
      <c r="U18" s="795">
        <f>☆入力!AB26</f>
        <v>0</v>
      </c>
      <c r="V18" s="795"/>
      <c r="W18" s="795"/>
      <c r="X18" s="795"/>
      <c r="Y18" s="796">
        <f>☆入力!AC26</f>
        <v>0</v>
      </c>
      <c r="Z18" s="796"/>
      <c r="AA18" s="796"/>
      <c r="AB18" s="796"/>
      <c r="AD18" s="62"/>
      <c r="AG18" s="1" t="s">
        <v>296</v>
      </c>
    </row>
    <row r="19" spans="1:53" s="3" customFormat="1" ht="21" customHeight="1">
      <c r="A19" s="786">
        <v>12</v>
      </c>
      <c r="B19" s="786"/>
      <c r="C19" s="787">
        <f>IF($C$6=☆入力!$B$15,☆入力!$B27,☆入力!$C27)</f>
        <v>0</v>
      </c>
      <c r="D19" s="788"/>
      <c r="E19" s="788"/>
      <c r="F19" s="789"/>
      <c r="G19" s="790">
        <f>☆入力!D27</f>
        <v>0</v>
      </c>
      <c r="H19" s="790"/>
      <c r="I19" s="790"/>
      <c r="J19" s="790"/>
      <c r="K19" s="790"/>
      <c r="L19" s="791">
        <f>☆入力!H27</f>
        <v>0</v>
      </c>
      <c r="M19" s="791"/>
      <c r="N19" s="791"/>
      <c r="O19" s="791"/>
      <c r="P19" s="792">
        <f>☆入力!L27</f>
        <v>0</v>
      </c>
      <c r="Q19" s="792"/>
      <c r="R19" s="794">
        <f>☆入力!AA27</f>
        <v>0</v>
      </c>
      <c r="S19" s="794"/>
      <c r="T19" s="794"/>
      <c r="U19" s="795">
        <f>☆入力!AB27</f>
        <v>0</v>
      </c>
      <c r="V19" s="795"/>
      <c r="W19" s="795"/>
      <c r="X19" s="795"/>
      <c r="Y19" s="796">
        <f>☆入力!AC27</f>
        <v>0</v>
      </c>
      <c r="Z19" s="796"/>
      <c r="AA19" s="796"/>
      <c r="AB19" s="796"/>
      <c r="AD19" s="62"/>
      <c r="AG19" s="1"/>
      <c r="AT19" s="216"/>
      <c r="AU19" s="216"/>
      <c r="AV19" s="216"/>
      <c r="AW19" s="216"/>
      <c r="AX19" s="216"/>
      <c r="AY19" s="216"/>
      <c r="AZ19" s="216"/>
      <c r="BA19" s="216"/>
    </row>
    <row r="20" spans="1:53" s="3" customFormat="1" ht="21" customHeight="1">
      <c r="A20" s="786">
        <v>13</v>
      </c>
      <c r="B20" s="786"/>
      <c r="C20" s="787">
        <f>IF($C$6=☆入力!$B$15,☆入力!$B28,☆入力!$C28)</f>
        <v>0</v>
      </c>
      <c r="D20" s="788"/>
      <c r="E20" s="788"/>
      <c r="F20" s="789"/>
      <c r="G20" s="790">
        <f>☆入力!D28</f>
        <v>0</v>
      </c>
      <c r="H20" s="790"/>
      <c r="I20" s="790"/>
      <c r="J20" s="790"/>
      <c r="K20" s="790"/>
      <c r="L20" s="791">
        <f>☆入力!H28</f>
        <v>0</v>
      </c>
      <c r="M20" s="791"/>
      <c r="N20" s="791"/>
      <c r="O20" s="791"/>
      <c r="P20" s="792">
        <f>☆入力!L28</f>
        <v>0</v>
      </c>
      <c r="Q20" s="792"/>
      <c r="R20" s="794">
        <f>☆入力!AA28</f>
        <v>0</v>
      </c>
      <c r="S20" s="794"/>
      <c r="T20" s="794"/>
      <c r="U20" s="795">
        <f>☆入力!AB28</f>
        <v>0</v>
      </c>
      <c r="V20" s="795"/>
      <c r="W20" s="795"/>
      <c r="X20" s="795"/>
      <c r="Y20" s="796">
        <f>☆入力!AC28</f>
        <v>0</v>
      </c>
      <c r="Z20" s="796"/>
      <c r="AA20" s="796"/>
      <c r="AB20" s="796"/>
      <c r="AD20" s="62"/>
      <c r="AS20" s="883" t="s">
        <v>275</v>
      </c>
      <c r="AT20" s="883"/>
      <c r="AU20" s="883"/>
      <c r="AV20" s="883"/>
      <c r="AW20" s="883"/>
      <c r="AX20" s="883"/>
      <c r="AY20" s="883"/>
      <c r="AZ20" s="883"/>
      <c r="BA20" s="883"/>
    </row>
    <row r="21" spans="1:53" s="3" customFormat="1" ht="21" customHeight="1">
      <c r="A21" s="786">
        <v>14</v>
      </c>
      <c r="B21" s="786"/>
      <c r="C21" s="787">
        <f>IF($C$6=☆入力!$B$15,☆入力!$B29,☆入力!$C29)</f>
        <v>0</v>
      </c>
      <c r="D21" s="788"/>
      <c r="E21" s="788"/>
      <c r="F21" s="789"/>
      <c r="G21" s="790">
        <f>☆入力!D29</f>
        <v>0</v>
      </c>
      <c r="H21" s="790"/>
      <c r="I21" s="790"/>
      <c r="J21" s="790"/>
      <c r="K21" s="790"/>
      <c r="L21" s="791">
        <f>☆入力!H29</f>
        <v>0</v>
      </c>
      <c r="M21" s="791"/>
      <c r="N21" s="791"/>
      <c r="O21" s="791"/>
      <c r="P21" s="792">
        <f>☆入力!L29</f>
        <v>0</v>
      </c>
      <c r="Q21" s="792"/>
      <c r="R21" s="794">
        <f>☆入力!AA29</f>
        <v>0</v>
      </c>
      <c r="S21" s="794"/>
      <c r="T21" s="794"/>
      <c r="U21" s="795">
        <f>☆入力!AB29</f>
        <v>0</v>
      </c>
      <c r="V21" s="795"/>
      <c r="W21" s="795"/>
      <c r="X21" s="795"/>
      <c r="Y21" s="796">
        <f>☆入力!AC29</f>
        <v>0</v>
      </c>
      <c r="Z21" s="796"/>
      <c r="AA21" s="796"/>
      <c r="AB21" s="796"/>
      <c r="AD21" s="62"/>
      <c r="AG21" s="79"/>
      <c r="AH21" s="79"/>
      <c r="AI21" s="79"/>
      <c r="AJ21" s="79"/>
      <c r="AK21" s="79"/>
      <c r="AL21" s="79"/>
      <c r="AM21" s="79"/>
      <c r="AN21" s="79"/>
      <c r="AO21" s="79"/>
      <c r="AP21" s="79"/>
      <c r="AQ21" s="79"/>
      <c r="AR21" s="79"/>
      <c r="AS21" s="883"/>
      <c r="AT21" s="883"/>
      <c r="AU21" s="883"/>
      <c r="AV21" s="883"/>
      <c r="AW21" s="883"/>
      <c r="AX21" s="883"/>
      <c r="AY21" s="883"/>
      <c r="AZ21" s="883"/>
      <c r="BA21" s="883"/>
    </row>
    <row r="22" spans="1:53" s="3" customFormat="1" ht="21" customHeight="1">
      <c r="A22" s="786">
        <v>15</v>
      </c>
      <c r="B22" s="786"/>
      <c r="C22" s="787">
        <f>IF($C$6=☆入力!$B$15,☆入力!$B30,☆入力!$C30)</f>
        <v>0</v>
      </c>
      <c r="D22" s="788"/>
      <c r="E22" s="788"/>
      <c r="F22" s="789"/>
      <c r="G22" s="790">
        <f>☆入力!D30</f>
        <v>0</v>
      </c>
      <c r="H22" s="790"/>
      <c r="I22" s="790"/>
      <c r="J22" s="790"/>
      <c r="K22" s="790"/>
      <c r="L22" s="791">
        <f>☆入力!H30</f>
        <v>0</v>
      </c>
      <c r="M22" s="791"/>
      <c r="N22" s="791"/>
      <c r="O22" s="791"/>
      <c r="P22" s="792">
        <f>☆入力!L30</f>
        <v>0</v>
      </c>
      <c r="Q22" s="792"/>
      <c r="R22" s="794">
        <f>☆入力!AA30</f>
        <v>0</v>
      </c>
      <c r="S22" s="794"/>
      <c r="T22" s="794"/>
      <c r="U22" s="795">
        <f>☆入力!AB30</f>
        <v>0</v>
      </c>
      <c r="V22" s="795"/>
      <c r="W22" s="795"/>
      <c r="X22" s="795"/>
      <c r="Y22" s="796">
        <f>☆入力!AC30</f>
        <v>0</v>
      </c>
      <c r="Z22" s="796"/>
      <c r="AA22" s="796"/>
      <c r="AB22" s="796"/>
      <c r="AD22" s="62"/>
      <c r="AF22" s="804" t="s">
        <v>281</v>
      </c>
      <c r="AG22" s="804"/>
      <c r="AH22" s="804"/>
      <c r="AI22" s="804"/>
      <c r="AJ22" s="804"/>
      <c r="AK22" s="804"/>
      <c r="AL22" s="804"/>
      <c r="AM22" s="804"/>
      <c r="AN22" s="804"/>
      <c r="AO22" s="804"/>
      <c r="AP22" s="804"/>
      <c r="AQ22" s="804"/>
      <c r="AR22" s="804"/>
      <c r="AS22" s="804"/>
      <c r="AT22" s="804"/>
      <c r="AU22" s="804"/>
      <c r="AV22" s="804"/>
      <c r="AW22" s="804"/>
      <c r="AX22" s="804"/>
      <c r="AY22" s="804"/>
      <c r="AZ22" s="804"/>
      <c r="BA22" s="804"/>
    </row>
    <row r="23" spans="1:53" s="3" customFormat="1" ht="21" customHeight="1" thickBot="1">
      <c r="A23" s="786">
        <v>16</v>
      </c>
      <c r="B23" s="786"/>
      <c r="C23" s="787">
        <f>IF($C$6=☆入力!$B$15,☆入力!$B31,☆入力!$C31)</f>
        <v>0</v>
      </c>
      <c r="D23" s="788"/>
      <c r="E23" s="788"/>
      <c r="F23" s="789"/>
      <c r="G23" s="790">
        <f>☆入力!D31</f>
        <v>0</v>
      </c>
      <c r="H23" s="790"/>
      <c r="I23" s="790"/>
      <c r="J23" s="790"/>
      <c r="K23" s="790"/>
      <c r="L23" s="791">
        <f>☆入力!H31</f>
        <v>0</v>
      </c>
      <c r="M23" s="791"/>
      <c r="N23" s="791"/>
      <c r="O23" s="791"/>
      <c r="P23" s="792">
        <f>☆入力!L31</f>
        <v>0</v>
      </c>
      <c r="Q23" s="792"/>
      <c r="R23" s="794">
        <f>☆入力!AA31</f>
        <v>0</v>
      </c>
      <c r="S23" s="794"/>
      <c r="T23" s="794"/>
      <c r="U23" s="795">
        <f>☆入力!AB31</f>
        <v>0</v>
      </c>
      <c r="V23" s="795"/>
      <c r="W23" s="795"/>
      <c r="X23" s="795"/>
      <c r="Y23" s="796">
        <f>☆入力!AC31</f>
        <v>0</v>
      </c>
      <c r="Z23" s="796"/>
      <c r="AA23" s="796"/>
      <c r="AB23" s="796"/>
      <c r="AD23" s="62"/>
      <c r="AF23" s="804"/>
      <c r="AG23" s="804"/>
      <c r="AH23" s="804"/>
      <c r="AI23" s="804"/>
      <c r="AJ23" s="804"/>
      <c r="AK23" s="804"/>
      <c r="AL23" s="804"/>
      <c r="AM23" s="804"/>
      <c r="AN23" s="804"/>
      <c r="AO23" s="804"/>
      <c r="AP23" s="804"/>
      <c r="AQ23" s="804"/>
      <c r="AR23" s="804"/>
      <c r="AS23" s="804"/>
      <c r="AT23" s="804"/>
      <c r="AU23" s="804"/>
      <c r="AV23" s="804"/>
      <c r="AW23" s="804"/>
      <c r="AX23" s="804"/>
      <c r="AY23" s="804"/>
      <c r="AZ23" s="804"/>
      <c r="BA23" s="804"/>
    </row>
    <row r="24" spans="1:53" s="3" customFormat="1" ht="21" customHeight="1" thickTop="1">
      <c r="A24" s="786">
        <v>17</v>
      </c>
      <c r="B24" s="786"/>
      <c r="C24" s="787">
        <f>IF($C$6=☆入力!$B$15,☆入力!$B32,☆入力!$C32)</f>
        <v>0</v>
      </c>
      <c r="D24" s="788"/>
      <c r="E24" s="788"/>
      <c r="F24" s="789"/>
      <c r="G24" s="790">
        <f>☆入力!D32</f>
        <v>0</v>
      </c>
      <c r="H24" s="790"/>
      <c r="I24" s="790"/>
      <c r="J24" s="790"/>
      <c r="K24" s="790"/>
      <c r="L24" s="791">
        <f>☆入力!H32</f>
        <v>0</v>
      </c>
      <c r="M24" s="791"/>
      <c r="N24" s="791"/>
      <c r="O24" s="791"/>
      <c r="P24" s="792">
        <f>☆入力!L32</f>
        <v>0</v>
      </c>
      <c r="Q24" s="792"/>
      <c r="R24" s="794">
        <f>☆入力!AA32</f>
        <v>0</v>
      </c>
      <c r="S24" s="794"/>
      <c r="T24" s="794"/>
      <c r="U24" s="795">
        <f>☆入力!AB32</f>
        <v>0</v>
      </c>
      <c r="V24" s="795"/>
      <c r="W24" s="795"/>
      <c r="X24" s="795"/>
      <c r="Y24" s="796">
        <f>☆入力!AC32</f>
        <v>0</v>
      </c>
      <c r="Z24" s="796"/>
      <c r="AA24" s="796"/>
      <c r="AB24" s="796"/>
      <c r="AD24" s="62"/>
      <c r="AS24" s="857">
        <f>☆入力!L12*8000*2</f>
        <v>0</v>
      </c>
      <c r="AT24" s="858"/>
      <c r="AU24" s="858"/>
      <c r="AV24" s="858"/>
      <c r="AW24" s="858"/>
      <c r="AX24" s="858"/>
      <c r="AY24" s="858"/>
      <c r="AZ24" s="858"/>
      <c r="BA24" s="859"/>
    </row>
    <row r="25" spans="1:53" s="3" customFormat="1" ht="21" customHeight="1" thickBot="1">
      <c r="A25" s="786">
        <v>18</v>
      </c>
      <c r="B25" s="786"/>
      <c r="C25" s="787">
        <f>IF($C$6=☆入力!$B$15,☆入力!$B33,☆入力!$C33)</f>
        <v>0</v>
      </c>
      <c r="D25" s="788"/>
      <c r="E25" s="788"/>
      <c r="F25" s="789"/>
      <c r="G25" s="790">
        <f>☆入力!D33</f>
        <v>0</v>
      </c>
      <c r="H25" s="790"/>
      <c r="I25" s="790"/>
      <c r="J25" s="790"/>
      <c r="K25" s="790"/>
      <c r="L25" s="791">
        <f>☆入力!H33</f>
        <v>0</v>
      </c>
      <c r="M25" s="791"/>
      <c r="N25" s="791"/>
      <c r="O25" s="791"/>
      <c r="P25" s="792">
        <f>☆入力!L33</f>
        <v>0</v>
      </c>
      <c r="Q25" s="792"/>
      <c r="R25" s="794">
        <f>☆入力!AA33</f>
        <v>0</v>
      </c>
      <c r="S25" s="794"/>
      <c r="T25" s="794"/>
      <c r="U25" s="795">
        <f>☆入力!AB33</f>
        <v>0</v>
      </c>
      <c r="V25" s="795"/>
      <c r="W25" s="795"/>
      <c r="X25" s="795"/>
      <c r="Y25" s="796">
        <f>☆入力!AC33</f>
        <v>0</v>
      </c>
      <c r="Z25" s="796"/>
      <c r="AA25" s="796"/>
      <c r="AB25" s="796"/>
      <c r="AD25" s="62"/>
      <c r="AF25" s="52"/>
      <c r="AS25" s="860"/>
      <c r="AT25" s="861"/>
      <c r="AU25" s="861"/>
      <c r="AV25" s="861"/>
      <c r="AW25" s="861"/>
      <c r="AX25" s="861"/>
      <c r="AY25" s="861"/>
      <c r="AZ25" s="861"/>
      <c r="BA25" s="862"/>
    </row>
    <row r="26" spans="1:53" s="3" customFormat="1" ht="21" customHeight="1" thickTop="1">
      <c r="A26" s="786">
        <v>19</v>
      </c>
      <c r="B26" s="786"/>
      <c r="C26" s="787">
        <f>IF($C$6=☆入力!$B$15,☆入力!$B34,☆入力!$C34)</f>
        <v>0</v>
      </c>
      <c r="D26" s="788"/>
      <c r="E26" s="788"/>
      <c r="F26" s="789"/>
      <c r="G26" s="790">
        <f>☆入力!D34</f>
        <v>0</v>
      </c>
      <c r="H26" s="790"/>
      <c r="I26" s="790"/>
      <c r="J26" s="790"/>
      <c r="K26" s="790"/>
      <c r="L26" s="791">
        <f>☆入力!H34</f>
        <v>0</v>
      </c>
      <c r="M26" s="791"/>
      <c r="N26" s="791"/>
      <c r="O26" s="791"/>
      <c r="P26" s="792">
        <f>☆入力!L34</f>
        <v>0</v>
      </c>
      <c r="Q26" s="792"/>
      <c r="R26" s="794">
        <f>☆入力!AA34</f>
        <v>0</v>
      </c>
      <c r="S26" s="794"/>
      <c r="T26" s="794"/>
      <c r="U26" s="795">
        <f>☆入力!AB34</f>
        <v>0</v>
      </c>
      <c r="V26" s="795"/>
      <c r="W26" s="795"/>
      <c r="X26" s="795"/>
      <c r="Y26" s="796">
        <f>☆入力!AC34</f>
        <v>0</v>
      </c>
      <c r="Z26" s="796"/>
      <c r="AA26" s="796"/>
      <c r="AB26" s="796"/>
      <c r="AD26" s="62"/>
      <c r="AG26" s="66" t="s">
        <v>282</v>
      </c>
      <c r="AH26" s="66"/>
      <c r="AI26" s="66"/>
      <c r="AJ26" s="66"/>
      <c r="AK26" s="66"/>
      <c r="AL26" s="66"/>
      <c r="AM26" s="66"/>
      <c r="AO26" s="801">
        <f>☆入力!L12</f>
        <v>0</v>
      </c>
      <c r="AP26" s="801"/>
      <c r="AQ26" s="801"/>
      <c r="AR26" s="66" t="s">
        <v>297</v>
      </c>
      <c r="AS26" s="66"/>
      <c r="AT26" s="66"/>
      <c r="AU26" s="66"/>
      <c r="AV26" s="66"/>
      <c r="AW26" s="66"/>
      <c r="AX26" s="66"/>
      <c r="AY26" s="66"/>
      <c r="AZ26" s="66"/>
      <c r="BA26" s="66"/>
    </row>
    <row r="27" spans="1:53" s="3" customFormat="1" ht="21" customHeight="1">
      <c r="A27" s="786">
        <v>20</v>
      </c>
      <c r="B27" s="786"/>
      <c r="C27" s="787">
        <f>IF($C$6=☆入力!$B$15,☆入力!$B35,☆入力!$C35)</f>
        <v>0</v>
      </c>
      <c r="D27" s="788"/>
      <c r="E27" s="788"/>
      <c r="F27" s="789"/>
      <c r="G27" s="790">
        <f>☆入力!D35</f>
        <v>0</v>
      </c>
      <c r="H27" s="790"/>
      <c r="I27" s="790"/>
      <c r="J27" s="790"/>
      <c r="K27" s="790"/>
      <c r="L27" s="791">
        <f>☆入力!H35</f>
        <v>0</v>
      </c>
      <c r="M27" s="791"/>
      <c r="N27" s="791"/>
      <c r="O27" s="791"/>
      <c r="P27" s="792">
        <f>☆入力!L35</f>
        <v>0</v>
      </c>
      <c r="Q27" s="792"/>
      <c r="R27" s="794">
        <f>☆入力!AA35</f>
        <v>0</v>
      </c>
      <c r="S27" s="794"/>
      <c r="T27" s="794"/>
      <c r="U27" s="795">
        <f>☆入力!AB35</f>
        <v>0</v>
      </c>
      <c r="V27" s="795"/>
      <c r="W27" s="795"/>
      <c r="X27" s="795"/>
      <c r="Y27" s="796">
        <f>☆入力!AC35</f>
        <v>0</v>
      </c>
      <c r="Z27" s="796"/>
      <c r="AA27" s="796"/>
      <c r="AB27" s="796"/>
      <c r="AD27" s="62"/>
    </row>
    <row r="28" spans="1:53" s="3" customFormat="1" ht="21" customHeight="1">
      <c r="A28" s="786">
        <v>21</v>
      </c>
      <c r="B28" s="786"/>
      <c r="C28" s="787">
        <f>IF($C$6=☆入力!$B$15,☆入力!$B36,☆入力!$C36)</f>
        <v>0</v>
      </c>
      <c r="D28" s="788"/>
      <c r="E28" s="788"/>
      <c r="F28" s="789"/>
      <c r="G28" s="790">
        <f>☆入力!D36</f>
        <v>0</v>
      </c>
      <c r="H28" s="790"/>
      <c r="I28" s="790"/>
      <c r="J28" s="790"/>
      <c r="K28" s="790"/>
      <c r="L28" s="791">
        <f>☆入力!H36</f>
        <v>0</v>
      </c>
      <c r="M28" s="791"/>
      <c r="N28" s="791"/>
      <c r="O28" s="791"/>
      <c r="P28" s="792">
        <f>☆入力!L36</f>
        <v>0</v>
      </c>
      <c r="Q28" s="792"/>
      <c r="R28" s="794">
        <f>☆入力!AA36</f>
        <v>0</v>
      </c>
      <c r="S28" s="794"/>
      <c r="T28" s="794"/>
      <c r="U28" s="795">
        <f>☆入力!AB36</f>
        <v>0</v>
      </c>
      <c r="V28" s="795"/>
      <c r="W28" s="795"/>
      <c r="X28" s="795"/>
      <c r="Y28" s="796">
        <f>☆入力!AC36</f>
        <v>0</v>
      </c>
      <c r="Z28" s="796"/>
      <c r="AA28" s="796"/>
      <c r="AB28" s="796"/>
      <c r="AD28" s="62"/>
      <c r="AG28" s="1" t="s">
        <v>298</v>
      </c>
    </row>
    <row r="29" spans="1:53" s="3" customFormat="1" ht="21" customHeight="1">
      <c r="A29" s="786">
        <v>22</v>
      </c>
      <c r="B29" s="786"/>
      <c r="C29" s="787">
        <f>IF($C$6=☆入力!$B$15,☆入力!$B37,☆入力!$C37)</f>
        <v>0</v>
      </c>
      <c r="D29" s="788"/>
      <c r="E29" s="788"/>
      <c r="F29" s="789"/>
      <c r="G29" s="790">
        <f>☆入力!D37</f>
        <v>0</v>
      </c>
      <c r="H29" s="790"/>
      <c r="I29" s="790"/>
      <c r="J29" s="790"/>
      <c r="K29" s="790"/>
      <c r="L29" s="791">
        <f>☆入力!H37</f>
        <v>0</v>
      </c>
      <c r="M29" s="791"/>
      <c r="N29" s="791"/>
      <c r="O29" s="791"/>
      <c r="P29" s="792">
        <f>☆入力!L37</f>
        <v>0</v>
      </c>
      <c r="Q29" s="792"/>
      <c r="R29" s="794">
        <f>☆入力!AA37</f>
        <v>0</v>
      </c>
      <c r="S29" s="794"/>
      <c r="T29" s="794"/>
      <c r="U29" s="795">
        <f>☆入力!AB37</f>
        <v>0</v>
      </c>
      <c r="V29" s="795"/>
      <c r="W29" s="795"/>
      <c r="X29" s="795"/>
      <c r="Y29" s="796">
        <f>☆入力!AC37</f>
        <v>0</v>
      </c>
      <c r="Z29" s="796"/>
      <c r="AA29" s="796"/>
      <c r="AB29" s="796"/>
      <c r="AD29" s="62"/>
      <c r="AG29" s="1" t="s">
        <v>285</v>
      </c>
    </row>
    <row r="30" spans="1:53" s="3" customFormat="1" ht="21" customHeight="1">
      <c r="A30" s="786">
        <v>23</v>
      </c>
      <c r="B30" s="786"/>
      <c r="C30" s="787">
        <f>IF($C$6=☆入力!$B$15,☆入力!$B38,☆入力!$C38)</f>
        <v>0</v>
      </c>
      <c r="D30" s="788"/>
      <c r="E30" s="788"/>
      <c r="F30" s="789"/>
      <c r="G30" s="790">
        <f>☆入力!D38</f>
        <v>0</v>
      </c>
      <c r="H30" s="790"/>
      <c r="I30" s="790"/>
      <c r="J30" s="790"/>
      <c r="K30" s="790"/>
      <c r="L30" s="791">
        <f>☆入力!H38</f>
        <v>0</v>
      </c>
      <c r="M30" s="791"/>
      <c r="N30" s="791"/>
      <c r="O30" s="791"/>
      <c r="P30" s="792">
        <f>☆入力!L38</f>
        <v>0</v>
      </c>
      <c r="Q30" s="792"/>
      <c r="R30" s="794">
        <f>☆入力!AA38</f>
        <v>0</v>
      </c>
      <c r="S30" s="794"/>
      <c r="T30" s="794"/>
      <c r="U30" s="795">
        <f>☆入力!AB38</f>
        <v>0</v>
      </c>
      <c r="V30" s="795"/>
      <c r="W30" s="795"/>
      <c r="X30" s="795"/>
      <c r="Y30" s="796">
        <f>☆入力!AC38</f>
        <v>0</v>
      </c>
      <c r="Z30" s="796"/>
      <c r="AA30" s="796"/>
      <c r="AB30" s="796"/>
      <c r="AD30" s="62"/>
      <c r="AS30" s="55"/>
      <c r="AT30" s="55"/>
      <c r="AU30" s="55"/>
      <c r="AV30" s="55"/>
      <c r="AW30" s="55"/>
      <c r="AX30" s="55"/>
      <c r="AY30" s="55"/>
      <c r="AZ30" s="55"/>
      <c r="BA30" s="55"/>
    </row>
    <row r="31" spans="1:53" s="3" customFormat="1" ht="21" customHeight="1">
      <c r="A31" s="786">
        <v>24</v>
      </c>
      <c r="B31" s="786"/>
      <c r="C31" s="787">
        <f>IF($C$6=☆入力!$B$15,☆入力!$B39,☆入力!$C39)</f>
        <v>0</v>
      </c>
      <c r="D31" s="788"/>
      <c r="E31" s="788"/>
      <c r="F31" s="789"/>
      <c r="G31" s="790">
        <f>☆入力!D39</f>
        <v>0</v>
      </c>
      <c r="H31" s="790"/>
      <c r="I31" s="790"/>
      <c r="J31" s="790"/>
      <c r="K31" s="790"/>
      <c r="L31" s="791">
        <f>☆入力!H39</f>
        <v>0</v>
      </c>
      <c r="M31" s="791"/>
      <c r="N31" s="791"/>
      <c r="O31" s="791"/>
      <c r="P31" s="792">
        <f>☆入力!L39</f>
        <v>0</v>
      </c>
      <c r="Q31" s="792"/>
      <c r="R31" s="794">
        <f>☆入力!AA39</f>
        <v>0</v>
      </c>
      <c r="S31" s="794"/>
      <c r="T31" s="794"/>
      <c r="U31" s="795">
        <f>☆入力!AB39</f>
        <v>0</v>
      </c>
      <c r="V31" s="795"/>
      <c r="W31" s="795"/>
      <c r="X31" s="795"/>
      <c r="Y31" s="796">
        <f>☆入力!AC39</f>
        <v>0</v>
      </c>
      <c r="Z31" s="796"/>
      <c r="AA31" s="796"/>
      <c r="AB31" s="796"/>
      <c r="AD31" s="62"/>
      <c r="AS31" s="55"/>
      <c r="AT31" s="55"/>
      <c r="AU31" s="55"/>
      <c r="AV31" s="55"/>
      <c r="AW31" s="55"/>
      <c r="AX31" s="55"/>
      <c r="AY31" s="55"/>
      <c r="AZ31" s="55"/>
      <c r="BA31" s="55"/>
    </row>
    <row r="32" spans="1:53" s="3" customFormat="1" ht="21" customHeight="1">
      <c r="A32" s="786">
        <v>25</v>
      </c>
      <c r="B32" s="786"/>
      <c r="C32" s="787">
        <f>IF($C$6=☆入力!$B$15,☆入力!$B40,☆入力!$C40)</f>
        <v>0</v>
      </c>
      <c r="D32" s="788"/>
      <c r="E32" s="788"/>
      <c r="F32" s="789"/>
      <c r="G32" s="790">
        <f>☆入力!D40</f>
        <v>0</v>
      </c>
      <c r="H32" s="790"/>
      <c r="I32" s="790"/>
      <c r="J32" s="790"/>
      <c r="K32" s="790"/>
      <c r="L32" s="791">
        <f>☆入力!H40</f>
        <v>0</v>
      </c>
      <c r="M32" s="791"/>
      <c r="N32" s="791"/>
      <c r="O32" s="791"/>
      <c r="P32" s="792">
        <f>☆入力!L40</f>
        <v>0</v>
      </c>
      <c r="Q32" s="792"/>
      <c r="R32" s="794">
        <f>☆入力!AA40</f>
        <v>0</v>
      </c>
      <c r="S32" s="794"/>
      <c r="T32" s="794"/>
      <c r="U32" s="795">
        <f>☆入力!AB40</f>
        <v>0</v>
      </c>
      <c r="V32" s="795"/>
      <c r="W32" s="795"/>
      <c r="X32" s="795"/>
      <c r="Y32" s="796">
        <f>☆入力!AC40</f>
        <v>0</v>
      </c>
      <c r="Z32" s="796"/>
      <c r="AA32" s="796"/>
      <c r="AB32" s="796"/>
      <c r="AD32" s="62"/>
    </row>
    <row r="33" spans="1:56" s="3" customFormat="1" ht="21" customHeight="1" outlineLevel="1">
      <c r="A33" s="786">
        <v>26</v>
      </c>
      <c r="B33" s="786"/>
      <c r="C33" s="787">
        <f>IF($C$6=☆入力!$B$15,☆入力!$B41,☆入力!$C41)</f>
        <v>0</v>
      </c>
      <c r="D33" s="788"/>
      <c r="E33" s="788"/>
      <c r="F33" s="789"/>
      <c r="G33" s="790">
        <f>☆入力!D41</f>
        <v>0</v>
      </c>
      <c r="H33" s="790"/>
      <c r="I33" s="790"/>
      <c r="J33" s="790"/>
      <c r="K33" s="790"/>
      <c r="L33" s="791">
        <f>☆入力!H41</f>
        <v>0</v>
      </c>
      <c r="M33" s="791"/>
      <c r="N33" s="791"/>
      <c r="O33" s="791"/>
      <c r="P33" s="792">
        <f>☆入力!L41</f>
        <v>0</v>
      </c>
      <c r="Q33" s="792"/>
      <c r="R33" s="794">
        <f>☆入力!AA41</f>
        <v>0</v>
      </c>
      <c r="S33" s="794"/>
      <c r="T33" s="794"/>
      <c r="U33" s="795">
        <f>☆入力!AB41</f>
        <v>0</v>
      </c>
      <c r="V33" s="795"/>
      <c r="W33" s="795"/>
      <c r="X33" s="795"/>
      <c r="Y33" s="796">
        <f>☆入力!AC41</f>
        <v>0</v>
      </c>
      <c r="Z33" s="796"/>
      <c r="AA33" s="796"/>
      <c r="AB33" s="796"/>
      <c r="AD33" s="62"/>
    </row>
    <row r="34" spans="1:56" s="3" customFormat="1" ht="21" customHeight="1" outlineLevel="1">
      <c r="A34" s="786">
        <v>27</v>
      </c>
      <c r="B34" s="786"/>
      <c r="C34" s="787">
        <f>IF($C$6=☆入力!$B$15,☆入力!$B42,☆入力!$C42)</f>
        <v>0</v>
      </c>
      <c r="D34" s="788"/>
      <c r="E34" s="788"/>
      <c r="F34" s="789"/>
      <c r="G34" s="790">
        <f>☆入力!D42</f>
        <v>0</v>
      </c>
      <c r="H34" s="790"/>
      <c r="I34" s="790"/>
      <c r="J34" s="790"/>
      <c r="K34" s="790"/>
      <c r="L34" s="791">
        <f>☆入力!H42</f>
        <v>0</v>
      </c>
      <c r="M34" s="791"/>
      <c r="N34" s="791"/>
      <c r="O34" s="791"/>
      <c r="P34" s="792">
        <f>☆入力!L42</f>
        <v>0</v>
      </c>
      <c r="Q34" s="792"/>
      <c r="R34" s="794">
        <f>☆入力!AA42</f>
        <v>0</v>
      </c>
      <c r="S34" s="794"/>
      <c r="T34" s="794"/>
      <c r="U34" s="795">
        <f>☆入力!AB42</f>
        <v>0</v>
      </c>
      <c r="V34" s="795"/>
      <c r="W34" s="795"/>
      <c r="X34" s="795"/>
      <c r="Y34" s="796">
        <f>☆入力!AC42</f>
        <v>0</v>
      </c>
      <c r="Z34" s="796"/>
      <c r="AA34" s="796"/>
      <c r="AB34" s="796"/>
      <c r="AD34" s="62"/>
    </row>
    <row r="35" spans="1:56" s="3" customFormat="1" ht="21" customHeight="1" outlineLevel="1">
      <c r="A35" s="786">
        <v>28</v>
      </c>
      <c r="B35" s="786"/>
      <c r="C35" s="787">
        <f>IF($C$6=☆入力!$B$15,☆入力!$B43,☆入力!$C43)</f>
        <v>0</v>
      </c>
      <c r="D35" s="788"/>
      <c r="E35" s="788"/>
      <c r="F35" s="789"/>
      <c r="G35" s="790">
        <f>☆入力!D43</f>
        <v>0</v>
      </c>
      <c r="H35" s="790"/>
      <c r="I35" s="790"/>
      <c r="J35" s="790"/>
      <c r="K35" s="790"/>
      <c r="L35" s="791">
        <f>☆入力!H43</f>
        <v>0</v>
      </c>
      <c r="M35" s="791"/>
      <c r="N35" s="791"/>
      <c r="O35" s="791"/>
      <c r="P35" s="792">
        <f>☆入力!L43</f>
        <v>0</v>
      </c>
      <c r="Q35" s="792"/>
      <c r="R35" s="794">
        <f>☆入力!AA43</f>
        <v>0</v>
      </c>
      <c r="S35" s="794"/>
      <c r="T35" s="794"/>
      <c r="U35" s="795">
        <f>☆入力!AB43</f>
        <v>0</v>
      </c>
      <c r="V35" s="795"/>
      <c r="W35" s="795"/>
      <c r="X35" s="795"/>
      <c r="Y35" s="796">
        <f>☆入力!AC43</f>
        <v>0</v>
      </c>
      <c r="Z35" s="796"/>
      <c r="AA35" s="796"/>
      <c r="AB35" s="796"/>
      <c r="AD35" s="62"/>
    </row>
    <row r="36" spans="1:56" s="3" customFormat="1" ht="21" customHeight="1" outlineLevel="1">
      <c r="A36" s="786">
        <v>29</v>
      </c>
      <c r="B36" s="786"/>
      <c r="C36" s="787">
        <f>IF($C$6=☆入力!$B$15,☆入力!$B44,☆入力!$C44)</f>
        <v>0</v>
      </c>
      <c r="D36" s="788"/>
      <c r="E36" s="788"/>
      <c r="F36" s="789"/>
      <c r="G36" s="790">
        <f>☆入力!D44</f>
        <v>0</v>
      </c>
      <c r="H36" s="790"/>
      <c r="I36" s="790"/>
      <c r="J36" s="790"/>
      <c r="K36" s="790"/>
      <c r="L36" s="791">
        <f>☆入力!H44</f>
        <v>0</v>
      </c>
      <c r="M36" s="791"/>
      <c r="N36" s="791"/>
      <c r="O36" s="791"/>
      <c r="P36" s="792">
        <f>☆入力!L44</f>
        <v>0</v>
      </c>
      <c r="Q36" s="792"/>
      <c r="R36" s="794">
        <f>☆入力!AA44</f>
        <v>0</v>
      </c>
      <c r="S36" s="794"/>
      <c r="T36" s="794"/>
      <c r="U36" s="795">
        <f>☆入力!AB44</f>
        <v>0</v>
      </c>
      <c r="V36" s="795"/>
      <c r="W36" s="795"/>
      <c r="X36" s="795"/>
      <c r="Y36" s="796">
        <f>☆入力!AC44</f>
        <v>0</v>
      </c>
      <c r="Z36" s="796"/>
      <c r="AA36" s="796"/>
      <c r="AB36" s="796"/>
      <c r="AD36" s="62"/>
    </row>
    <row r="37" spans="1:56" s="3" customFormat="1" ht="21" customHeight="1" outlineLevel="1">
      <c r="A37" s="775">
        <v>30</v>
      </c>
      <c r="B37" s="775"/>
      <c r="C37" s="776">
        <f>IF($C$6=☆入力!$B$15,☆入力!$B45,☆入力!$C45)</f>
        <v>0</v>
      </c>
      <c r="D37" s="777"/>
      <c r="E37" s="777"/>
      <c r="F37" s="778"/>
      <c r="G37" s="779">
        <f>☆入力!D45</f>
        <v>0</v>
      </c>
      <c r="H37" s="779"/>
      <c r="I37" s="779"/>
      <c r="J37" s="779"/>
      <c r="K37" s="779"/>
      <c r="L37" s="780">
        <f>☆入力!H45</f>
        <v>0</v>
      </c>
      <c r="M37" s="780"/>
      <c r="N37" s="780"/>
      <c r="O37" s="780"/>
      <c r="P37" s="781">
        <f>☆入力!L45</f>
        <v>0</v>
      </c>
      <c r="Q37" s="781"/>
      <c r="R37" s="783">
        <f>☆入力!AA45</f>
        <v>0</v>
      </c>
      <c r="S37" s="783"/>
      <c r="T37" s="783"/>
      <c r="U37" s="784">
        <f>☆入力!AB45</f>
        <v>0</v>
      </c>
      <c r="V37" s="784"/>
      <c r="W37" s="784"/>
      <c r="X37" s="784"/>
      <c r="Y37" s="785">
        <f>☆入力!AC45</f>
        <v>0</v>
      </c>
      <c r="Z37" s="785"/>
      <c r="AA37" s="785"/>
      <c r="AB37" s="785"/>
      <c r="AD37" s="62"/>
    </row>
    <row r="38" spans="1:56" s="13" customFormat="1" ht="21" customHeight="1">
      <c r="C38" s="483"/>
      <c r="D38" s="483"/>
      <c r="E38" s="483"/>
      <c r="F38" s="483"/>
      <c r="G38" s="483"/>
      <c r="H38" s="483"/>
      <c r="I38" s="483"/>
      <c r="J38" s="483"/>
      <c r="K38" s="74" t="s">
        <v>286</v>
      </c>
      <c r="L38" s="483"/>
      <c r="M38" s="483"/>
      <c r="N38" s="483"/>
      <c r="O38" s="483"/>
      <c r="P38" s="483"/>
      <c r="Q38" s="483"/>
      <c r="R38" s="483"/>
      <c r="S38" s="483"/>
      <c r="T38" s="483"/>
      <c r="U38" s="483"/>
      <c r="V38" s="483"/>
      <c r="W38" s="483"/>
      <c r="X38" s="483"/>
      <c r="AD38" s="64"/>
    </row>
    <row r="39" spans="1:56" s="13" customFormat="1" ht="21" customHeight="1">
      <c r="C39" s="483"/>
      <c r="D39" s="483"/>
      <c r="E39" s="483"/>
      <c r="F39" s="483"/>
      <c r="G39" s="483"/>
      <c r="H39" s="483"/>
      <c r="I39" s="483"/>
      <c r="J39" s="483"/>
      <c r="K39" s="811" t="s">
        <v>19</v>
      </c>
      <c r="L39" s="811"/>
      <c r="M39" s="811"/>
      <c r="N39" s="811"/>
      <c r="O39" s="811"/>
      <c r="P39" s="813">
        <f>SUM(P8:Q37)</f>
        <v>0</v>
      </c>
      <c r="Q39" s="813"/>
      <c r="R39" s="815" t="s">
        <v>287</v>
      </c>
      <c r="S39" s="815"/>
      <c r="T39" s="815"/>
      <c r="U39" s="817">
        <f>SUM(U8:X37)</f>
        <v>0</v>
      </c>
      <c r="V39" s="817"/>
      <c r="W39" s="817"/>
      <c r="X39" s="817"/>
      <c r="Y39" s="819">
        <f>SUM(Y8:AB37)</f>
        <v>0</v>
      </c>
      <c r="Z39" s="819"/>
      <c r="AA39" s="819"/>
      <c r="AB39" s="819"/>
      <c r="AD39" s="64"/>
      <c r="AF39" s="804" t="s">
        <v>288</v>
      </c>
      <c r="AG39" s="804"/>
      <c r="AH39" s="804"/>
      <c r="AI39" s="804"/>
      <c r="AJ39" s="804"/>
      <c r="AK39" s="804"/>
      <c r="AL39" s="804"/>
      <c r="AM39" s="804"/>
      <c r="AN39" s="804"/>
      <c r="AO39" s="804"/>
      <c r="AP39" s="804"/>
      <c r="AQ39" s="804"/>
      <c r="AR39" s="804"/>
      <c r="AS39" s="804"/>
      <c r="AT39" s="804"/>
      <c r="AU39" s="804"/>
      <c r="AV39" s="804"/>
      <c r="AW39" s="804"/>
      <c r="AX39" s="804"/>
      <c r="AY39" s="804"/>
      <c r="AZ39" s="804"/>
      <c r="BA39" s="804"/>
    </row>
    <row r="40" spans="1:56" s="13" customFormat="1" ht="21" customHeight="1" thickBot="1">
      <c r="C40" s="14"/>
      <c r="D40" s="14"/>
      <c r="E40" s="14"/>
      <c r="F40" s="14"/>
      <c r="G40" s="14"/>
      <c r="H40" s="14"/>
      <c r="I40" s="14"/>
      <c r="J40" s="14"/>
      <c r="K40" s="812"/>
      <c r="L40" s="812"/>
      <c r="M40" s="812"/>
      <c r="N40" s="812"/>
      <c r="O40" s="812"/>
      <c r="P40" s="814"/>
      <c r="Q40" s="814"/>
      <c r="R40" s="816"/>
      <c r="S40" s="816"/>
      <c r="T40" s="816"/>
      <c r="U40" s="818"/>
      <c r="V40" s="818"/>
      <c r="W40" s="818"/>
      <c r="X40" s="818"/>
      <c r="Y40" s="820"/>
      <c r="Z40" s="820"/>
      <c r="AA40" s="820"/>
      <c r="AB40" s="820"/>
      <c r="AD40" s="64"/>
      <c r="AF40" s="804"/>
      <c r="AG40" s="804"/>
      <c r="AH40" s="804"/>
      <c r="AI40" s="804"/>
      <c r="AJ40" s="804"/>
      <c r="AK40" s="804"/>
      <c r="AL40" s="804"/>
      <c r="AM40" s="804"/>
      <c r="AN40" s="804"/>
      <c r="AO40" s="804"/>
      <c r="AP40" s="804"/>
      <c r="AQ40" s="804"/>
      <c r="AR40" s="804"/>
      <c r="AS40" s="804"/>
      <c r="AT40" s="804"/>
      <c r="AU40" s="804"/>
      <c r="AV40" s="804"/>
      <c r="AW40" s="804"/>
      <c r="AX40" s="804"/>
      <c r="AY40" s="804"/>
      <c r="AZ40" s="804"/>
      <c r="BA40" s="804"/>
    </row>
    <row r="41" spans="1:56" s="13" customFormat="1" ht="21" customHeight="1" thickTop="1">
      <c r="C41" s="14"/>
      <c r="D41" s="14"/>
      <c r="E41" s="14"/>
      <c r="F41" s="14"/>
      <c r="G41" s="14"/>
      <c r="H41" s="14"/>
      <c r="I41" s="14"/>
      <c r="J41" s="14"/>
      <c r="L41" s="14"/>
      <c r="M41" s="14"/>
      <c r="AD41" s="64"/>
      <c r="AS41" s="865">
        <f>AS6+AS13+AS24</f>
        <v>0</v>
      </c>
      <c r="AT41" s="866"/>
      <c r="AU41" s="866"/>
      <c r="AV41" s="866"/>
      <c r="AW41" s="866"/>
      <c r="AX41" s="866"/>
      <c r="AY41" s="866"/>
      <c r="AZ41" s="866"/>
      <c r="BA41" s="867"/>
    </row>
    <row r="42" spans="1:56" s="13" customFormat="1" ht="21" customHeight="1" thickBot="1">
      <c r="C42" s="14"/>
      <c r="D42" s="14"/>
      <c r="E42" s="14"/>
      <c r="F42" s="14"/>
      <c r="G42" s="14"/>
      <c r="H42" s="14"/>
      <c r="I42" s="14"/>
      <c r="J42" s="14"/>
      <c r="K42" s="14"/>
      <c r="L42" s="14"/>
      <c r="M42" s="14"/>
      <c r="AD42" s="64"/>
      <c r="AS42" s="868"/>
      <c r="AT42" s="869"/>
      <c r="AU42" s="869"/>
      <c r="AV42" s="869"/>
      <c r="AW42" s="869"/>
      <c r="AX42" s="869"/>
      <c r="AY42" s="869"/>
      <c r="AZ42" s="869"/>
      <c r="BA42" s="870"/>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14">
        <v>4</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71">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1:T31"/>
    <mergeCell ref="U31:X31"/>
    <mergeCell ref="Y31:AB31"/>
    <mergeCell ref="A30:B30"/>
    <mergeCell ref="C30:F30"/>
    <mergeCell ref="P30:Q30"/>
    <mergeCell ref="R30:T30"/>
    <mergeCell ref="U30:X30"/>
    <mergeCell ref="G30:K30"/>
    <mergeCell ref="G31:K31"/>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2:B22"/>
    <mergeCell ref="C22:F22"/>
    <mergeCell ref="P22:Q22"/>
    <mergeCell ref="A21:B21"/>
    <mergeCell ref="C21:F21"/>
    <mergeCell ref="P21:Q21"/>
    <mergeCell ref="R22:T22"/>
    <mergeCell ref="L21:O21"/>
    <mergeCell ref="L22:O22"/>
    <mergeCell ref="G21:K21"/>
    <mergeCell ref="G22:K22"/>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BQ50" sqref="BQ50"/>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03" t="s">
        <v>299</v>
      </c>
      <c r="B1" s="803"/>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03"/>
      <c r="AN1" s="803"/>
      <c r="AO1" s="803"/>
      <c r="AP1" s="803"/>
      <c r="AQ1" s="803"/>
      <c r="AR1" s="803"/>
      <c r="AS1" s="803"/>
      <c r="AT1" s="803"/>
      <c r="AU1" s="803"/>
      <c r="AV1" s="803"/>
      <c r="AW1" s="803"/>
      <c r="AX1" s="803"/>
      <c r="AY1" s="803"/>
      <c r="AZ1" s="803"/>
      <c r="BA1" s="803"/>
      <c r="BB1" s="803"/>
      <c r="BC1" s="803"/>
      <c r="BD1" s="803"/>
      <c r="BE1" s="803"/>
      <c r="BF1" s="803"/>
      <c r="BG1" s="803"/>
      <c r="BH1" s="803"/>
      <c r="BI1" s="803"/>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03" t="s">
        <v>300</v>
      </c>
      <c r="L3" s="904"/>
      <c r="M3" s="904"/>
      <c r="N3" s="905"/>
      <c r="O3" s="60"/>
      <c r="P3" s="60"/>
      <c r="Q3" s="944" t="s">
        <v>301</v>
      </c>
      <c r="R3" s="945"/>
      <c r="S3" s="945"/>
      <c r="T3" s="945"/>
      <c r="U3" s="945"/>
      <c r="V3" s="945"/>
      <c r="W3" s="946"/>
      <c r="X3" s="38"/>
      <c r="Y3" s="61"/>
      <c r="Z3" s="38"/>
      <c r="AA3" s="914" t="s">
        <v>265</v>
      </c>
      <c r="AB3" s="914"/>
      <c r="AC3" s="914"/>
      <c r="AD3" s="914"/>
      <c r="AE3" s="914"/>
      <c r="AF3" s="914"/>
      <c r="AG3" s="914"/>
      <c r="AH3" s="914"/>
      <c r="AI3" s="914"/>
      <c r="AJ3" s="60"/>
      <c r="AK3" s="60"/>
      <c r="AL3" s="60"/>
      <c r="AM3" s="60"/>
      <c r="AN3" s="872" t="s">
        <v>290</v>
      </c>
      <c r="AO3" s="872"/>
      <c r="AP3" s="872"/>
      <c r="AQ3" s="872"/>
      <c r="AR3" s="872"/>
      <c r="AS3" s="872"/>
      <c r="AT3" s="872"/>
      <c r="AU3" s="872"/>
      <c r="AV3" s="872"/>
      <c r="AW3" s="60"/>
      <c r="AX3" s="60"/>
      <c r="AY3" s="60"/>
      <c r="AZ3" s="60"/>
      <c r="BA3" s="942" t="s">
        <v>302</v>
      </c>
      <c r="BB3" s="942"/>
      <c r="BC3" s="942"/>
      <c r="BD3" s="942"/>
      <c r="BE3" s="942"/>
      <c r="BF3" s="942"/>
      <c r="BG3" s="942"/>
      <c r="BH3" s="942"/>
      <c r="BI3" s="942"/>
    </row>
    <row r="4" spans="1:61" s="3" customFormat="1" ht="21" customHeight="1" thickTop="1">
      <c r="A4" s="51"/>
      <c r="B4" s="52"/>
      <c r="C4" s="53"/>
      <c r="D4" s="53"/>
      <c r="E4" s="53"/>
      <c r="F4" s="53"/>
      <c r="G4" s="53"/>
      <c r="H4" s="53"/>
      <c r="I4" s="53"/>
      <c r="J4" s="53"/>
      <c r="K4" s="52"/>
      <c r="L4" s="52"/>
      <c r="M4" s="52"/>
      <c r="N4" s="52"/>
      <c r="Y4" s="62"/>
      <c r="AA4" s="915"/>
      <c r="AB4" s="915"/>
      <c r="AC4" s="915"/>
      <c r="AD4" s="915"/>
      <c r="AE4" s="915"/>
      <c r="AF4" s="915"/>
      <c r="AG4" s="915"/>
      <c r="AH4" s="915"/>
      <c r="AI4" s="915"/>
      <c r="AJ4" s="58"/>
      <c r="AK4" s="58"/>
      <c r="AL4" s="58"/>
      <c r="AM4" s="58"/>
      <c r="AN4" s="941"/>
      <c r="AO4" s="941"/>
      <c r="AP4" s="941"/>
      <c r="AQ4" s="941"/>
      <c r="AR4" s="941"/>
      <c r="AS4" s="941"/>
      <c r="AT4" s="941"/>
      <c r="AU4" s="941"/>
      <c r="AV4" s="941"/>
      <c r="BA4" s="943"/>
      <c r="BB4" s="943"/>
      <c r="BC4" s="943"/>
      <c r="BD4" s="943"/>
      <c r="BE4" s="943"/>
      <c r="BF4" s="943"/>
      <c r="BG4" s="943"/>
      <c r="BH4" s="943"/>
      <c r="BI4" s="943"/>
    </row>
    <row r="5" spans="1:61" ht="21" customHeight="1">
      <c r="A5" s="829" t="s">
        <v>267</v>
      </c>
      <c r="B5" s="833"/>
      <c r="C5" s="834" t="str">
        <f>LED計算式!M32</f>
        <v>試算エリア</v>
      </c>
      <c r="D5" s="835"/>
      <c r="E5" s="835"/>
      <c r="F5" s="836"/>
      <c r="G5" s="834" t="s">
        <v>268</v>
      </c>
      <c r="H5" s="835"/>
      <c r="I5" s="835"/>
      <c r="J5" s="836"/>
      <c r="K5" s="832" t="s">
        <v>271</v>
      </c>
      <c r="L5" s="832"/>
      <c r="M5" s="832"/>
      <c r="N5" s="832"/>
      <c r="O5" s="56"/>
      <c r="P5" s="56"/>
      <c r="Q5" s="832" t="s">
        <v>271</v>
      </c>
      <c r="R5" s="832"/>
      <c r="S5" s="832"/>
      <c r="T5" s="832"/>
      <c r="U5" s="953" t="s">
        <v>303</v>
      </c>
      <c r="V5" s="953"/>
      <c r="W5" s="953"/>
      <c r="Y5" s="63"/>
      <c r="AA5" s="804" t="s">
        <v>304</v>
      </c>
      <c r="AB5" s="804"/>
      <c r="AC5" s="804"/>
      <c r="AD5" s="804"/>
      <c r="AE5" s="804"/>
      <c r="AF5" s="804"/>
      <c r="AG5" s="804"/>
      <c r="AH5" s="804"/>
      <c r="AI5" s="804"/>
      <c r="AJ5" s="804"/>
      <c r="AK5" s="804"/>
      <c r="AL5" s="804"/>
      <c r="AM5" s="804"/>
      <c r="AN5" s="804"/>
      <c r="AO5" s="804"/>
      <c r="AP5" s="804"/>
      <c r="AQ5" s="804"/>
      <c r="AR5" s="804"/>
      <c r="AS5" s="804"/>
      <c r="AT5" s="804"/>
      <c r="AU5" s="804"/>
      <c r="AV5" s="804"/>
    </row>
    <row r="6" spans="1:61" ht="21" customHeight="1" thickBot="1">
      <c r="A6" s="14"/>
      <c r="B6" s="14"/>
      <c r="C6" s="15"/>
      <c r="D6" s="15"/>
      <c r="E6" s="15"/>
      <c r="F6" s="15"/>
      <c r="G6" s="15"/>
      <c r="H6" s="15"/>
      <c r="I6" s="15"/>
      <c r="J6" s="15"/>
      <c r="K6" s="16"/>
      <c r="L6" s="16"/>
      <c r="M6" s="16"/>
      <c r="N6" s="16"/>
      <c r="O6" s="16"/>
      <c r="P6" s="16"/>
      <c r="Q6" s="16"/>
      <c r="R6" s="16"/>
      <c r="Y6" s="63"/>
      <c r="AA6" s="804"/>
      <c r="AB6" s="804"/>
      <c r="AC6" s="804"/>
      <c r="AD6" s="804"/>
      <c r="AE6" s="804"/>
      <c r="AF6" s="804"/>
      <c r="AG6" s="804"/>
      <c r="AH6" s="804"/>
      <c r="AI6" s="804"/>
      <c r="AJ6" s="804"/>
      <c r="AK6" s="804"/>
      <c r="AL6" s="804"/>
      <c r="AM6" s="804"/>
      <c r="AN6" s="804"/>
      <c r="AO6" s="804"/>
      <c r="AP6" s="804"/>
      <c r="AQ6" s="804"/>
      <c r="AR6" s="804"/>
      <c r="AS6" s="804"/>
      <c r="AT6" s="804"/>
      <c r="AU6" s="804"/>
      <c r="AV6" s="804"/>
    </row>
    <row r="7" spans="1:61" s="3" customFormat="1" ht="21" customHeight="1" thickTop="1">
      <c r="A7" s="837">
        <v>1</v>
      </c>
      <c r="B7" s="837"/>
      <c r="C7" s="798">
        <f>IF($C$5=☆入力!$B$15,☆入力!$B16,☆入力!$C16)</f>
        <v>0</v>
      </c>
      <c r="D7" s="798"/>
      <c r="E7" s="798"/>
      <c r="F7" s="798"/>
      <c r="G7" s="798">
        <f>☆入力!D16</f>
        <v>0</v>
      </c>
      <c r="H7" s="798"/>
      <c r="I7" s="798"/>
      <c r="J7" s="798"/>
      <c r="K7" s="855">
        <f>☆入力!Y16</f>
        <v>0</v>
      </c>
      <c r="L7" s="855"/>
      <c r="M7" s="855"/>
      <c r="N7" s="855"/>
      <c r="O7" s="893" t="s">
        <v>305</v>
      </c>
      <c r="P7" s="894"/>
      <c r="Q7" s="855">
        <f>☆入力!AC16</f>
        <v>0</v>
      </c>
      <c r="R7" s="855"/>
      <c r="S7" s="855"/>
      <c r="T7" s="855"/>
      <c r="U7" s="926" t="str">
        <f t="shared" ref="U7:U31" si="0">IFERROR(100%-(Q7/K7),"")</f>
        <v/>
      </c>
      <c r="V7" s="926"/>
      <c r="W7" s="926"/>
      <c r="Y7" s="62"/>
      <c r="AA7" s="920">
        <f>②前!$AS$6</f>
        <v>0</v>
      </c>
      <c r="AB7" s="921"/>
      <c r="AC7" s="921"/>
      <c r="AD7" s="921"/>
      <c r="AE7" s="921"/>
      <c r="AF7" s="921"/>
      <c r="AG7" s="921"/>
      <c r="AH7" s="921"/>
      <c r="AI7" s="922"/>
      <c r="AJ7" s="939" t="s">
        <v>306</v>
      </c>
      <c r="AK7" s="935"/>
      <c r="AL7" s="935"/>
      <c r="AM7" s="940"/>
      <c r="AN7" s="947">
        <f>③後!AS6</f>
        <v>0</v>
      </c>
      <c r="AO7" s="948"/>
      <c r="AP7" s="948"/>
      <c r="AQ7" s="948"/>
      <c r="AR7" s="948"/>
      <c r="AS7" s="948"/>
      <c r="AT7" s="948"/>
      <c r="AU7" s="948"/>
      <c r="AV7" s="949"/>
      <c r="AW7" s="934" t="s">
        <v>307</v>
      </c>
      <c r="AX7" s="935"/>
      <c r="AY7" s="935"/>
      <c r="AZ7" s="936"/>
      <c r="BA7" s="954">
        <f>AA7-AN7</f>
        <v>0</v>
      </c>
      <c r="BB7" s="955"/>
      <c r="BC7" s="955"/>
      <c r="BD7" s="955"/>
      <c r="BE7" s="955"/>
      <c r="BF7" s="955"/>
      <c r="BG7" s="955"/>
      <c r="BH7" s="955"/>
      <c r="BI7" s="956"/>
    </row>
    <row r="8" spans="1:61" s="3" customFormat="1" ht="21" customHeight="1" thickBot="1">
      <c r="A8" s="786">
        <v>2</v>
      </c>
      <c r="B8" s="786"/>
      <c r="C8" s="787">
        <f>IF($C$5=☆入力!$B$15,☆入力!$B17,☆入力!$C17)</f>
        <v>0</v>
      </c>
      <c r="D8" s="788"/>
      <c r="E8" s="788"/>
      <c r="F8" s="789"/>
      <c r="G8" s="790">
        <f>☆入力!D17</f>
        <v>0</v>
      </c>
      <c r="H8" s="790"/>
      <c r="I8" s="790"/>
      <c r="J8" s="790"/>
      <c r="K8" s="796">
        <f>☆入力!Y17</f>
        <v>0</v>
      </c>
      <c r="L8" s="796"/>
      <c r="M8" s="796"/>
      <c r="N8" s="796"/>
      <c r="O8" s="893" t="s">
        <v>305</v>
      </c>
      <c r="P8" s="894"/>
      <c r="Q8" s="796">
        <f>☆入力!AC17</f>
        <v>0</v>
      </c>
      <c r="R8" s="796"/>
      <c r="S8" s="796"/>
      <c r="T8" s="796"/>
      <c r="U8" s="896" t="str">
        <f t="shared" si="0"/>
        <v/>
      </c>
      <c r="V8" s="896"/>
      <c r="W8" s="896"/>
      <c r="Y8" s="62"/>
      <c r="AA8" s="923"/>
      <c r="AB8" s="924"/>
      <c r="AC8" s="924"/>
      <c r="AD8" s="924"/>
      <c r="AE8" s="924"/>
      <c r="AF8" s="924"/>
      <c r="AG8" s="924"/>
      <c r="AH8" s="924"/>
      <c r="AI8" s="925"/>
      <c r="AJ8" s="939"/>
      <c r="AK8" s="935"/>
      <c r="AL8" s="935"/>
      <c r="AM8" s="940"/>
      <c r="AN8" s="950"/>
      <c r="AO8" s="951"/>
      <c r="AP8" s="951"/>
      <c r="AQ8" s="951"/>
      <c r="AR8" s="951"/>
      <c r="AS8" s="951"/>
      <c r="AT8" s="951"/>
      <c r="AU8" s="951"/>
      <c r="AV8" s="952"/>
      <c r="AW8" s="934"/>
      <c r="AX8" s="935"/>
      <c r="AY8" s="935"/>
      <c r="AZ8" s="936"/>
      <c r="BA8" s="957"/>
      <c r="BB8" s="958"/>
      <c r="BC8" s="958"/>
      <c r="BD8" s="958"/>
      <c r="BE8" s="958"/>
      <c r="BF8" s="958"/>
      <c r="BG8" s="958"/>
      <c r="BH8" s="958"/>
      <c r="BI8" s="959"/>
    </row>
    <row r="9" spans="1:61" s="3" customFormat="1" ht="21" customHeight="1" thickTop="1">
      <c r="A9" s="786">
        <v>3</v>
      </c>
      <c r="B9" s="786"/>
      <c r="C9" s="787">
        <f>IF($C$5=☆入力!$B$15,☆入力!$B18,☆入力!$C18)</f>
        <v>0</v>
      </c>
      <c r="D9" s="788"/>
      <c r="E9" s="788"/>
      <c r="F9" s="789"/>
      <c r="G9" s="790">
        <f>☆入力!D18</f>
        <v>0</v>
      </c>
      <c r="H9" s="790"/>
      <c r="I9" s="790"/>
      <c r="J9" s="790"/>
      <c r="K9" s="796">
        <f>☆入力!Y18</f>
        <v>0</v>
      </c>
      <c r="L9" s="796"/>
      <c r="M9" s="796"/>
      <c r="N9" s="796"/>
      <c r="O9" s="893" t="s">
        <v>305</v>
      </c>
      <c r="P9" s="894"/>
      <c r="Q9" s="796">
        <f>☆入力!AC18</f>
        <v>0</v>
      </c>
      <c r="R9" s="796"/>
      <c r="S9" s="796"/>
      <c r="T9" s="796"/>
      <c r="U9" s="896" t="str">
        <f t="shared" si="0"/>
        <v/>
      </c>
      <c r="V9" s="896"/>
      <c r="W9" s="896"/>
      <c r="Y9" s="62"/>
      <c r="AA9" s="850" t="s">
        <v>275</v>
      </c>
      <c r="AB9" s="850"/>
      <c r="AC9" s="850"/>
      <c r="AD9" s="850"/>
      <c r="AE9" s="850"/>
      <c r="AF9" s="850"/>
      <c r="AG9" s="850"/>
      <c r="AH9" s="850"/>
      <c r="AI9" s="850"/>
      <c r="AN9" s="883" t="s">
        <v>275</v>
      </c>
      <c r="AO9" s="883"/>
      <c r="AP9" s="883"/>
      <c r="AQ9" s="883"/>
      <c r="AR9" s="883"/>
      <c r="AS9" s="883"/>
      <c r="AT9" s="883"/>
      <c r="AU9" s="883"/>
      <c r="AV9" s="883"/>
      <c r="BA9" s="960" t="s">
        <v>275</v>
      </c>
      <c r="BB9" s="960"/>
      <c r="BC9" s="960"/>
      <c r="BD9" s="960"/>
      <c r="BE9" s="960"/>
      <c r="BF9" s="960"/>
      <c r="BG9" s="960"/>
      <c r="BH9" s="960"/>
      <c r="BI9" s="960"/>
    </row>
    <row r="10" spans="1:61" s="3" customFormat="1" ht="21" customHeight="1">
      <c r="A10" s="786">
        <v>4</v>
      </c>
      <c r="B10" s="786"/>
      <c r="C10" s="787">
        <f>IF($C$5=☆入力!$B$15,☆入力!$B19,☆入力!$C19)</f>
        <v>0</v>
      </c>
      <c r="D10" s="788"/>
      <c r="E10" s="788"/>
      <c r="F10" s="789"/>
      <c r="G10" s="790">
        <f>☆入力!D19</f>
        <v>0</v>
      </c>
      <c r="H10" s="790"/>
      <c r="I10" s="790"/>
      <c r="J10" s="790"/>
      <c r="K10" s="796">
        <f>☆入力!Y19</f>
        <v>0</v>
      </c>
      <c r="L10" s="796"/>
      <c r="M10" s="796"/>
      <c r="N10" s="796"/>
      <c r="O10" s="893" t="s">
        <v>305</v>
      </c>
      <c r="P10" s="894"/>
      <c r="Q10" s="796">
        <f>☆入力!AC19</f>
        <v>0</v>
      </c>
      <c r="R10" s="796"/>
      <c r="S10" s="796"/>
      <c r="T10" s="796"/>
      <c r="U10" s="896" t="str">
        <f t="shared" si="0"/>
        <v/>
      </c>
      <c r="V10" s="896"/>
      <c r="W10" s="896"/>
      <c r="Y10" s="62"/>
      <c r="AA10" s="850"/>
      <c r="AB10" s="850"/>
      <c r="AC10" s="850"/>
      <c r="AD10" s="850"/>
      <c r="AE10" s="850"/>
      <c r="AF10" s="850"/>
      <c r="AG10" s="850"/>
      <c r="AH10" s="850"/>
      <c r="AI10" s="850"/>
      <c r="AN10" s="883"/>
      <c r="AO10" s="883"/>
      <c r="AP10" s="883"/>
      <c r="AQ10" s="883"/>
      <c r="AR10" s="883"/>
      <c r="AS10" s="883"/>
      <c r="AT10" s="883"/>
      <c r="AU10" s="883"/>
      <c r="AV10" s="883"/>
      <c r="BA10" s="960"/>
      <c r="BB10" s="960"/>
      <c r="BC10" s="960"/>
      <c r="BD10" s="960"/>
      <c r="BE10" s="960"/>
      <c r="BF10" s="960"/>
      <c r="BG10" s="960"/>
      <c r="BH10" s="960"/>
      <c r="BI10" s="960"/>
    </row>
    <row r="11" spans="1:61" s="3" customFormat="1" ht="21" customHeight="1">
      <c r="A11" s="786">
        <v>5</v>
      </c>
      <c r="B11" s="786"/>
      <c r="C11" s="787">
        <f>IF($C$5=☆入力!$B$15,☆入力!$B20,☆入力!$C20)</f>
        <v>0</v>
      </c>
      <c r="D11" s="788"/>
      <c r="E11" s="788"/>
      <c r="F11" s="789"/>
      <c r="G11" s="790">
        <f>☆入力!D20</f>
        <v>0</v>
      </c>
      <c r="H11" s="790"/>
      <c r="I11" s="790"/>
      <c r="J11" s="790"/>
      <c r="K11" s="796">
        <f>☆入力!Y20</f>
        <v>0</v>
      </c>
      <c r="L11" s="796"/>
      <c r="M11" s="796"/>
      <c r="N11" s="796"/>
      <c r="O11" s="893" t="s">
        <v>305</v>
      </c>
      <c r="P11" s="894"/>
      <c r="Q11" s="796">
        <f>☆入力!AC20</f>
        <v>0</v>
      </c>
      <c r="R11" s="796"/>
      <c r="S11" s="796"/>
      <c r="T11" s="796"/>
      <c r="U11" s="896" t="str">
        <f t="shared" si="0"/>
        <v/>
      </c>
      <c r="V11" s="896"/>
      <c r="W11" s="896"/>
      <c r="Y11" s="62"/>
      <c r="AA11" s="804" t="s">
        <v>308</v>
      </c>
      <c r="AB11" s="804"/>
      <c r="AC11" s="804"/>
      <c r="AD11" s="804"/>
      <c r="AE11" s="804"/>
      <c r="AF11" s="804"/>
      <c r="AG11" s="804"/>
      <c r="AH11" s="804"/>
      <c r="AI11" s="804"/>
      <c r="AJ11" s="804"/>
      <c r="AK11" s="804"/>
      <c r="AL11" s="804"/>
      <c r="AM11" s="804"/>
      <c r="AN11" s="804"/>
      <c r="AO11" s="804"/>
      <c r="AP11" s="804"/>
      <c r="AQ11" s="804"/>
      <c r="AR11" s="804"/>
      <c r="AS11" s="804"/>
      <c r="AT11" s="804"/>
      <c r="AU11" s="804"/>
      <c r="AV11" s="804"/>
    </row>
    <row r="12" spans="1:61" s="3" customFormat="1" ht="21" customHeight="1" thickBot="1">
      <c r="A12" s="786">
        <v>6</v>
      </c>
      <c r="B12" s="786"/>
      <c r="C12" s="787">
        <f>IF($C$5=☆入力!$B$15,☆入力!$B21,☆入力!$C21)</f>
        <v>0</v>
      </c>
      <c r="D12" s="788"/>
      <c r="E12" s="788"/>
      <c r="F12" s="789"/>
      <c r="G12" s="790">
        <f>☆入力!D21</f>
        <v>0</v>
      </c>
      <c r="H12" s="790"/>
      <c r="I12" s="790"/>
      <c r="J12" s="790"/>
      <c r="K12" s="796">
        <f>☆入力!Y21</f>
        <v>0</v>
      </c>
      <c r="L12" s="796"/>
      <c r="M12" s="796"/>
      <c r="N12" s="796"/>
      <c r="O12" s="893" t="s">
        <v>305</v>
      </c>
      <c r="P12" s="894"/>
      <c r="Q12" s="796">
        <f>☆入力!AC21</f>
        <v>0</v>
      </c>
      <c r="R12" s="796"/>
      <c r="S12" s="796"/>
      <c r="T12" s="796"/>
      <c r="U12" s="896" t="str">
        <f t="shared" si="0"/>
        <v/>
      </c>
      <c r="V12" s="896"/>
      <c r="W12" s="896"/>
      <c r="Y12" s="62"/>
      <c r="AA12" s="804"/>
      <c r="AB12" s="804"/>
      <c r="AC12" s="804"/>
      <c r="AD12" s="804"/>
      <c r="AE12" s="804"/>
      <c r="AF12" s="804"/>
      <c r="AG12" s="804"/>
      <c r="AH12" s="804"/>
      <c r="AI12" s="804"/>
      <c r="AJ12" s="804"/>
      <c r="AK12" s="804"/>
      <c r="AL12" s="804"/>
      <c r="AM12" s="804"/>
      <c r="AN12" s="804"/>
      <c r="AO12" s="804"/>
      <c r="AP12" s="804"/>
      <c r="AQ12" s="804"/>
      <c r="AR12" s="804"/>
      <c r="AS12" s="804"/>
      <c r="AT12" s="804"/>
      <c r="AU12" s="804"/>
      <c r="AV12" s="804"/>
    </row>
    <row r="13" spans="1:61" s="3" customFormat="1" ht="21" customHeight="1" thickTop="1">
      <c r="A13" s="786">
        <v>7</v>
      </c>
      <c r="B13" s="786"/>
      <c r="C13" s="787">
        <f>IF($C$5=☆入力!$B$15,☆入力!$B22,☆入力!$C22)</f>
        <v>0</v>
      </c>
      <c r="D13" s="788"/>
      <c r="E13" s="788"/>
      <c r="F13" s="789"/>
      <c r="G13" s="790">
        <f>☆入力!D22</f>
        <v>0</v>
      </c>
      <c r="H13" s="790"/>
      <c r="I13" s="790"/>
      <c r="J13" s="790"/>
      <c r="K13" s="796">
        <f>☆入力!Y22</f>
        <v>0</v>
      </c>
      <c r="L13" s="796"/>
      <c r="M13" s="796"/>
      <c r="N13" s="796"/>
      <c r="O13" s="893" t="s">
        <v>305</v>
      </c>
      <c r="P13" s="894"/>
      <c r="Q13" s="796">
        <f>☆入力!AC22</f>
        <v>0</v>
      </c>
      <c r="R13" s="796"/>
      <c r="S13" s="796"/>
      <c r="T13" s="796"/>
      <c r="U13" s="896" t="str">
        <f t="shared" si="0"/>
        <v/>
      </c>
      <c r="V13" s="896"/>
      <c r="W13" s="896"/>
      <c r="Y13" s="62"/>
      <c r="AA13" s="920">
        <f>②前!$AS$13</f>
        <v>0</v>
      </c>
      <c r="AB13" s="921"/>
      <c r="AC13" s="921"/>
      <c r="AD13" s="921"/>
      <c r="AE13" s="921"/>
      <c r="AF13" s="921"/>
      <c r="AG13" s="921"/>
      <c r="AH13" s="921"/>
      <c r="AI13" s="922"/>
      <c r="AJ13" s="939" t="s">
        <v>306</v>
      </c>
      <c r="AK13" s="935"/>
      <c r="AL13" s="935"/>
      <c r="AM13" s="940"/>
      <c r="AN13" s="947">
        <f>③後!AS13</f>
        <v>0</v>
      </c>
      <c r="AO13" s="948"/>
      <c r="AP13" s="948"/>
      <c r="AQ13" s="948"/>
      <c r="AR13" s="948"/>
      <c r="AS13" s="948"/>
      <c r="AT13" s="948"/>
      <c r="AU13" s="948"/>
      <c r="AV13" s="949"/>
      <c r="AW13" s="934" t="s">
        <v>307</v>
      </c>
      <c r="AX13" s="935"/>
      <c r="AY13" s="935"/>
      <c r="AZ13" s="936"/>
      <c r="BA13" s="961">
        <f>AA13-AN13</f>
        <v>0</v>
      </c>
      <c r="BB13" s="962"/>
      <c r="BC13" s="962"/>
      <c r="BD13" s="962"/>
      <c r="BE13" s="962"/>
      <c r="BF13" s="962"/>
      <c r="BG13" s="962"/>
      <c r="BH13" s="962"/>
      <c r="BI13" s="963"/>
    </row>
    <row r="14" spans="1:61" s="3" customFormat="1" ht="21" customHeight="1" thickBot="1">
      <c r="A14" s="786">
        <v>8</v>
      </c>
      <c r="B14" s="786"/>
      <c r="C14" s="787">
        <f>IF($C$5=☆入力!$B$15,☆入力!$B23,☆入力!$C23)</f>
        <v>0</v>
      </c>
      <c r="D14" s="788"/>
      <c r="E14" s="788"/>
      <c r="F14" s="789"/>
      <c r="G14" s="790">
        <f>☆入力!D23</f>
        <v>0</v>
      </c>
      <c r="H14" s="790"/>
      <c r="I14" s="790"/>
      <c r="J14" s="790"/>
      <c r="K14" s="796">
        <f>☆入力!Y23</f>
        <v>0</v>
      </c>
      <c r="L14" s="796"/>
      <c r="M14" s="796"/>
      <c r="N14" s="796"/>
      <c r="O14" s="893" t="s">
        <v>305</v>
      </c>
      <c r="P14" s="894"/>
      <c r="Q14" s="796">
        <f>☆入力!AC23</f>
        <v>0</v>
      </c>
      <c r="R14" s="796"/>
      <c r="S14" s="796"/>
      <c r="T14" s="796"/>
      <c r="U14" s="896" t="str">
        <f t="shared" si="0"/>
        <v/>
      </c>
      <c r="V14" s="896"/>
      <c r="W14" s="896"/>
      <c r="Y14" s="62"/>
      <c r="AA14" s="923"/>
      <c r="AB14" s="924"/>
      <c r="AC14" s="924"/>
      <c r="AD14" s="924"/>
      <c r="AE14" s="924"/>
      <c r="AF14" s="924"/>
      <c r="AG14" s="924"/>
      <c r="AH14" s="924"/>
      <c r="AI14" s="925"/>
      <c r="AJ14" s="939"/>
      <c r="AK14" s="935"/>
      <c r="AL14" s="935"/>
      <c r="AM14" s="940"/>
      <c r="AN14" s="950"/>
      <c r="AO14" s="951"/>
      <c r="AP14" s="951"/>
      <c r="AQ14" s="951"/>
      <c r="AR14" s="951"/>
      <c r="AS14" s="951"/>
      <c r="AT14" s="951"/>
      <c r="AU14" s="951"/>
      <c r="AV14" s="952"/>
      <c r="AW14" s="934"/>
      <c r="AX14" s="935"/>
      <c r="AY14" s="935"/>
      <c r="AZ14" s="936"/>
      <c r="BA14" s="964"/>
      <c r="BB14" s="965"/>
      <c r="BC14" s="965"/>
      <c r="BD14" s="965"/>
      <c r="BE14" s="965"/>
      <c r="BF14" s="965"/>
      <c r="BG14" s="965"/>
      <c r="BH14" s="965"/>
      <c r="BI14" s="966"/>
    </row>
    <row r="15" spans="1:61" s="3" customFormat="1" ht="21" customHeight="1" thickTop="1">
      <c r="A15" s="786">
        <v>9</v>
      </c>
      <c r="B15" s="786"/>
      <c r="C15" s="787">
        <f>IF($C$5=☆入力!$B$15,☆入力!$B24,☆入力!$C24)</f>
        <v>0</v>
      </c>
      <c r="D15" s="788"/>
      <c r="E15" s="788"/>
      <c r="F15" s="789"/>
      <c r="G15" s="790">
        <f>☆入力!D24</f>
        <v>0</v>
      </c>
      <c r="H15" s="790"/>
      <c r="I15" s="790"/>
      <c r="J15" s="790"/>
      <c r="K15" s="796">
        <f>☆入力!Y24</f>
        <v>0</v>
      </c>
      <c r="L15" s="796"/>
      <c r="M15" s="796"/>
      <c r="N15" s="796"/>
      <c r="O15" s="893" t="s">
        <v>305</v>
      </c>
      <c r="P15" s="894"/>
      <c r="Q15" s="796">
        <f>☆入力!AC24</f>
        <v>0</v>
      </c>
      <c r="R15" s="796"/>
      <c r="S15" s="796"/>
      <c r="T15" s="796"/>
      <c r="U15" s="896" t="str">
        <f t="shared" si="0"/>
        <v/>
      </c>
      <c r="V15" s="896"/>
      <c r="W15" s="896"/>
      <c r="Y15" s="62"/>
      <c r="AA15" s="850" t="s">
        <v>275</v>
      </c>
      <c r="AB15" s="850"/>
      <c r="AC15" s="850"/>
      <c r="AD15" s="850"/>
      <c r="AE15" s="850"/>
      <c r="AF15" s="850"/>
      <c r="AG15" s="850"/>
      <c r="AH15" s="850"/>
      <c r="AI15" s="850"/>
      <c r="AN15" s="883" t="s">
        <v>275</v>
      </c>
      <c r="AO15" s="883"/>
      <c r="AP15" s="883"/>
      <c r="AQ15" s="883"/>
      <c r="AR15" s="883"/>
      <c r="AS15" s="883"/>
      <c r="AT15" s="883"/>
      <c r="AU15" s="883"/>
      <c r="AV15" s="883"/>
      <c r="BA15" s="960" t="s">
        <v>275</v>
      </c>
      <c r="BB15" s="960"/>
      <c r="BC15" s="960"/>
      <c r="BD15" s="960"/>
      <c r="BE15" s="960"/>
      <c r="BF15" s="960"/>
      <c r="BG15" s="960"/>
      <c r="BH15" s="960"/>
      <c r="BI15" s="960"/>
    </row>
    <row r="16" spans="1:61" s="3" customFormat="1" ht="21" customHeight="1">
      <c r="A16" s="786">
        <v>10</v>
      </c>
      <c r="B16" s="786"/>
      <c r="C16" s="787">
        <f>IF($C$5=☆入力!$B$15,☆入力!$B25,☆入力!$C25)</f>
        <v>0</v>
      </c>
      <c r="D16" s="788"/>
      <c r="E16" s="788"/>
      <c r="F16" s="789"/>
      <c r="G16" s="790">
        <f>☆入力!D25</f>
        <v>0</v>
      </c>
      <c r="H16" s="790"/>
      <c r="I16" s="790"/>
      <c r="J16" s="790"/>
      <c r="K16" s="796">
        <f>☆入力!Y25</f>
        <v>0</v>
      </c>
      <c r="L16" s="796"/>
      <c r="M16" s="796"/>
      <c r="N16" s="796"/>
      <c r="O16" s="893" t="s">
        <v>305</v>
      </c>
      <c r="P16" s="894"/>
      <c r="Q16" s="796">
        <f>☆入力!AC25</f>
        <v>0</v>
      </c>
      <c r="R16" s="796"/>
      <c r="S16" s="796"/>
      <c r="T16" s="796"/>
      <c r="U16" s="896" t="str">
        <f t="shared" si="0"/>
        <v/>
      </c>
      <c r="V16" s="896"/>
      <c r="W16" s="896"/>
      <c r="Y16" s="62"/>
      <c r="AA16" s="850"/>
      <c r="AB16" s="850"/>
      <c r="AC16" s="850"/>
      <c r="AD16" s="850"/>
      <c r="AE16" s="850"/>
      <c r="AF16" s="850"/>
      <c r="AG16" s="850"/>
      <c r="AH16" s="850"/>
      <c r="AI16" s="850"/>
      <c r="AN16" s="883"/>
      <c r="AO16" s="883"/>
      <c r="AP16" s="883"/>
      <c r="AQ16" s="883"/>
      <c r="AR16" s="883"/>
      <c r="AS16" s="883"/>
      <c r="AT16" s="883"/>
      <c r="AU16" s="883"/>
      <c r="AV16" s="883"/>
      <c r="BA16" s="960"/>
      <c r="BB16" s="960"/>
      <c r="BC16" s="960"/>
      <c r="BD16" s="960"/>
      <c r="BE16" s="960"/>
      <c r="BF16" s="960"/>
      <c r="BG16" s="960"/>
      <c r="BH16" s="960"/>
      <c r="BI16" s="960"/>
    </row>
    <row r="17" spans="1:61" s="3" customFormat="1" ht="21" customHeight="1">
      <c r="A17" s="786">
        <v>11</v>
      </c>
      <c r="B17" s="786"/>
      <c r="C17" s="787">
        <f>IF($C$5=☆入力!$B$15,☆入力!$B26,☆入力!$C26)</f>
        <v>0</v>
      </c>
      <c r="D17" s="788"/>
      <c r="E17" s="788"/>
      <c r="F17" s="789"/>
      <c r="G17" s="790">
        <f>☆入力!D26</f>
        <v>0</v>
      </c>
      <c r="H17" s="790"/>
      <c r="I17" s="790"/>
      <c r="J17" s="790"/>
      <c r="K17" s="796">
        <f>☆入力!Y26</f>
        <v>0</v>
      </c>
      <c r="L17" s="796"/>
      <c r="M17" s="796"/>
      <c r="N17" s="796"/>
      <c r="O17" s="893" t="s">
        <v>305</v>
      </c>
      <c r="P17" s="894"/>
      <c r="Q17" s="796">
        <f>☆入力!AC26</f>
        <v>0</v>
      </c>
      <c r="R17" s="796"/>
      <c r="S17" s="796"/>
      <c r="T17" s="796"/>
      <c r="U17" s="896" t="str">
        <f t="shared" si="0"/>
        <v/>
      </c>
      <c r="V17" s="896"/>
      <c r="W17" s="896"/>
      <c r="Y17" s="62"/>
      <c r="AA17" s="804" t="s">
        <v>309</v>
      </c>
      <c r="AB17" s="804"/>
      <c r="AC17" s="804"/>
      <c r="AD17" s="804"/>
      <c r="AE17" s="804"/>
      <c r="AF17" s="804"/>
      <c r="AG17" s="804"/>
      <c r="AH17" s="804"/>
      <c r="AI17" s="804"/>
      <c r="AJ17" s="804"/>
      <c r="AK17" s="804"/>
      <c r="AL17" s="804"/>
      <c r="AM17" s="804"/>
      <c r="AN17" s="804"/>
      <c r="AO17" s="804"/>
      <c r="AP17" s="804"/>
      <c r="AQ17" s="804"/>
      <c r="AR17" s="804"/>
      <c r="AS17" s="804"/>
      <c r="AT17" s="804"/>
      <c r="AU17" s="804"/>
      <c r="AV17" s="804"/>
    </row>
    <row r="18" spans="1:61" s="3" customFormat="1" ht="21" customHeight="1" thickBot="1">
      <c r="A18" s="786">
        <v>12</v>
      </c>
      <c r="B18" s="786"/>
      <c r="C18" s="787">
        <f>IF($C$5=☆入力!$B$15,☆入力!$B27,☆入力!$C27)</f>
        <v>0</v>
      </c>
      <c r="D18" s="788"/>
      <c r="E18" s="788"/>
      <c r="F18" s="789"/>
      <c r="G18" s="790">
        <f>☆入力!D27</f>
        <v>0</v>
      </c>
      <c r="H18" s="790"/>
      <c r="I18" s="790"/>
      <c r="J18" s="790"/>
      <c r="K18" s="796">
        <f>☆入力!Y27</f>
        <v>0</v>
      </c>
      <c r="L18" s="796"/>
      <c r="M18" s="796"/>
      <c r="N18" s="796"/>
      <c r="O18" s="893" t="s">
        <v>305</v>
      </c>
      <c r="P18" s="894"/>
      <c r="Q18" s="796">
        <f>☆入力!AC27</f>
        <v>0</v>
      </c>
      <c r="R18" s="796"/>
      <c r="S18" s="796"/>
      <c r="T18" s="796"/>
      <c r="U18" s="896" t="str">
        <f t="shared" si="0"/>
        <v/>
      </c>
      <c r="V18" s="896"/>
      <c r="W18" s="896"/>
      <c r="Y18" s="62"/>
      <c r="AA18" s="804"/>
      <c r="AB18" s="804"/>
      <c r="AC18" s="804"/>
      <c r="AD18" s="804"/>
      <c r="AE18" s="804"/>
      <c r="AF18" s="804"/>
      <c r="AG18" s="804"/>
      <c r="AH18" s="804"/>
      <c r="AI18" s="804"/>
      <c r="AJ18" s="804"/>
      <c r="AK18" s="804"/>
      <c r="AL18" s="804"/>
      <c r="AM18" s="804"/>
      <c r="AN18" s="804"/>
      <c r="AO18" s="804"/>
      <c r="AP18" s="804"/>
      <c r="AQ18" s="804"/>
      <c r="AR18" s="804"/>
      <c r="AS18" s="804"/>
      <c r="AT18" s="804"/>
      <c r="AU18" s="804"/>
      <c r="AV18" s="804"/>
    </row>
    <row r="19" spans="1:61" s="3" customFormat="1" ht="21" customHeight="1" thickTop="1">
      <c r="A19" s="786">
        <v>13</v>
      </c>
      <c r="B19" s="786"/>
      <c r="C19" s="787">
        <f>IF($C$5=☆入力!$B$15,☆入力!$B28,☆入力!$C28)</f>
        <v>0</v>
      </c>
      <c r="D19" s="788"/>
      <c r="E19" s="788"/>
      <c r="F19" s="789"/>
      <c r="G19" s="790">
        <f>☆入力!D28</f>
        <v>0</v>
      </c>
      <c r="H19" s="790"/>
      <c r="I19" s="790"/>
      <c r="J19" s="790"/>
      <c r="K19" s="796">
        <f>☆入力!Y28</f>
        <v>0</v>
      </c>
      <c r="L19" s="796"/>
      <c r="M19" s="796"/>
      <c r="N19" s="796"/>
      <c r="O19" s="893" t="s">
        <v>305</v>
      </c>
      <c r="P19" s="894"/>
      <c r="Q19" s="796">
        <f>☆入力!AC28</f>
        <v>0</v>
      </c>
      <c r="R19" s="796"/>
      <c r="S19" s="796"/>
      <c r="T19" s="796"/>
      <c r="U19" s="896" t="str">
        <f t="shared" si="0"/>
        <v/>
      </c>
      <c r="V19" s="896"/>
      <c r="W19" s="896"/>
      <c r="Y19" s="62"/>
      <c r="AA19" s="920">
        <f>②前!$AS$24</f>
        <v>0</v>
      </c>
      <c r="AB19" s="921"/>
      <c r="AC19" s="921"/>
      <c r="AD19" s="921"/>
      <c r="AE19" s="921"/>
      <c r="AF19" s="921"/>
      <c r="AG19" s="921"/>
      <c r="AH19" s="921"/>
      <c r="AI19" s="922"/>
      <c r="AJ19" s="939" t="s">
        <v>306</v>
      </c>
      <c r="AK19" s="935"/>
      <c r="AL19" s="935"/>
      <c r="AM19" s="940"/>
      <c r="AN19" s="947">
        <f>③後!AS24</f>
        <v>0</v>
      </c>
      <c r="AO19" s="948"/>
      <c r="AP19" s="948"/>
      <c r="AQ19" s="948"/>
      <c r="AR19" s="948"/>
      <c r="AS19" s="948"/>
      <c r="AT19" s="948"/>
      <c r="AU19" s="948"/>
      <c r="AV19" s="949"/>
      <c r="AW19" s="934" t="s">
        <v>307</v>
      </c>
      <c r="AX19" s="935"/>
      <c r="AY19" s="935"/>
      <c r="AZ19" s="936"/>
      <c r="BA19" s="961">
        <f>AA19-AN19</f>
        <v>0</v>
      </c>
      <c r="BB19" s="962"/>
      <c r="BC19" s="962"/>
      <c r="BD19" s="962"/>
      <c r="BE19" s="962"/>
      <c r="BF19" s="962"/>
      <c r="BG19" s="962"/>
      <c r="BH19" s="962"/>
      <c r="BI19" s="963"/>
    </row>
    <row r="20" spans="1:61" s="3" customFormat="1" ht="21" customHeight="1" thickBot="1">
      <c r="A20" s="786">
        <v>14</v>
      </c>
      <c r="B20" s="786"/>
      <c r="C20" s="787">
        <f>IF($C$5=☆入力!$B$15,☆入力!$B29,☆入力!$C29)</f>
        <v>0</v>
      </c>
      <c r="D20" s="788"/>
      <c r="E20" s="788"/>
      <c r="F20" s="789"/>
      <c r="G20" s="790">
        <f>☆入力!D29</f>
        <v>0</v>
      </c>
      <c r="H20" s="790"/>
      <c r="I20" s="790"/>
      <c r="J20" s="790"/>
      <c r="K20" s="796">
        <f>☆入力!Y29</f>
        <v>0</v>
      </c>
      <c r="L20" s="796"/>
      <c r="M20" s="796"/>
      <c r="N20" s="796"/>
      <c r="O20" s="893" t="s">
        <v>305</v>
      </c>
      <c r="P20" s="894"/>
      <c r="Q20" s="796">
        <f>☆入力!AC29</f>
        <v>0</v>
      </c>
      <c r="R20" s="796"/>
      <c r="S20" s="796"/>
      <c r="T20" s="796"/>
      <c r="U20" s="896" t="str">
        <f t="shared" si="0"/>
        <v/>
      </c>
      <c r="V20" s="896"/>
      <c r="W20" s="896"/>
      <c r="Y20" s="62"/>
      <c r="AA20" s="923"/>
      <c r="AB20" s="924"/>
      <c r="AC20" s="924"/>
      <c r="AD20" s="924"/>
      <c r="AE20" s="924"/>
      <c r="AF20" s="924"/>
      <c r="AG20" s="924"/>
      <c r="AH20" s="924"/>
      <c r="AI20" s="925"/>
      <c r="AJ20" s="939"/>
      <c r="AK20" s="935"/>
      <c r="AL20" s="935"/>
      <c r="AM20" s="940"/>
      <c r="AN20" s="950"/>
      <c r="AO20" s="951"/>
      <c r="AP20" s="951"/>
      <c r="AQ20" s="951"/>
      <c r="AR20" s="951"/>
      <c r="AS20" s="951"/>
      <c r="AT20" s="951"/>
      <c r="AU20" s="951"/>
      <c r="AV20" s="952"/>
      <c r="AW20" s="934"/>
      <c r="AX20" s="935"/>
      <c r="AY20" s="935"/>
      <c r="AZ20" s="936"/>
      <c r="BA20" s="964"/>
      <c r="BB20" s="965"/>
      <c r="BC20" s="965"/>
      <c r="BD20" s="965"/>
      <c r="BE20" s="965"/>
      <c r="BF20" s="965"/>
      <c r="BG20" s="965"/>
      <c r="BH20" s="965"/>
      <c r="BI20" s="966"/>
    </row>
    <row r="21" spans="1:61" s="3" customFormat="1" ht="21" customHeight="1" thickTop="1">
      <c r="A21" s="786">
        <v>15</v>
      </c>
      <c r="B21" s="786"/>
      <c r="C21" s="787">
        <f>IF($C$5=☆入力!$B$15,☆入力!$B30,☆入力!$C30)</f>
        <v>0</v>
      </c>
      <c r="D21" s="788"/>
      <c r="E21" s="788"/>
      <c r="F21" s="789"/>
      <c r="G21" s="790">
        <f>☆入力!D30</f>
        <v>0</v>
      </c>
      <c r="H21" s="790"/>
      <c r="I21" s="790"/>
      <c r="J21" s="790"/>
      <c r="K21" s="796">
        <f>☆入力!Y30</f>
        <v>0</v>
      </c>
      <c r="L21" s="796"/>
      <c r="M21" s="796"/>
      <c r="N21" s="796"/>
      <c r="O21" s="893" t="s">
        <v>305</v>
      </c>
      <c r="P21" s="894"/>
      <c r="Q21" s="796">
        <f>☆入力!AC30</f>
        <v>0</v>
      </c>
      <c r="R21" s="796"/>
      <c r="S21" s="796"/>
      <c r="T21" s="796"/>
      <c r="U21" s="896" t="str">
        <f t="shared" si="0"/>
        <v/>
      </c>
      <c r="V21" s="896"/>
      <c r="W21" s="896"/>
      <c r="Y21" s="62"/>
    </row>
    <row r="22" spans="1:61" s="3" customFormat="1" ht="21" customHeight="1">
      <c r="A22" s="786">
        <v>16</v>
      </c>
      <c r="B22" s="786"/>
      <c r="C22" s="787">
        <f>IF($C$5=☆入力!$B$15,☆入力!$B31,☆入力!$C31)</f>
        <v>0</v>
      </c>
      <c r="D22" s="788"/>
      <c r="E22" s="788"/>
      <c r="F22" s="789"/>
      <c r="G22" s="790">
        <f>☆入力!D31</f>
        <v>0</v>
      </c>
      <c r="H22" s="790"/>
      <c r="I22" s="790"/>
      <c r="J22" s="790"/>
      <c r="K22" s="796">
        <f>☆入力!Y31</f>
        <v>0</v>
      </c>
      <c r="L22" s="796"/>
      <c r="M22" s="796"/>
      <c r="N22" s="796"/>
      <c r="O22" s="893" t="s">
        <v>305</v>
      </c>
      <c r="P22" s="894"/>
      <c r="Q22" s="796">
        <f>☆入力!AC31</f>
        <v>0</v>
      </c>
      <c r="R22" s="796"/>
      <c r="S22" s="796"/>
      <c r="T22" s="796"/>
      <c r="U22" s="896" t="str">
        <f t="shared" si="0"/>
        <v/>
      </c>
      <c r="V22" s="896"/>
      <c r="W22" s="896"/>
      <c r="Y22" s="62"/>
    </row>
    <row r="23" spans="1:61" s="3" customFormat="1" ht="21" customHeight="1">
      <c r="A23" s="786">
        <v>17</v>
      </c>
      <c r="B23" s="786"/>
      <c r="C23" s="787">
        <f>IF($C$5=☆入力!$B$15,☆入力!$B32,☆入力!$C32)</f>
        <v>0</v>
      </c>
      <c r="D23" s="788"/>
      <c r="E23" s="788"/>
      <c r="F23" s="789"/>
      <c r="G23" s="790">
        <f>☆入力!D32</f>
        <v>0</v>
      </c>
      <c r="H23" s="790"/>
      <c r="I23" s="790"/>
      <c r="J23" s="790"/>
      <c r="K23" s="796">
        <f>☆入力!Y32</f>
        <v>0</v>
      </c>
      <c r="L23" s="796"/>
      <c r="M23" s="796"/>
      <c r="N23" s="796"/>
      <c r="O23" s="893" t="s">
        <v>305</v>
      </c>
      <c r="P23" s="894"/>
      <c r="Q23" s="796">
        <f>☆入力!AC32</f>
        <v>0</v>
      </c>
      <c r="R23" s="796"/>
      <c r="S23" s="796"/>
      <c r="T23" s="796"/>
      <c r="U23" s="896" t="str">
        <f t="shared" si="0"/>
        <v/>
      </c>
      <c r="V23" s="896"/>
      <c r="W23" s="896"/>
      <c r="Y23" s="62"/>
    </row>
    <row r="24" spans="1:61" s="3" customFormat="1" ht="21" customHeight="1">
      <c r="A24" s="786">
        <v>18</v>
      </c>
      <c r="B24" s="786"/>
      <c r="C24" s="787">
        <f>IF($C$5=☆入力!$B$15,☆入力!$B33,☆入力!$C33)</f>
        <v>0</v>
      </c>
      <c r="D24" s="788"/>
      <c r="E24" s="788"/>
      <c r="F24" s="789"/>
      <c r="G24" s="790">
        <f>☆入力!D33</f>
        <v>0</v>
      </c>
      <c r="H24" s="790"/>
      <c r="I24" s="790"/>
      <c r="J24" s="790"/>
      <c r="K24" s="796">
        <f>☆入力!Y33</f>
        <v>0</v>
      </c>
      <c r="L24" s="796"/>
      <c r="M24" s="796"/>
      <c r="N24" s="796"/>
      <c r="O24" s="893" t="s">
        <v>305</v>
      </c>
      <c r="P24" s="894"/>
      <c r="Q24" s="796">
        <f>☆入力!AC33</f>
        <v>0</v>
      </c>
      <c r="R24" s="796"/>
      <c r="S24" s="796"/>
      <c r="T24" s="796"/>
      <c r="U24" s="896" t="str">
        <f t="shared" si="0"/>
        <v/>
      </c>
      <c r="V24" s="896"/>
      <c r="W24" s="896"/>
      <c r="Y24" s="62"/>
    </row>
    <row r="25" spans="1:61" s="3" customFormat="1" ht="21" customHeight="1">
      <c r="A25" s="786">
        <v>19</v>
      </c>
      <c r="B25" s="786"/>
      <c r="C25" s="787">
        <f>IF($C$5=☆入力!$B$15,☆入力!$B34,☆入力!$C34)</f>
        <v>0</v>
      </c>
      <c r="D25" s="788"/>
      <c r="E25" s="788"/>
      <c r="F25" s="789"/>
      <c r="G25" s="790">
        <f>☆入力!D34</f>
        <v>0</v>
      </c>
      <c r="H25" s="790"/>
      <c r="I25" s="790"/>
      <c r="J25" s="790"/>
      <c r="K25" s="796">
        <f>☆入力!Y34</f>
        <v>0</v>
      </c>
      <c r="L25" s="796"/>
      <c r="M25" s="796"/>
      <c r="N25" s="796"/>
      <c r="O25" s="893" t="s">
        <v>305</v>
      </c>
      <c r="P25" s="894"/>
      <c r="Q25" s="796">
        <f>☆入力!AC34</f>
        <v>0</v>
      </c>
      <c r="R25" s="796"/>
      <c r="S25" s="796"/>
      <c r="T25" s="796"/>
      <c r="U25" s="896" t="str">
        <f t="shared" si="0"/>
        <v/>
      </c>
      <c r="V25" s="896"/>
      <c r="W25" s="896"/>
      <c r="Y25" s="62"/>
    </row>
    <row r="26" spans="1:61" s="3" customFormat="1" ht="21" customHeight="1">
      <c r="A26" s="786">
        <v>20</v>
      </c>
      <c r="B26" s="786"/>
      <c r="C26" s="787">
        <f>IF($C$5=☆入力!$B$15,☆入力!$B35,☆入力!$C35)</f>
        <v>0</v>
      </c>
      <c r="D26" s="788"/>
      <c r="E26" s="788"/>
      <c r="F26" s="789"/>
      <c r="G26" s="790">
        <f>☆入力!D35</f>
        <v>0</v>
      </c>
      <c r="H26" s="790"/>
      <c r="I26" s="790"/>
      <c r="J26" s="790"/>
      <c r="K26" s="796">
        <f>☆入力!Y35</f>
        <v>0</v>
      </c>
      <c r="L26" s="796"/>
      <c r="M26" s="796"/>
      <c r="N26" s="796"/>
      <c r="O26" s="893" t="s">
        <v>305</v>
      </c>
      <c r="P26" s="894"/>
      <c r="Q26" s="796">
        <f>☆入力!AC35</f>
        <v>0</v>
      </c>
      <c r="R26" s="796"/>
      <c r="S26" s="796"/>
      <c r="T26" s="796"/>
      <c r="U26" s="896" t="str">
        <f t="shared" si="0"/>
        <v/>
      </c>
      <c r="V26" s="896"/>
      <c r="W26" s="896"/>
      <c r="Y26" s="62"/>
    </row>
    <row r="27" spans="1:61" s="3" customFormat="1" ht="21" customHeight="1">
      <c r="A27" s="786">
        <v>21</v>
      </c>
      <c r="B27" s="786"/>
      <c r="C27" s="787">
        <f>IF($C$5=☆入力!$B$15,☆入力!$B36,☆入力!$C36)</f>
        <v>0</v>
      </c>
      <c r="D27" s="788"/>
      <c r="E27" s="788"/>
      <c r="F27" s="789"/>
      <c r="G27" s="790">
        <f>☆入力!D36</f>
        <v>0</v>
      </c>
      <c r="H27" s="790"/>
      <c r="I27" s="790"/>
      <c r="J27" s="790"/>
      <c r="K27" s="796">
        <f>☆入力!Y36</f>
        <v>0</v>
      </c>
      <c r="L27" s="796"/>
      <c r="M27" s="796"/>
      <c r="N27" s="796"/>
      <c r="O27" s="893" t="s">
        <v>305</v>
      </c>
      <c r="P27" s="894"/>
      <c r="Q27" s="796">
        <f>☆入力!AC36</f>
        <v>0</v>
      </c>
      <c r="R27" s="796"/>
      <c r="S27" s="796"/>
      <c r="T27" s="796"/>
      <c r="U27" s="896" t="str">
        <f t="shared" si="0"/>
        <v/>
      </c>
      <c r="V27" s="896"/>
      <c r="W27" s="896"/>
      <c r="Y27" s="62"/>
      <c r="AA27" s="935" t="s">
        <v>310</v>
      </c>
      <c r="AB27" s="935"/>
      <c r="AC27" s="935"/>
      <c r="AD27" s="935"/>
      <c r="AE27" s="935"/>
      <c r="AF27" s="935"/>
      <c r="AG27" s="935"/>
      <c r="AH27" s="935"/>
      <c r="AI27" s="935"/>
      <c r="AJ27" s="935"/>
      <c r="AK27" s="935"/>
      <c r="AL27" s="935"/>
      <c r="AM27" s="935"/>
      <c r="AN27" s="935"/>
      <c r="AO27" s="935"/>
      <c r="AP27" s="935"/>
      <c r="AQ27" s="935"/>
      <c r="AR27" s="935"/>
      <c r="AS27" s="935"/>
      <c r="AT27" s="935"/>
      <c r="AU27" s="935"/>
      <c r="AV27" s="935"/>
      <c r="AW27" s="935"/>
      <c r="AX27" s="935"/>
      <c r="AY27" s="935"/>
      <c r="AZ27" s="935"/>
      <c r="BA27" s="935"/>
      <c r="BB27" s="935"/>
      <c r="BC27" s="935"/>
      <c r="BD27" s="935"/>
      <c r="BE27" s="935"/>
      <c r="BF27" s="935"/>
      <c r="BG27" s="935"/>
      <c r="BH27" s="935"/>
      <c r="BI27" s="935"/>
    </row>
    <row r="28" spans="1:61" s="3" customFormat="1" ht="21" customHeight="1" thickBot="1">
      <c r="A28" s="786">
        <v>22</v>
      </c>
      <c r="B28" s="786"/>
      <c r="C28" s="787">
        <f>IF($C$5=☆入力!$B$15,☆入力!$B37,☆入力!$C37)</f>
        <v>0</v>
      </c>
      <c r="D28" s="788"/>
      <c r="E28" s="788"/>
      <c r="F28" s="789"/>
      <c r="G28" s="790">
        <f>☆入力!D37</f>
        <v>0</v>
      </c>
      <c r="H28" s="790"/>
      <c r="I28" s="790"/>
      <c r="J28" s="790"/>
      <c r="K28" s="796">
        <f>☆入力!Y37</f>
        <v>0</v>
      </c>
      <c r="L28" s="796"/>
      <c r="M28" s="796"/>
      <c r="N28" s="796"/>
      <c r="O28" s="893" t="s">
        <v>305</v>
      </c>
      <c r="P28" s="894"/>
      <c r="Q28" s="796">
        <f>☆入力!AC37</f>
        <v>0</v>
      </c>
      <c r="R28" s="796"/>
      <c r="S28" s="796"/>
      <c r="T28" s="796"/>
      <c r="U28" s="896" t="str">
        <f t="shared" si="0"/>
        <v/>
      </c>
      <c r="V28" s="896"/>
      <c r="W28" s="896"/>
      <c r="Y28" s="62"/>
      <c r="AA28" s="935"/>
      <c r="AB28" s="935"/>
      <c r="AC28" s="935"/>
      <c r="AD28" s="935"/>
      <c r="AE28" s="935"/>
      <c r="AF28" s="935"/>
      <c r="AG28" s="935"/>
      <c r="AH28" s="935"/>
      <c r="AI28" s="935"/>
      <c r="AJ28" s="935"/>
      <c r="AK28" s="935"/>
      <c r="AL28" s="935"/>
      <c r="AM28" s="935"/>
      <c r="AN28" s="935"/>
      <c r="AO28" s="935"/>
      <c r="AP28" s="935"/>
      <c r="AQ28" s="935"/>
      <c r="AR28" s="935"/>
      <c r="AS28" s="935"/>
      <c r="AT28" s="935"/>
      <c r="AU28" s="935"/>
      <c r="AV28" s="935"/>
      <c r="AW28" s="935"/>
      <c r="AX28" s="935"/>
      <c r="AY28" s="935"/>
      <c r="AZ28" s="935"/>
      <c r="BA28" s="935"/>
      <c r="BB28" s="935"/>
      <c r="BC28" s="935"/>
      <c r="BD28" s="935"/>
      <c r="BE28" s="935"/>
      <c r="BF28" s="935"/>
      <c r="BG28" s="935"/>
      <c r="BH28" s="935"/>
      <c r="BI28" s="935"/>
    </row>
    <row r="29" spans="1:61" s="3" customFormat="1" ht="21" customHeight="1" thickTop="1">
      <c r="A29" s="786">
        <v>23</v>
      </c>
      <c r="B29" s="786"/>
      <c r="C29" s="787">
        <f>IF($C$5=☆入力!$B$15,☆入力!$B38,☆入力!$C38)</f>
        <v>0</v>
      </c>
      <c r="D29" s="788"/>
      <c r="E29" s="788"/>
      <c r="F29" s="789"/>
      <c r="G29" s="790">
        <f>☆入力!D38</f>
        <v>0</v>
      </c>
      <c r="H29" s="790"/>
      <c r="I29" s="790"/>
      <c r="J29" s="790"/>
      <c r="K29" s="796">
        <f>☆入力!Y38</f>
        <v>0</v>
      </c>
      <c r="L29" s="796"/>
      <c r="M29" s="796"/>
      <c r="N29" s="796"/>
      <c r="O29" s="893" t="s">
        <v>305</v>
      </c>
      <c r="P29" s="894"/>
      <c r="Q29" s="796">
        <f>☆入力!AC38</f>
        <v>0</v>
      </c>
      <c r="R29" s="796"/>
      <c r="S29" s="796"/>
      <c r="T29" s="796"/>
      <c r="U29" s="896" t="str">
        <f t="shared" si="0"/>
        <v/>
      </c>
      <c r="V29" s="896"/>
      <c r="W29" s="896"/>
      <c r="Y29" s="62"/>
      <c r="AA29" s="821">
        <f>AA7+AA13+AA19</f>
        <v>0</v>
      </c>
      <c r="AB29" s="822"/>
      <c r="AC29" s="822"/>
      <c r="AD29" s="822"/>
      <c r="AE29" s="822"/>
      <c r="AF29" s="822"/>
      <c r="AG29" s="822"/>
      <c r="AH29" s="822"/>
      <c r="AI29" s="823"/>
      <c r="AJ29" s="939" t="s">
        <v>306</v>
      </c>
      <c r="AK29" s="935"/>
      <c r="AL29" s="935"/>
      <c r="AM29" s="940"/>
      <c r="AN29" s="857">
        <f>AN7+AN13+AN19</f>
        <v>0</v>
      </c>
      <c r="AO29" s="858"/>
      <c r="AP29" s="858"/>
      <c r="AQ29" s="858"/>
      <c r="AR29" s="858"/>
      <c r="AS29" s="858"/>
      <c r="AT29" s="858"/>
      <c r="AU29" s="858"/>
      <c r="AV29" s="859"/>
      <c r="AW29" s="934" t="s">
        <v>307</v>
      </c>
      <c r="AX29" s="935"/>
      <c r="AY29" s="935"/>
      <c r="AZ29" s="936"/>
      <c r="BA29" s="928">
        <f>AA29-AN29</f>
        <v>0</v>
      </c>
      <c r="BB29" s="929"/>
      <c r="BC29" s="929"/>
      <c r="BD29" s="929"/>
      <c r="BE29" s="929"/>
      <c r="BF29" s="929"/>
      <c r="BG29" s="929"/>
      <c r="BH29" s="929"/>
      <c r="BI29" s="930"/>
    </row>
    <row r="30" spans="1:61" s="3" customFormat="1" ht="21" customHeight="1" thickBot="1">
      <c r="A30" s="908">
        <v>24</v>
      </c>
      <c r="B30" s="908"/>
      <c r="C30" s="909">
        <f>IF($C$5=☆入力!$B$15,☆入力!$B39,☆入力!$C39)</f>
        <v>0</v>
      </c>
      <c r="D30" s="910"/>
      <c r="E30" s="910"/>
      <c r="F30" s="911"/>
      <c r="G30" s="912">
        <f>☆入力!D39</f>
        <v>0</v>
      </c>
      <c r="H30" s="912"/>
      <c r="I30" s="912"/>
      <c r="J30" s="912"/>
      <c r="K30" s="913">
        <f>☆入力!Y39</f>
        <v>0</v>
      </c>
      <c r="L30" s="913"/>
      <c r="M30" s="913"/>
      <c r="N30" s="913"/>
      <c r="O30" s="893" t="s">
        <v>305</v>
      </c>
      <c r="P30" s="894"/>
      <c r="Q30" s="913">
        <f>☆入力!AC39</f>
        <v>0</v>
      </c>
      <c r="R30" s="913"/>
      <c r="S30" s="913"/>
      <c r="T30" s="913"/>
      <c r="U30" s="927" t="str">
        <f t="shared" si="0"/>
        <v/>
      </c>
      <c r="V30" s="927"/>
      <c r="W30" s="927"/>
      <c r="Y30" s="62"/>
      <c r="AA30" s="824"/>
      <c r="AB30" s="825"/>
      <c r="AC30" s="825"/>
      <c r="AD30" s="825"/>
      <c r="AE30" s="825"/>
      <c r="AF30" s="825"/>
      <c r="AG30" s="825"/>
      <c r="AH30" s="825"/>
      <c r="AI30" s="826"/>
      <c r="AJ30" s="939"/>
      <c r="AK30" s="935"/>
      <c r="AL30" s="935"/>
      <c r="AM30" s="940"/>
      <c r="AN30" s="860"/>
      <c r="AO30" s="861"/>
      <c r="AP30" s="861"/>
      <c r="AQ30" s="861"/>
      <c r="AR30" s="861"/>
      <c r="AS30" s="861"/>
      <c r="AT30" s="861"/>
      <c r="AU30" s="861"/>
      <c r="AV30" s="862"/>
      <c r="AW30" s="934"/>
      <c r="AX30" s="935"/>
      <c r="AY30" s="935"/>
      <c r="AZ30" s="936"/>
      <c r="BA30" s="931"/>
      <c r="BB30" s="932"/>
      <c r="BC30" s="932"/>
      <c r="BD30" s="932"/>
      <c r="BE30" s="932"/>
      <c r="BF30" s="932"/>
      <c r="BG30" s="932"/>
      <c r="BH30" s="932"/>
      <c r="BI30" s="933"/>
    </row>
    <row r="31" spans="1:61" s="3" customFormat="1" ht="21" customHeight="1" thickTop="1">
      <c r="A31" s="786">
        <v>25</v>
      </c>
      <c r="B31" s="786"/>
      <c r="C31" s="787">
        <f>IF($C$5=☆入力!$B$15,☆入力!$B40,☆入力!$C40)</f>
        <v>0</v>
      </c>
      <c r="D31" s="788"/>
      <c r="E31" s="788"/>
      <c r="F31" s="789"/>
      <c r="G31" s="790">
        <f>☆入力!D40</f>
        <v>0</v>
      </c>
      <c r="H31" s="790"/>
      <c r="I31" s="790"/>
      <c r="J31" s="790"/>
      <c r="K31" s="796">
        <f>☆入力!Y40</f>
        <v>0</v>
      </c>
      <c r="L31" s="796"/>
      <c r="M31" s="796"/>
      <c r="N31" s="796"/>
      <c r="O31" s="893" t="s">
        <v>305</v>
      </c>
      <c r="P31" s="894"/>
      <c r="Q31" s="796">
        <f>☆入力!AC40</f>
        <v>0</v>
      </c>
      <c r="R31" s="796"/>
      <c r="S31" s="796"/>
      <c r="T31" s="796"/>
      <c r="U31" s="896" t="str">
        <f t="shared" si="0"/>
        <v/>
      </c>
      <c r="V31" s="896"/>
      <c r="W31" s="896"/>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786">
        <v>26</v>
      </c>
      <c r="B32" s="786"/>
      <c r="C32" s="787">
        <f>IF($C$5=☆入力!$B$15,☆入力!$B41,☆入力!$C41)</f>
        <v>0</v>
      </c>
      <c r="D32" s="788"/>
      <c r="E32" s="788"/>
      <c r="F32" s="789"/>
      <c r="G32" s="790">
        <f>☆入力!D41</f>
        <v>0</v>
      </c>
      <c r="H32" s="790"/>
      <c r="I32" s="790"/>
      <c r="J32" s="790"/>
      <c r="K32" s="796">
        <f>☆入力!Y41</f>
        <v>0</v>
      </c>
      <c r="L32" s="796"/>
      <c r="M32" s="796"/>
      <c r="N32" s="796"/>
      <c r="O32" s="893" t="s">
        <v>305</v>
      </c>
      <c r="P32" s="894"/>
      <c r="Q32" s="796">
        <f>☆入力!AC41</f>
        <v>0</v>
      </c>
      <c r="R32" s="796"/>
      <c r="S32" s="796"/>
      <c r="T32" s="796"/>
      <c r="U32" s="896" t="str">
        <f>IFERROR(100%-(Q32/K32),"")</f>
        <v/>
      </c>
      <c r="V32" s="896"/>
      <c r="W32" s="896"/>
      <c r="Y32" s="62"/>
      <c r="Z32" s="13" t="s">
        <v>311</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786">
        <v>27</v>
      </c>
      <c r="B33" s="786"/>
      <c r="C33" s="787">
        <f>IF($C$5=☆入力!$B$15,☆入力!$B42,☆入力!$C42)</f>
        <v>0</v>
      </c>
      <c r="D33" s="788"/>
      <c r="E33" s="788"/>
      <c r="F33" s="789"/>
      <c r="G33" s="790">
        <f>☆入力!D42</f>
        <v>0</v>
      </c>
      <c r="H33" s="790"/>
      <c r="I33" s="790"/>
      <c r="J33" s="790"/>
      <c r="K33" s="796">
        <f>☆入力!Y42</f>
        <v>0</v>
      </c>
      <c r="L33" s="796"/>
      <c r="M33" s="796"/>
      <c r="N33" s="796"/>
      <c r="O33" s="893" t="s">
        <v>305</v>
      </c>
      <c r="P33" s="894"/>
      <c r="Q33" s="796">
        <f>☆入力!AC42</f>
        <v>0</v>
      </c>
      <c r="R33" s="796"/>
      <c r="S33" s="796"/>
      <c r="T33" s="796"/>
      <c r="U33" s="896" t="str">
        <f>IFERROR(100%-(Q33/K33),"")</f>
        <v/>
      </c>
      <c r="V33" s="896"/>
      <c r="W33" s="896"/>
      <c r="Y33" s="62"/>
      <c r="Z33" s="890">
        <f>☆入力!X2</f>
        <v>0</v>
      </c>
      <c r="AA33" s="891"/>
      <c r="AB33" s="891"/>
      <c r="AC33" s="891"/>
      <c r="AD33" s="891"/>
      <c r="AE33" s="891"/>
      <c r="AF33" s="891"/>
      <c r="AG33" s="891"/>
      <c r="AH33" s="891"/>
      <c r="AI33" s="891"/>
      <c r="AJ33" s="891"/>
      <c r="AK33" s="891"/>
      <c r="AL33" s="891"/>
      <c r="AM33" s="891"/>
      <c r="AN33" s="891"/>
      <c r="AO33" s="891"/>
      <c r="AP33" s="891"/>
      <c r="AQ33" s="891"/>
      <c r="AR33" s="891"/>
      <c r="AS33" s="891"/>
      <c r="AT33" s="891"/>
      <c r="AU33" s="891"/>
      <c r="AV33" s="891"/>
      <c r="AW33" s="891"/>
      <c r="AX33" s="891"/>
      <c r="AY33" s="891"/>
      <c r="AZ33" s="891"/>
      <c r="BA33" s="891"/>
      <c r="BB33" s="891"/>
      <c r="BC33" s="891"/>
      <c r="BD33" s="891"/>
      <c r="BE33" s="891"/>
      <c r="BF33" s="891"/>
      <c r="BG33" s="891"/>
      <c r="BH33" s="891"/>
      <c r="BI33" s="892"/>
    </row>
    <row r="34" spans="1:61" s="3" customFormat="1" ht="21" customHeight="1">
      <c r="A34" s="786">
        <v>28</v>
      </c>
      <c r="B34" s="786"/>
      <c r="C34" s="787">
        <f>IF($C$5=☆入力!$B$15,☆入力!$B43,☆入力!$C43)</f>
        <v>0</v>
      </c>
      <c r="D34" s="788"/>
      <c r="E34" s="788"/>
      <c r="F34" s="789"/>
      <c r="G34" s="790">
        <f>☆入力!D43</f>
        <v>0</v>
      </c>
      <c r="H34" s="790"/>
      <c r="I34" s="790"/>
      <c r="J34" s="790"/>
      <c r="K34" s="796">
        <f>☆入力!Y43</f>
        <v>0</v>
      </c>
      <c r="L34" s="796"/>
      <c r="M34" s="796"/>
      <c r="N34" s="796"/>
      <c r="O34" s="893" t="s">
        <v>305</v>
      </c>
      <c r="P34" s="894"/>
      <c r="Q34" s="796">
        <f>☆入力!AC43</f>
        <v>0</v>
      </c>
      <c r="R34" s="796"/>
      <c r="S34" s="796"/>
      <c r="T34" s="796"/>
      <c r="U34" s="896" t="str">
        <f>IFERROR(100%-(Q34/K34),"")</f>
        <v/>
      </c>
      <c r="V34" s="896"/>
      <c r="W34" s="896"/>
      <c r="Y34" s="62"/>
      <c r="Z34" s="884">
        <f>☆入力!X3</f>
        <v>0</v>
      </c>
      <c r="AA34" s="885"/>
      <c r="AB34" s="885"/>
      <c r="AC34" s="885"/>
      <c r="AD34" s="885"/>
      <c r="AE34" s="885"/>
      <c r="AF34" s="885"/>
      <c r="AG34" s="885"/>
      <c r="AH34" s="885"/>
      <c r="AI34" s="885"/>
      <c r="AJ34" s="885"/>
      <c r="AK34" s="885"/>
      <c r="AL34" s="885"/>
      <c r="AM34" s="885"/>
      <c r="AN34" s="885"/>
      <c r="AO34" s="885"/>
      <c r="AP34" s="885"/>
      <c r="AQ34" s="885"/>
      <c r="AR34" s="885"/>
      <c r="AS34" s="885"/>
      <c r="AT34" s="885"/>
      <c r="AU34" s="885"/>
      <c r="AV34" s="885"/>
      <c r="AW34" s="885"/>
      <c r="AX34" s="885"/>
      <c r="AY34" s="885"/>
      <c r="AZ34" s="885"/>
      <c r="BA34" s="885"/>
      <c r="BB34" s="885"/>
      <c r="BC34" s="885"/>
      <c r="BD34" s="885"/>
      <c r="BE34" s="885"/>
      <c r="BF34" s="885"/>
      <c r="BG34" s="885"/>
      <c r="BH34" s="885"/>
      <c r="BI34" s="886"/>
    </row>
    <row r="35" spans="1:61" s="3" customFormat="1" ht="21" customHeight="1">
      <c r="A35" s="786">
        <v>29</v>
      </c>
      <c r="B35" s="786"/>
      <c r="C35" s="787">
        <f>IF($C$5=☆入力!$B$15,☆入力!$B44,☆入力!$C44)</f>
        <v>0</v>
      </c>
      <c r="D35" s="788"/>
      <c r="E35" s="788"/>
      <c r="F35" s="789"/>
      <c r="G35" s="790">
        <f>☆入力!D44</f>
        <v>0</v>
      </c>
      <c r="H35" s="790"/>
      <c r="I35" s="790"/>
      <c r="J35" s="790"/>
      <c r="K35" s="796">
        <f>☆入力!Y44</f>
        <v>0</v>
      </c>
      <c r="L35" s="796"/>
      <c r="M35" s="796"/>
      <c r="N35" s="796"/>
      <c r="O35" s="893" t="s">
        <v>305</v>
      </c>
      <c r="P35" s="894"/>
      <c r="Q35" s="796">
        <f>☆入力!AC44</f>
        <v>0</v>
      </c>
      <c r="R35" s="796"/>
      <c r="S35" s="796"/>
      <c r="T35" s="796"/>
      <c r="U35" s="896" t="str">
        <f>IFERROR(100%-(Q35/K35),"")</f>
        <v/>
      </c>
      <c r="V35" s="896"/>
      <c r="W35" s="896"/>
      <c r="Y35" s="62"/>
      <c r="Z35" s="884">
        <f>☆入力!X4</f>
        <v>0</v>
      </c>
      <c r="AA35" s="885"/>
      <c r="AB35" s="885"/>
      <c r="AC35" s="885"/>
      <c r="AD35" s="885"/>
      <c r="AE35" s="885"/>
      <c r="AF35" s="885"/>
      <c r="AG35" s="885"/>
      <c r="AH35" s="885"/>
      <c r="AI35" s="885"/>
      <c r="AJ35" s="885"/>
      <c r="AK35" s="885"/>
      <c r="AL35" s="885"/>
      <c r="AM35" s="885"/>
      <c r="AN35" s="885"/>
      <c r="AO35" s="885"/>
      <c r="AP35" s="885"/>
      <c r="AQ35" s="885"/>
      <c r="AR35" s="885"/>
      <c r="AS35" s="885"/>
      <c r="AT35" s="885"/>
      <c r="AU35" s="885"/>
      <c r="AV35" s="885"/>
      <c r="AW35" s="885"/>
      <c r="AX35" s="885"/>
      <c r="AY35" s="885"/>
      <c r="AZ35" s="885"/>
      <c r="BA35" s="885"/>
      <c r="BB35" s="885"/>
      <c r="BC35" s="885"/>
      <c r="BD35" s="885"/>
      <c r="BE35" s="885"/>
      <c r="BF35" s="885"/>
      <c r="BG35" s="885"/>
      <c r="BH35" s="885"/>
      <c r="BI35" s="886"/>
    </row>
    <row r="36" spans="1:61" s="3" customFormat="1" ht="21" customHeight="1">
      <c r="A36" s="775">
        <v>30</v>
      </c>
      <c r="B36" s="775"/>
      <c r="C36" s="776">
        <f>IF($C$5=☆入力!$B$15,☆入力!$B45,☆入力!$C45)</f>
        <v>0</v>
      </c>
      <c r="D36" s="777"/>
      <c r="E36" s="777"/>
      <c r="F36" s="778"/>
      <c r="G36" s="779">
        <f>☆入力!D45</f>
        <v>0</v>
      </c>
      <c r="H36" s="779"/>
      <c r="I36" s="779"/>
      <c r="J36" s="779"/>
      <c r="K36" s="785">
        <f>☆入力!Y45</f>
        <v>0</v>
      </c>
      <c r="L36" s="785"/>
      <c r="M36" s="785"/>
      <c r="N36" s="785"/>
      <c r="O36" s="893" t="s">
        <v>305</v>
      </c>
      <c r="P36" s="894"/>
      <c r="Q36" s="785">
        <f>☆入力!AC45</f>
        <v>0</v>
      </c>
      <c r="R36" s="785"/>
      <c r="S36" s="785"/>
      <c r="T36" s="785"/>
      <c r="U36" s="895" t="str">
        <f>IFERROR(100%-(Q36/K36),"")</f>
        <v/>
      </c>
      <c r="V36" s="895"/>
      <c r="W36" s="895"/>
      <c r="Y36" s="62"/>
      <c r="Z36" s="884">
        <f>☆入力!X5</f>
        <v>0</v>
      </c>
      <c r="AA36" s="885"/>
      <c r="AB36" s="885"/>
      <c r="AC36" s="885"/>
      <c r="AD36" s="885"/>
      <c r="AE36" s="885"/>
      <c r="AF36" s="885"/>
      <c r="AG36" s="885"/>
      <c r="AH36" s="885"/>
      <c r="AI36" s="885"/>
      <c r="AJ36" s="885"/>
      <c r="AK36" s="885"/>
      <c r="AL36" s="885"/>
      <c r="AM36" s="885"/>
      <c r="AN36" s="885"/>
      <c r="AO36" s="885"/>
      <c r="AP36" s="885"/>
      <c r="AQ36" s="885"/>
      <c r="AR36" s="885"/>
      <c r="AS36" s="885"/>
      <c r="AT36" s="885"/>
      <c r="AU36" s="885"/>
      <c r="AV36" s="885"/>
      <c r="AW36" s="885"/>
      <c r="AX36" s="885"/>
      <c r="AY36" s="885"/>
      <c r="AZ36" s="885"/>
      <c r="BA36" s="885"/>
      <c r="BB36" s="885"/>
      <c r="BC36" s="885"/>
      <c r="BD36" s="885"/>
      <c r="BE36" s="885"/>
      <c r="BF36" s="885"/>
      <c r="BG36" s="885"/>
      <c r="BH36" s="885"/>
      <c r="BI36" s="886"/>
    </row>
    <row r="37" spans="1:61" s="13" customFormat="1" ht="21" customHeight="1">
      <c r="C37" s="483"/>
      <c r="D37" s="483"/>
      <c r="E37" s="483"/>
      <c r="F37" s="483"/>
      <c r="G37" s="483"/>
      <c r="H37" s="483"/>
      <c r="I37" s="483"/>
      <c r="J37" s="483"/>
      <c r="Y37" s="62"/>
      <c r="Z37" s="884">
        <f>☆入力!X6</f>
        <v>0</v>
      </c>
      <c r="AA37" s="885"/>
      <c r="AB37" s="885"/>
      <c r="AC37" s="885"/>
      <c r="AD37" s="885"/>
      <c r="AE37" s="885"/>
      <c r="AF37" s="885"/>
      <c r="AG37" s="885"/>
      <c r="AH37" s="885"/>
      <c r="AI37" s="885"/>
      <c r="AJ37" s="885"/>
      <c r="AK37" s="885"/>
      <c r="AL37" s="885"/>
      <c r="AM37" s="885"/>
      <c r="AN37" s="885"/>
      <c r="AO37" s="885"/>
      <c r="AP37" s="885"/>
      <c r="AQ37" s="885"/>
      <c r="AR37" s="885"/>
      <c r="AS37" s="885"/>
      <c r="AT37" s="885"/>
      <c r="AU37" s="885"/>
      <c r="AV37" s="885"/>
      <c r="AW37" s="885"/>
      <c r="AX37" s="885"/>
      <c r="AY37" s="885"/>
      <c r="AZ37" s="885"/>
      <c r="BA37" s="885"/>
      <c r="BB37" s="885"/>
      <c r="BC37" s="885"/>
      <c r="BD37" s="885"/>
      <c r="BE37" s="885"/>
      <c r="BF37" s="885"/>
      <c r="BG37" s="885"/>
      <c r="BH37" s="885"/>
      <c r="BI37" s="886"/>
    </row>
    <row r="38" spans="1:61" s="13" customFormat="1" ht="21" customHeight="1">
      <c r="C38" s="483"/>
      <c r="D38" s="483"/>
      <c r="E38" s="483"/>
      <c r="F38" s="483"/>
      <c r="G38" s="483"/>
      <c r="H38" s="483"/>
      <c r="I38" s="483"/>
      <c r="J38" s="483"/>
      <c r="K38" s="916">
        <f>SUM(K7:N36)</f>
        <v>0</v>
      </c>
      <c r="L38" s="916"/>
      <c r="M38" s="916"/>
      <c r="N38" s="916"/>
      <c r="O38" s="918" t="s">
        <v>305</v>
      </c>
      <c r="P38" s="919"/>
      <c r="Q38" s="916">
        <f>SUM(Q7:T36)</f>
        <v>0</v>
      </c>
      <c r="R38" s="916"/>
      <c r="S38" s="916"/>
      <c r="T38" s="916"/>
      <c r="U38" s="937" t="str">
        <f>IFERROR(100%-(Q38/K38),"")</f>
        <v/>
      </c>
      <c r="V38" s="937"/>
      <c r="W38" s="937"/>
      <c r="Y38" s="62"/>
      <c r="Z38" s="884">
        <f>☆入力!X7</f>
        <v>0</v>
      </c>
      <c r="AA38" s="885"/>
      <c r="AB38" s="885"/>
      <c r="AC38" s="885"/>
      <c r="AD38" s="885"/>
      <c r="AE38" s="885"/>
      <c r="AF38" s="885"/>
      <c r="AG38" s="885"/>
      <c r="AH38" s="885"/>
      <c r="AI38" s="885"/>
      <c r="AJ38" s="885"/>
      <c r="AK38" s="885"/>
      <c r="AL38" s="885"/>
      <c r="AM38" s="885"/>
      <c r="AN38" s="885"/>
      <c r="AO38" s="885"/>
      <c r="AP38" s="885"/>
      <c r="AQ38" s="885"/>
      <c r="AR38" s="885"/>
      <c r="AS38" s="885"/>
      <c r="AT38" s="885"/>
      <c r="AU38" s="885"/>
      <c r="AV38" s="885"/>
      <c r="AW38" s="885"/>
      <c r="AX38" s="885"/>
      <c r="AY38" s="885"/>
      <c r="AZ38" s="885"/>
      <c r="BA38" s="885"/>
      <c r="BB38" s="885"/>
      <c r="BC38" s="885"/>
      <c r="BD38" s="885"/>
      <c r="BE38" s="885"/>
      <c r="BF38" s="885"/>
      <c r="BG38" s="885"/>
      <c r="BH38" s="885"/>
      <c r="BI38" s="886"/>
    </row>
    <row r="39" spans="1:61" s="13" customFormat="1" ht="21" customHeight="1">
      <c r="C39" s="14"/>
      <c r="D39" s="14"/>
      <c r="E39" s="14"/>
      <c r="F39" s="14"/>
      <c r="G39" s="14"/>
      <c r="H39" s="14"/>
      <c r="I39" s="14"/>
      <c r="J39" s="14"/>
      <c r="K39" s="917"/>
      <c r="L39" s="917"/>
      <c r="M39" s="917"/>
      <c r="N39" s="917"/>
      <c r="O39" s="918"/>
      <c r="P39" s="919"/>
      <c r="Q39" s="917"/>
      <c r="R39" s="917"/>
      <c r="S39" s="917"/>
      <c r="T39" s="917"/>
      <c r="U39" s="938"/>
      <c r="V39" s="938"/>
      <c r="W39" s="938"/>
      <c r="Y39" s="62"/>
      <c r="Z39" s="884">
        <f>☆入力!X8</f>
        <v>0</v>
      </c>
      <c r="AA39" s="885"/>
      <c r="AB39" s="885"/>
      <c r="AC39" s="885"/>
      <c r="AD39" s="885"/>
      <c r="AE39" s="885"/>
      <c r="AF39" s="885"/>
      <c r="AG39" s="885"/>
      <c r="AH39" s="885"/>
      <c r="AI39" s="885"/>
      <c r="AJ39" s="885"/>
      <c r="AK39" s="885"/>
      <c r="AL39" s="885"/>
      <c r="AM39" s="885"/>
      <c r="AN39" s="885"/>
      <c r="AO39" s="885"/>
      <c r="AP39" s="885"/>
      <c r="AQ39" s="885"/>
      <c r="AR39" s="885"/>
      <c r="AS39" s="885"/>
      <c r="AT39" s="885"/>
      <c r="AU39" s="885"/>
      <c r="AV39" s="885"/>
      <c r="AW39" s="885"/>
      <c r="AX39" s="885"/>
      <c r="AY39" s="885"/>
      <c r="AZ39" s="885"/>
      <c r="BA39" s="885"/>
      <c r="BB39" s="885"/>
      <c r="BC39" s="885"/>
      <c r="BD39" s="885"/>
      <c r="BE39" s="885"/>
      <c r="BF39" s="885"/>
      <c r="BG39" s="885"/>
      <c r="BH39" s="885"/>
      <c r="BI39" s="886"/>
    </row>
    <row r="40" spans="1:61" s="13" customFormat="1" ht="21" customHeight="1" thickBot="1">
      <c r="A40" s="74"/>
      <c r="C40" s="14"/>
      <c r="D40" s="14"/>
      <c r="E40" s="14"/>
      <c r="F40" s="14"/>
      <c r="G40" s="74"/>
      <c r="H40" s="14"/>
      <c r="I40" s="14"/>
      <c r="J40" s="14"/>
      <c r="K40" s="74"/>
      <c r="Q40" s="14"/>
      <c r="R40" s="14"/>
      <c r="Y40" s="62"/>
      <c r="Z40" s="884">
        <f>☆入力!X9</f>
        <v>0</v>
      </c>
      <c r="AA40" s="885"/>
      <c r="AB40" s="885"/>
      <c r="AC40" s="885"/>
      <c r="AD40" s="885"/>
      <c r="AE40" s="885"/>
      <c r="AF40" s="885"/>
      <c r="AG40" s="885"/>
      <c r="AH40" s="885"/>
      <c r="AI40" s="885"/>
      <c r="AJ40" s="885"/>
      <c r="AK40" s="885"/>
      <c r="AL40" s="885"/>
      <c r="AM40" s="885"/>
      <c r="AN40" s="885"/>
      <c r="AO40" s="885"/>
      <c r="AP40" s="885"/>
      <c r="AQ40" s="885"/>
      <c r="AR40" s="885"/>
      <c r="AS40" s="885"/>
      <c r="AT40" s="885"/>
      <c r="AU40" s="885"/>
      <c r="AV40" s="885"/>
      <c r="AW40" s="885"/>
      <c r="AX40" s="885"/>
      <c r="AY40" s="885"/>
      <c r="AZ40" s="885"/>
      <c r="BA40" s="885"/>
      <c r="BB40" s="885"/>
      <c r="BC40" s="885"/>
      <c r="BD40" s="885"/>
      <c r="BE40" s="885"/>
      <c r="BF40" s="885"/>
      <c r="BG40" s="885"/>
      <c r="BH40" s="885"/>
      <c r="BI40" s="886"/>
    </row>
    <row r="41" spans="1:61" ht="21" customHeight="1" thickTop="1">
      <c r="A41" s="906" t="s">
        <v>312</v>
      </c>
      <c r="B41" s="906"/>
      <c r="C41" s="906"/>
      <c r="D41" s="906"/>
      <c r="E41" s="906"/>
      <c r="F41" s="906"/>
      <c r="G41" s="906"/>
      <c r="H41" s="906"/>
      <c r="I41" s="906"/>
      <c r="J41" s="906"/>
      <c r="K41" s="906"/>
      <c r="L41" s="906"/>
      <c r="M41" s="906"/>
      <c r="N41" s="906"/>
      <c r="O41" s="906"/>
      <c r="P41" s="907"/>
      <c r="Q41" s="897">
        <f>K38-Q38</f>
        <v>0</v>
      </c>
      <c r="R41" s="898"/>
      <c r="S41" s="898"/>
      <c r="T41" s="898"/>
      <c r="U41" s="898"/>
      <c r="V41" s="898"/>
      <c r="W41" s="899"/>
      <c r="Y41" s="62"/>
      <c r="Z41" s="884">
        <f>☆入力!X10</f>
        <v>0</v>
      </c>
      <c r="AA41" s="885"/>
      <c r="AB41" s="885"/>
      <c r="AC41" s="885"/>
      <c r="AD41" s="885"/>
      <c r="AE41" s="885"/>
      <c r="AF41" s="885"/>
      <c r="AG41" s="885"/>
      <c r="AH41" s="885"/>
      <c r="AI41" s="885"/>
      <c r="AJ41" s="885"/>
      <c r="AK41" s="885"/>
      <c r="AL41" s="885"/>
      <c r="AM41" s="885"/>
      <c r="AN41" s="885"/>
      <c r="AO41" s="885"/>
      <c r="AP41" s="885"/>
      <c r="AQ41" s="885"/>
      <c r="AR41" s="885"/>
      <c r="AS41" s="885"/>
      <c r="AT41" s="885"/>
      <c r="AU41" s="885"/>
      <c r="AV41" s="885"/>
      <c r="AW41" s="885"/>
      <c r="AX41" s="885"/>
      <c r="AY41" s="885"/>
      <c r="AZ41" s="885"/>
      <c r="BA41" s="885"/>
      <c r="BB41" s="885"/>
      <c r="BC41" s="885"/>
      <c r="BD41" s="885"/>
      <c r="BE41" s="885"/>
      <c r="BF41" s="885"/>
      <c r="BG41" s="885"/>
      <c r="BH41" s="885"/>
      <c r="BI41" s="886"/>
    </row>
    <row r="42" spans="1:61" ht="21" customHeight="1" thickBot="1">
      <c r="A42" s="906"/>
      <c r="B42" s="906"/>
      <c r="C42" s="906"/>
      <c r="D42" s="906"/>
      <c r="E42" s="906"/>
      <c r="F42" s="906"/>
      <c r="G42" s="906"/>
      <c r="H42" s="906"/>
      <c r="I42" s="906"/>
      <c r="J42" s="906"/>
      <c r="K42" s="906"/>
      <c r="L42" s="906"/>
      <c r="M42" s="906"/>
      <c r="N42" s="906"/>
      <c r="O42" s="906"/>
      <c r="P42" s="907"/>
      <c r="Q42" s="900"/>
      <c r="R42" s="901"/>
      <c r="S42" s="901"/>
      <c r="T42" s="901"/>
      <c r="U42" s="901"/>
      <c r="V42" s="901"/>
      <c r="W42" s="902"/>
      <c r="Y42" s="62"/>
      <c r="Z42" s="887">
        <f>☆入力!X11</f>
        <v>0</v>
      </c>
      <c r="AA42" s="888"/>
      <c r="AB42" s="888"/>
      <c r="AC42" s="888"/>
      <c r="AD42" s="888"/>
      <c r="AE42" s="888"/>
      <c r="AF42" s="888"/>
      <c r="AG42" s="888"/>
      <c r="AH42" s="888"/>
      <c r="AI42" s="888"/>
      <c r="AJ42" s="888"/>
      <c r="AK42" s="888"/>
      <c r="AL42" s="888"/>
      <c r="AM42" s="888"/>
      <c r="AN42" s="888"/>
      <c r="AO42" s="888"/>
      <c r="AP42" s="888"/>
      <c r="AQ42" s="888"/>
      <c r="AR42" s="888"/>
      <c r="AS42" s="888"/>
      <c r="AT42" s="888"/>
      <c r="AU42" s="888"/>
      <c r="AV42" s="888"/>
      <c r="AW42" s="888"/>
      <c r="AX42" s="888"/>
      <c r="AY42" s="888"/>
      <c r="AZ42" s="888"/>
      <c r="BA42" s="888"/>
      <c r="BB42" s="888"/>
      <c r="BC42" s="888"/>
      <c r="BD42" s="888"/>
      <c r="BE42" s="888"/>
      <c r="BF42" s="888"/>
      <c r="BG42" s="888"/>
      <c r="BH42" s="888"/>
      <c r="BI42" s="889"/>
    </row>
    <row r="43" spans="1:61" ht="21" customHeight="1" thickTop="1">
      <c r="Y43" s="3"/>
    </row>
    <row r="44" spans="1:61" ht="21" customHeight="1">
      <c r="A44" s="57" t="s">
        <v>313</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14">
        <v>5</v>
      </c>
    </row>
  </sheetData>
  <mergeCells count="268">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U15:W15"/>
    <mergeCell ref="U16:W16"/>
    <mergeCell ref="U17:W17"/>
    <mergeCell ref="U18:W18"/>
    <mergeCell ref="U19:W19"/>
    <mergeCell ref="U20:W20"/>
    <mergeCell ref="O16:P16"/>
    <mergeCell ref="O17:P17"/>
    <mergeCell ref="Q16:T16"/>
    <mergeCell ref="Q17:T17"/>
    <mergeCell ref="O15:P15"/>
    <mergeCell ref="Q15:T15"/>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Q11:T11"/>
    <mergeCell ref="Q14:T14"/>
    <mergeCell ref="AA7:AI8"/>
    <mergeCell ref="U7:W7"/>
    <mergeCell ref="U8:W8"/>
    <mergeCell ref="U9:W9"/>
    <mergeCell ref="U10:W10"/>
    <mergeCell ref="U11:W11"/>
    <mergeCell ref="U12:W12"/>
    <mergeCell ref="U13:W13"/>
    <mergeCell ref="U14:W14"/>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A29:B29"/>
    <mergeCell ref="C29:F29"/>
    <mergeCell ref="G29:J29"/>
    <mergeCell ref="A31:B31"/>
    <mergeCell ref="C31:F31"/>
    <mergeCell ref="G31:J31"/>
    <mergeCell ref="K29:N29"/>
    <mergeCell ref="A30:B30"/>
    <mergeCell ref="C30:F30"/>
    <mergeCell ref="G30:J30"/>
    <mergeCell ref="K30:N30"/>
    <mergeCell ref="A28:B28"/>
    <mergeCell ref="C28:F28"/>
    <mergeCell ref="G28:J28"/>
    <mergeCell ref="A27:B27"/>
    <mergeCell ref="C27:F27"/>
    <mergeCell ref="G27:J27"/>
    <mergeCell ref="K28:N28"/>
    <mergeCell ref="A26:B26"/>
    <mergeCell ref="C26:F26"/>
    <mergeCell ref="G26:J26"/>
    <mergeCell ref="K26:N26"/>
    <mergeCell ref="K27:N27"/>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16:B16"/>
    <mergeCell ref="C16:F16"/>
    <mergeCell ref="G16:J16"/>
    <mergeCell ref="K16:N16"/>
    <mergeCell ref="A17:B17"/>
    <mergeCell ref="C17:F17"/>
    <mergeCell ref="G17:J17"/>
    <mergeCell ref="K17:N17"/>
    <mergeCell ref="A15:B15"/>
    <mergeCell ref="C15:F15"/>
    <mergeCell ref="G15:J15"/>
    <mergeCell ref="K15:N15"/>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Z41:BI41"/>
    <mergeCell ref="Z42:BI42"/>
    <mergeCell ref="Z33:BI33"/>
    <mergeCell ref="Z34:BI34"/>
    <mergeCell ref="Z35:BI35"/>
    <mergeCell ref="Z36:BI36"/>
    <mergeCell ref="Z37:BI37"/>
    <mergeCell ref="Z38:BI38"/>
    <mergeCell ref="Z39:BI39"/>
    <mergeCell ref="Z40:BI4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9C7A-FD25-4A39-ACD8-2329EAE39908}">
  <sheetPr>
    <tabColor rgb="FF0070C0"/>
  </sheetPr>
  <dimension ref="A1:AZ32"/>
  <sheetViews>
    <sheetView view="pageBreakPreview" zoomScale="70" zoomScaleNormal="55" zoomScaleSheetLayoutView="70" workbookViewId="0">
      <selection activeCell="BR30" sqref="BR30"/>
    </sheetView>
  </sheetViews>
  <sheetFormatPr defaultColWidth="3.625" defaultRowHeight="18.75"/>
  <cols>
    <col min="1" max="16384" width="3.625" style="12"/>
  </cols>
  <sheetData>
    <row r="1" spans="1:52" s="72" customFormat="1" ht="38.25">
      <c r="A1" s="773" t="s">
        <v>314</v>
      </c>
      <c r="B1" s="773"/>
      <c r="C1" s="773"/>
      <c r="D1" s="773"/>
      <c r="E1" s="773"/>
      <c r="F1" s="773"/>
      <c r="G1" s="773"/>
      <c r="H1" s="773"/>
      <c r="I1" s="773"/>
      <c r="J1" s="773"/>
      <c r="K1" s="773"/>
      <c r="L1" s="773"/>
      <c r="M1" s="773"/>
      <c r="N1" s="773"/>
      <c r="O1" s="773"/>
      <c r="P1" s="773"/>
      <c r="Q1" s="773"/>
      <c r="R1" s="773"/>
      <c r="S1" s="773"/>
      <c r="T1" s="773"/>
      <c r="U1" s="773"/>
      <c r="V1" s="773"/>
      <c r="W1" s="773"/>
      <c r="X1" s="773"/>
      <c r="Y1" s="773"/>
      <c r="Z1" s="773"/>
      <c r="AA1" s="773"/>
      <c r="AB1" s="773"/>
      <c r="AC1" s="773"/>
      <c r="AD1" s="773"/>
      <c r="AE1" s="773"/>
      <c r="AF1" s="773"/>
      <c r="AG1" s="773"/>
      <c r="AH1" s="773"/>
      <c r="AI1" s="773"/>
      <c r="AJ1" s="773"/>
      <c r="AK1" s="773"/>
      <c r="AL1" s="773"/>
      <c r="AM1" s="773"/>
      <c r="AN1" s="773"/>
      <c r="AO1" s="773"/>
      <c r="AP1" s="773"/>
      <c r="AQ1" s="773"/>
      <c r="AR1" s="773"/>
      <c r="AS1" s="773"/>
      <c r="AT1" s="773"/>
      <c r="AU1" s="773"/>
      <c r="AV1" s="773"/>
      <c r="AW1" s="773"/>
      <c r="AX1" s="773"/>
      <c r="AY1" s="773"/>
      <c r="AZ1" s="261"/>
    </row>
    <row r="2" spans="1:52" ht="21.95" customHeight="1">
      <c r="B2" s="967" t="s">
        <v>315</v>
      </c>
      <c r="C2" s="967"/>
      <c r="D2" s="967"/>
      <c r="E2" s="967"/>
      <c r="F2" s="967"/>
      <c r="G2" s="967"/>
      <c r="H2" s="967"/>
      <c r="I2" s="967"/>
      <c r="J2" s="967"/>
      <c r="K2" s="967"/>
      <c r="L2" s="967"/>
      <c r="M2" s="967"/>
      <c r="N2" s="967"/>
      <c r="O2" s="967"/>
      <c r="P2" s="967"/>
      <c r="Q2" s="967"/>
      <c r="R2" s="967"/>
      <c r="S2" s="967"/>
      <c r="T2" s="967"/>
      <c r="U2" s="967"/>
      <c r="V2" s="967"/>
      <c r="W2" s="967"/>
      <c r="X2" s="967"/>
      <c r="Y2" s="967"/>
    </row>
    <row r="3" spans="1:52" ht="21.95" customHeight="1">
      <c r="B3" s="967"/>
      <c r="C3" s="967"/>
      <c r="D3" s="967"/>
      <c r="E3" s="967"/>
      <c r="F3" s="967"/>
      <c r="G3" s="967"/>
      <c r="H3" s="967"/>
      <c r="I3" s="967"/>
      <c r="J3" s="967"/>
      <c r="K3" s="967"/>
      <c r="L3" s="967"/>
      <c r="M3" s="967"/>
      <c r="N3" s="967"/>
      <c r="O3" s="967"/>
      <c r="P3" s="967"/>
      <c r="Q3" s="967"/>
      <c r="R3" s="967"/>
      <c r="S3" s="967"/>
      <c r="T3" s="967"/>
      <c r="U3" s="967"/>
      <c r="V3" s="967"/>
      <c r="W3" s="967"/>
      <c r="X3" s="967"/>
      <c r="Y3" s="967"/>
    </row>
    <row r="4" spans="1:52" s="256" customFormat="1" ht="21.95" customHeight="1">
      <c r="B4" s="967"/>
      <c r="C4" s="967"/>
      <c r="D4" s="967"/>
      <c r="E4" s="967"/>
      <c r="F4" s="967"/>
      <c r="G4" s="967"/>
      <c r="H4" s="967"/>
      <c r="I4" s="967"/>
      <c r="J4" s="967"/>
      <c r="K4" s="967"/>
      <c r="L4" s="967"/>
      <c r="M4" s="967"/>
      <c r="N4" s="967"/>
      <c r="O4" s="967"/>
      <c r="P4" s="967"/>
      <c r="Q4" s="967"/>
      <c r="R4" s="967"/>
      <c r="S4" s="967"/>
      <c r="T4" s="967"/>
      <c r="U4" s="967"/>
      <c r="V4" s="967"/>
      <c r="W4" s="967"/>
      <c r="X4" s="967"/>
      <c r="Y4" s="967"/>
    </row>
    <row r="5" spans="1:52" ht="21.95" customHeight="1"/>
    <row r="6" spans="1:52" s="258" customFormat="1" ht="21.95" customHeight="1">
      <c r="C6" s="260" t="s">
        <v>242</v>
      </c>
      <c r="D6" s="260"/>
      <c r="E6" s="260"/>
      <c r="F6" s="260"/>
      <c r="G6" s="260"/>
      <c r="H6" s="260"/>
      <c r="I6" s="260"/>
      <c r="J6" s="260"/>
      <c r="K6" s="260"/>
      <c r="L6" s="260"/>
      <c r="M6" s="260"/>
      <c r="N6" s="260"/>
      <c r="O6" s="260"/>
      <c r="P6" s="260"/>
      <c r="Q6" s="260"/>
      <c r="R6" s="260"/>
      <c r="S6" s="260"/>
      <c r="T6" s="260"/>
      <c r="U6" s="260"/>
      <c r="V6" s="260"/>
      <c r="W6" s="260"/>
      <c r="X6" s="260"/>
      <c r="Y6" s="260"/>
      <c r="Z6" s="260"/>
      <c r="AA6" s="260"/>
      <c r="AB6" s="260"/>
      <c r="AC6" s="260"/>
      <c r="AD6" s="260"/>
    </row>
    <row r="7" spans="1:52" s="257" customFormat="1" ht="21.95" customHeight="1">
      <c r="C7" s="12" t="s">
        <v>243</v>
      </c>
    </row>
    <row r="8" spans="1:52" ht="21.95" customHeight="1">
      <c r="C8" s="12" t="s">
        <v>244</v>
      </c>
    </row>
    <row r="9" spans="1:52" ht="21.95" customHeight="1"/>
    <row r="10" spans="1:52" s="256" customFormat="1" ht="21.95" customHeight="1" thickBot="1">
      <c r="B10" s="259" t="s">
        <v>245</v>
      </c>
      <c r="C10" s="259"/>
      <c r="D10" s="259"/>
      <c r="E10" s="259"/>
      <c r="F10" s="259"/>
      <c r="G10" s="259"/>
      <c r="H10" s="259"/>
      <c r="I10" s="259"/>
      <c r="J10" s="259"/>
    </row>
    <row r="11" spans="1:52" ht="21.95" customHeight="1" thickTop="1"/>
    <row r="12" spans="1:52" s="258" customFormat="1" ht="21.95" customHeight="1">
      <c r="C12" s="260" t="s">
        <v>246</v>
      </c>
      <c r="D12" s="260"/>
      <c r="E12" s="260"/>
      <c r="F12" s="260"/>
      <c r="G12" s="260"/>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row>
    <row r="13" spans="1:52" ht="21.95" customHeight="1">
      <c r="C13" s="12" t="s">
        <v>247</v>
      </c>
      <c r="M13" s="774">
        <f>[1]☆入力!AR9</f>
        <v>2500</v>
      </c>
      <c r="N13" s="774"/>
      <c r="O13" s="774"/>
      <c r="P13" s="12" t="s">
        <v>248</v>
      </c>
    </row>
    <row r="14" spans="1:52">
      <c r="C14" s="12" t="s">
        <v>249</v>
      </c>
    </row>
    <row r="15" spans="1:52" ht="21.95" customHeight="1"/>
    <row r="16" spans="1:52" s="256" customFormat="1" ht="21.95" customHeight="1" thickBot="1">
      <c r="B16" s="259" t="s">
        <v>316</v>
      </c>
      <c r="C16" s="259"/>
      <c r="D16" s="259"/>
      <c r="E16" s="259"/>
      <c r="F16" s="259"/>
      <c r="G16" s="259"/>
    </row>
    <row r="17" spans="2:51" ht="21.95" customHeight="1" thickTop="1"/>
    <row r="18" spans="2:51" s="258" customFormat="1" ht="21.95" customHeight="1">
      <c r="C18" s="968" t="s">
        <v>317</v>
      </c>
      <c r="D18" s="968"/>
      <c r="E18" s="968"/>
      <c r="F18" s="968"/>
      <c r="G18" s="968"/>
      <c r="H18" s="968"/>
      <c r="I18" s="968"/>
      <c r="J18" s="968"/>
      <c r="K18" s="968"/>
      <c r="L18" s="968"/>
      <c r="M18" s="968"/>
      <c r="N18" s="968"/>
      <c r="O18" s="968"/>
      <c r="P18" s="968"/>
      <c r="Q18" s="969" t="s">
        <v>318</v>
      </c>
      <c r="R18" s="969"/>
      <c r="S18" s="969"/>
      <c r="T18" s="969"/>
      <c r="U18" s="969"/>
      <c r="V18" s="969"/>
      <c r="W18" s="969"/>
      <c r="X18" s="969"/>
      <c r="Y18" s="969"/>
      <c r="Z18" s="968" t="s">
        <v>319</v>
      </c>
      <c r="AA18" s="968"/>
      <c r="AB18" s="968"/>
      <c r="AC18" s="968"/>
      <c r="AD18" s="968"/>
      <c r="AE18" s="968"/>
      <c r="AF18" s="968"/>
      <c r="AG18" s="968"/>
      <c r="AH18" s="968"/>
      <c r="AI18" s="968"/>
      <c r="AJ18" s="968"/>
      <c r="AK18" s="968"/>
      <c r="AL18" s="968"/>
      <c r="AM18" s="968"/>
    </row>
    <row r="19" spans="2:51" ht="21.95" customHeight="1">
      <c r="C19" s="968"/>
      <c r="D19" s="968"/>
      <c r="E19" s="968"/>
      <c r="F19" s="968"/>
      <c r="G19" s="968"/>
      <c r="H19" s="968"/>
      <c r="I19" s="968"/>
      <c r="J19" s="968"/>
      <c r="K19" s="968"/>
      <c r="L19" s="968"/>
      <c r="M19" s="968"/>
      <c r="N19" s="968"/>
      <c r="O19" s="968"/>
      <c r="P19" s="968"/>
      <c r="Q19" s="969"/>
      <c r="R19" s="969"/>
      <c r="S19" s="969"/>
      <c r="T19" s="969"/>
      <c r="U19" s="969"/>
      <c r="V19" s="969"/>
      <c r="W19" s="969"/>
      <c r="X19" s="969"/>
      <c r="Y19" s="969"/>
      <c r="Z19" s="968"/>
      <c r="AA19" s="968"/>
      <c r="AB19" s="968"/>
      <c r="AC19" s="968"/>
      <c r="AD19" s="968"/>
      <c r="AE19" s="968"/>
      <c r="AF19" s="968"/>
      <c r="AG19" s="968"/>
      <c r="AH19" s="968"/>
      <c r="AI19" s="968"/>
      <c r="AJ19" s="968"/>
      <c r="AK19" s="968"/>
      <c r="AL19" s="968"/>
      <c r="AM19" s="968"/>
    </row>
    <row r="20" spans="2:51" ht="21.95" customHeight="1"/>
    <row r="21" spans="2:51" ht="21.95" customHeight="1">
      <c r="B21" s="967" t="s">
        <v>320</v>
      </c>
      <c r="C21" s="967"/>
      <c r="D21" s="967"/>
      <c r="E21" s="967"/>
      <c r="F21" s="967"/>
      <c r="G21" s="967"/>
      <c r="H21" s="967"/>
      <c r="I21" s="967"/>
      <c r="J21" s="967"/>
      <c r="K21" s="967"/>
      <c r="L21" s="967"/>
      <c r="M21" s="967"/>
      <c r="N21" s="967"/>
      <c r="O21" s="967"/>
      <c r="P21" s="967"/>
      <c r="Q21" s="967"/>
      <c r="R21" s="967"/>
      <c r="S21" s="967"/>
      <c r="T21" s="967"/>
      <c r="U21" s="967"/>
      <c r="V21" s="967"/>
      <c r="W21" s="967"/>
      <c r="X21" s="967"/>
      <c r="Y21" s="967"/>
      <c r="Z21" s="967"/>
      <c r="AA21" s="967"/>
      <c r="AB21" s="967"/>
      <c r="AC21" s="967"/>
      <c r="AD21" s="967"/>
      <c r="AE21" s="967"/>
      <c r="AF21" s="967"/>
      <c r="AG21" s="967"/>
      <c r="AH21" s="967"/>
      <c r="AI21" s="967"/>
      <c r="AJ21" s="967"/>
      <c r="AK21" s="967"/>
      <c r="AL21" s="967"/>
      <c r="AM21" s="967"/>
    </row>
    <row r="22" spans="2:51" ht="21.95" customHeight="1">
      <c r="B22" s="967"/>
      <c r="C22" s="967"/>
      <c r="D22" s="967"/>
      <c r="E22" s="967"/>
      <c r="F22" s="967"/>
      <c r="G22" s="967"/>
      <c r="H22" s="967"/>
      <c r="I22" s="967"/>
      <c r="J22" s="967"/>
      <c r="K22" s="967"/>
      <c r="L22" s="967"/>
      <c r="M22" s="967"/>
      <c r="N22" s="967"/>
      <c r="O22" s="967"/>
      <c r="P22" s="967"/>
      <c r="Q22" s="967"/>
      <c r="R22" s="967"/>
      <c r="S22" s="967"/>
      <c r="T22" s="967"/>
      <c r="U22" s="967"/>
      <c r="V22" s="967"/>
      <c r="W22" s="967"/>
      <c r="X22" s="967"/>
      <c r="Y22" s="967"/>
      <c r="Z22" s="967"/>
      <c r="AA22" s="967"/>
      <c r="AB22" s="967"/>
      <c r="AC22" s="967"/>
      <c r="AD22" s="967"/>
      <c r="AE22" s="967"/>
      <c r="AF22" s="967"/>
      <c r="AG22" s="967"/>
      <c r="AH22" s="967"/>
      <c r="AI22" s="967"/>
      <c r="AJ22" s="967"/>
      <c r="AK22" s="967"/>
      <c r="AL22" s="967"/>
      <c r="AM22" s="967"/>
    </row>
    <row r="23" spans="2:51" ht="21.95" customHeight="1"/>
    <row r="24" spans="2:51" s="256" customFormat="1" ht="21.95" customHeight="1" thickBot="1">
      <c r="B24" s="259" t="s">
        <v>258</v>
      </c>
      <c r="C24" s="259"/>
      <c r="D24" s="259"/>
      <c r="E24" s="259"/>
      <c r="F24" s="259"/>
      <c r="G24" s="259"/>
      <c r="H24" s="259"/>
      <c r="I24" s="259"/>
      <c r="J24" s="259"/>
    </row>
    <row r="25" spans="2:51" ht="21.95" customHeight="1" thickTop="1"/>
    <row r="26" spans="2:51" ht="21.95" customHeight="1">
      <c r="C26" s="12" t="s">
        <v>259</v>
      </c>
    </row>
    <row r="27" spans="2:51" ht="21.95" customHeight="1">
      <c r="C27" s="12" t="s">
        <v>260</v>
      </c>
    </row>
    <row r="28" spans="2:51" s="258" customFormat="1" ht="21.95" customHeight="1">
      <c r="C28" s="260" t="s">
        <v>261</v>
      </c>
      <c r="D28" s="260"/>
      <c r="E28" s="260"/>
      <c r="F28" s="260"/>
      <c r="G28" s="260"/>
      <c r="H28" s="260"/>
      <c r="I28" s="260"/>
      <c r="J28" s="260"/>
      <c r="K28" s="260"/>
      <c r="L28" s="260"/>
      <c r="M28" s="260"/>
      <c r="N28" s="260"/>
      <c r="O28" s="260"/>
      <c r="P28" s="260"/>
      <c r="Q28" s="260"/>
      <c r="R28" s="260"/>
      <c r="S28" s="260"/>
      <c r="T28" s="260"/>
      <c r="U28" s="260"/>
      <c r="V28" s="260"/>
      <c r="W28" s="260"/>
      <c r="X28" s="260"/>
      <c r="Y28" s="260"/>
      <c r="Z28" s="260"/>
      <c r="AA28" s="260"/>
    </row>
    <row r="29" spans="2:51" ht="21.95" customHeight="1"/>
    <row r="30" spans="2:51" s="256" customFormat="1" ht="21.95" customHeight="1" thickBot="1">
      <c r="B30" s="259" t="s">
        <v>262</v>
      </c>
      <c r="C30" s="259"/>
      <c r="D30" s="259"/>
      <c r="E30" s="259"/>
      <c r="F30" s="259"/>
      <c r="G30" s="259"/>
      <c r="H30" s="259"/>
      <c r="I30" s="259"/>
      <c r="J30" s="259"/>
      <c r="K30" s="259"/>
      <c r="L30" s="259"/>
      <c r="M30" s="259"/>
    </row>
    <row r="31" spans="2:51" ht="21.95" customHeight="1" thickTop="1"/>
    <row r="32" spans="2:51" s="257" customFormat="1" ht="21.95" customHeight="1">
      <c r="AY32" s="257">
        <v>2</v>
      </c>
    </row>
  </sheetData>
  <mergeCells count="7">
    <mergeCell ref="B21:AM22"/>
    <mergeCell ref="A1:AY1"/>
    <mergeCell ref="B2:Y4"/>
    <mergeCell ref="M13:O13"/>
    <mergeCell ref="C18:P19"/>
    <mergeCell ref="Q18:Y19"/>
    <mergeCell ref="Z18:AM19"/>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539B-3D5A-4C64-8520-547048F6224A}">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970" t="s">
        <v>321</v>
      </c>
      <c r="C2" s="970"/>
      <c r="D2" s="970"/>
      <c r="E2" s="970"/>
      <c r="F2" s="970"/>
      <c r="G2" s="970"/>
      <c r="H2" s="970"/>
      <c r="I2" s="970"/>
      <c r="J2" s="970"/>
    </row>
    <row r="3" spans="2:10">
      <c r="B3" s="970"/>
      <c r="C3" s="970"/>
      <c r="D3" s="970"/>
      <c r="E3" s="970"/>
      <c r="F3" s="970"/>
      <c r="G3" s="970"/>
      <c r="H3" s="970"/>
      <c r="I3" s="970"/>
      <c r="J3" s="970"/>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6266-4895-4C3E-95BD-F229CAB75D8B}">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970" t="s">
        <v>322</v>
      </c>
      <c r="C2" s="970"/>
      <c r="D2" s="970"/>
      <c r="E2" s="970"/>
      <c r="F2" s="970"/>
      <c r="G2" s="970"/>
      <c r="H2" s="970"/>
      <c r="I2" s="970"/>
      <c r="J2" s="970"/>
    </row>
    <row r="3" spans="2:10">
      <c r="B3" s="970"/>
      <c r="C3" s="970"/>
      <c r="D3" s="970"/>
      <c r="E3" s="970"/>
      <c r="F3" s="970"/>
      <c r="G3" s="970"/>
      <c r="H3" s="970"/>
      <c r="I3" s="970"/>
      <c r="J3" s="970"/>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topLeftCell="A3" zoomScale="40" zoomScaleNormal="80" zoomScaleSheetLayoutView="40" workbookViewId="0">
      <selection activeCell="BV47" sqref="BV47"/>
    </sheetView>
  </sheetViews>
  <sheetFormatPr defaultColWidth="3.5" defaultRowHeight="21" customHeight="1" outlineLevelRow="1"/>
  <cols>
    <col min="1" max="2" width="3.5" style="1"/>
    <col min="3" max="13" width="3.5" style="2"/>
    <col min="14" max="16384" width="3.5" style="1"/>
  </cols>
  <sheetData>
    <row r="1" spans="1:57" ht="38.25">
      <c r="A1" s="803" t="s">
        <v>264</v>
      </c>
      <c r="B1" s="803"/>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03"/>
      <c r="AN1" s="803"/>
      <c r="AO1" s="803"/>
      <c r="AP1" s="803"/>
      <c r="AQ1" s="803"/>
      <c r="AR1" s="803"/>
      <c r="AS1" s="803"/>
      <c r="AT1" s="803"/>
      <c r="AU1" s="803"/>
      <c r="AV1" s="803"/>
      <c r="AW1" s="803"/>
      <c r="AX1" s="803"/>
      <c r="AY1" s="803"/>
      <c r="AZ1" s="803"/>
      <c r="BA1" s="803"/>
      <c r="BB1" s="803"/>
      <c r="BC1" s="803"/>
      <c r="BD1" s="803"/>
      <c r="BE1" s="54"/>
    </row>
    <row r="2" spans="1:57" ht="21" customHeight="1" thickBot="1">
      <c r="A2" s="471"/>
      <c r="B2" s="471"/>
      <c r="C2" s="471"/>
      <c r="D2" s="471"/>
      <c r="E2" s="471"/>
      <c r="F2" s="471"/>
      <c r="G2" s="471"/>
      <c r="H2" s="471"/>
      <c r="I2" s="471"/>
      <c r="J2" s="471"/>
      <c r="K2" s="471"/>
      <c r="L2" s="471"/>
      <c r="M2" s="471"/>
      <c r="N2" s="471"/>
      <c r="O2" s="471"/>
      <c r="P2" s="471"/>
      <c r="Q2" s="471"/>
      <c r="R2" s="471"/>
      <c r="S2" s="471"/>
      <c r="T2" s="471"/>
      <c r="U2" s="471"/>
      <c r="V2" s="471"/>
      <c r="W2" s="471"/>
      <c r="X2" s="471"/>
      <c r="Y2" s="471"/>
      <c r="Z2" s="471"/>
      <c r="AA2" s="471"/>
      <c r="AB2" s="471"/>
      <c r="AC2" s="471"/>
      <c r="AD2" s="471"/>
      <c r="AE2" s="471"/>
      <c r="AF2" s="471"/>
      <c r="AG2" s="471"/>
      <c r="AH2" s="471"/>
      <c r="AI2" s="471"/>
      <c r="AJ2" s="471"/>
      <c r="AK2" s="471"/>
      <c r="AL2" s="471"/>
      <c r="AM2" s="471"/>
      <c r="AN2" s="471"/>
      <c r="AO2" s="471"/>
      <c r="AP2" s="471"/>
      <c r="AQ2" s="471"/>
      <c r="AR2" s="471"/>
      <c r="AS2" s="471"/>
      <c r="AT2" s="471"/>
      <c r="AU2" s="471"/>
      <c r="AV2" s="471"/>
      <c r="AW2" s="471"/>
      <c r="AX2" s="471"/>
      <c r="AY2" s="471"/>
      <c r="AZ2" s="471"/>
      <c r="BA2" s="471"/>
      <c r="BB2" s="471"/>
      <c r="BC2" s="471"/>
      <c r="BD2" s="471"/>
      <c r="BE2" s="54"/>
    </row>
    <row r="3" spans="1:57" s="3" customFormat="1" ht="23.1" customHeight="1" thickTop="1">
      <c r="R3" s="838" t="s">
        <v>265</v>
      </c>
      <c r="S3" s="839"/>
      <c r="T3" s="839"/>
      <c r="U3" s="839"/>
      <c r="V3" s="839"/>
      <c r="W3" s="839"/>
      <c r="X3" s="839"/>
      <c r="Y3" s="839"/>
      <c r="Z3" s="839"/>
      <c r="AA3" s="839"/>
      <c r="AB3" s="840"/>
      <c r="AC3" s="59"/>
      <c r="AD3" s="59"/>
      <c r="AE3" s="59"/>
      <c r="AF3" s="844" t="s">
        <v>266</v>
      </c>
      <c r="AG3" s="845"/>
      <c r="AH3" s="845"/>
      <c r="AI3" s="845"/>
      <c r="AJ3" s="845"/>
      <c r="AK3" s="845"/>
      <c r="AL3" s="845"/>
      <c r="AM3" s="845"/>
      <c r="AN3" s="845"/>
      <c r="AO3" s="845"/>
      <c r="AP3" s="845"/>
      <c r="AQ3" s="845"/>
      <c r="AR3" s="845"/>
      <c r="AS3" s="845"/>
      <c r="AT3" s="845"/>
      <c r="AU3" s="845"/>
      <c r="AV3" s="845"/>
      <c r="AW3" s="845"/>
      <c r="AX3" s="845"/>
      <c r="AY3" s="845"/>
      <c r="AZ3" s="845"/>
      <c r="BA3" s="846"/>
      <c r="BB3" s="59"/>
      <c r="BC3" s="59"/>
      <c r="BD3" s="59"/>
    </row>
    <row r="4" spans="1:57" s="12" customFormat="1" ht="21" customHeight="1" thickBot="1">
      <c r="B4" s="11"/>
      <c r="C4" s="11"/>
      <c r="D4" s="11"/>
      <c r="E4" s="11"/>
      <c r="F4" s="11"/>
      <c r="G4" s="11"/>
      <c r="H4" s="11"/>
      <c r="I4" s="11"/>
      <c r="J4" s="11"/>
      <c r="K4" s="11"/>
      <c r="L4" s="11"/>
      <c r="M4" s="11"/>
      <c r="N4" s="11"/>
      <c r="O4" s="11"/>
      <c r="P4" s="11"/>
      <c r="Q4" s="11"/>
      <c r="R4" s="841"/>
      <c r="S4" s="842"/>
      <c r="T4" s="842"/>
      <c r="U4" s="842"/>
      <c r="V4" s="842"/>
      <c r="W4" s="842"/>
      <c r="X4" s="842"/>
      <c r="Y4" s="842"/>
      <c r="Z4" s="842"/>
      <c r="AA4" s="842"/>
      <c r="AB4" s="843"/>
      <c r="AD4" s="65"/>
      <c r="AF4" s="847"/>
      <c r="AG4" s="848"/>
      <c r="AH4" s="848"/>
      <c r="AI4" s="848"/>
      <c r="AJ4" s="848"/>
      <c r="AK4" s="848"/>
      <c r="AL4" s="848"/>
      <c r="AM4" s="848"/>
      <c r="AN4" s="848"/>
      <c r="AO4" s="848"/>
      <c r="AP4" s="848"/>
      <c r="AQ4" s="848"/>
      <c r="AR4" s="848"/>
      <c r="AS4" s="848"/>
      <c r="AT4" s="848"/>
      <c r="AU4" s="848"/>
      <c r="AV4" s="848"/>
      <c r="AW4" s="848"/>
      <c r="AX4" s="848"/>
      <c r="AY4" s="848"/>
      <c r="AZ4" s="848"/>
      <c r="BA4" s="849"/>
    </row>
    <row r="5" spans="1:57"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Bot="1">
      <c r="A6" s="829" t="s">
        <v>267</v>
      </c>
      <c r="B6" s="833"/>
      <c r="C6" s="834" t="str">
        <f>LED計算式!M32</f>
        <v>試算エリア</v>
      </c>
      <c r="D6" s="835"/>
      <c r="E6" s="835"/>
      <c r="F6" s="836"/>
      <c r="G6" s="797" t="s">
        <v>268</v>
      </c>
      <c r="H6" s="797"/>
      <c r="I6" s="797"/>
      <c r="J6" s="797"/>
      <c r="K6" s="797"/>
      <c r="L6" s="799" t="s">
        <v>269</v>
      </c>
      <c r="M6" s="799"/>
      <c r="N6" s="799"/>
      <c r="O6" s="799"/>
      <c r="P6" s="828" t="s">
        <v>161</v>
      </c>
      <c r="Q6" s="829"/>
      <c r="R6" s="830" t="s">
        <v>82</v>
      </c>
      <c r="S6" s="830"/>
      <c r="T6" s="830"/>
      <c r="U6" s="831" t="s">
        <v>270</v>
      </c>
      <c r="V6" s="831"/>
      <c r="W6" s="831"/>
      <c r="X6" s="831"/>
      <c r="Y6" s="832" t="s">
        <v>271</v>
      </c>
      <c r="Z6" s="832"/>
      <c r="AA6" s="832"/>
      <c r="AB6" s="832"/>
      <c r="AD6" s="63"/>
    </row>
    <row r="7" spans="1:57"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04" t="s">
        <v>272</v>
      </c>
      <c r="AG7" s="804"/>
      <c r="AH7" s="804"/>
      <c r="AI7" s="804"/>
      <c r="AJ7" s="804"/>
      <c r="AK7" s="804"/>
      <c r="AL7" s="804"/>
      <c r="AM7" s="804"/>
      <c r="AN7" s="804"/>
      <c r="AO7" s="804"/>
      <c r="AP7" s="804"/>
      <c r="AQ7" s="804"/>
      <c r="AR7" s="804"/>
      <c r="AS7" s="821">
        <f>Y39*120</f>
        <v>0</v>
      </c>
      <c r="AT7" s="822"/>
      <c r="AU7" s="822"/>
      <c r="AV7" s="822"/>
      <c r="AW7" s="822"/>
      <c r="AX7" s="822"/>
      <c r="AY7" s="822"/>
      <c r="AZ7" s="822"/>
      <c r="BA7" s="823"/>
    </row>
    <row r="8" spans="1:57" s="3" customFormat="1" ht="21" customHeight="1" thickBot="1">
      <c r="A8" s="837">
        <v>1</v>
      </c>
      <c r="B8" s="837"/>
      <c r="C8" s="798">
        <f>IF($C$6=☆入力!$B$15,☆入力!$B16,☆入力!$C16)</f>
        <v>0</v>
      </c>
      <c r="D8" s="798"/>
      <c r="E8" s="798"/>
      <c r="F8" s="798"/>
      <c r="G8" s="798">
        <f>☆入力!D16</f>
        <v>0</v>
      </c>
      <c r="H8" s="798"/>
      <c r="I8" s="798"/>
      <c r="J8" s="798"/>
      <c r="K8" s="798"/>
      <c r="L8" s="802">
        <f>☆入力!H16</f>
        <v>0</v>
      </c>
      <c r="M8" s="802"/>
      <c r="N8" s="802"/>
      <c r="O8" s="802"/>
      <c r="P8" s="851">
        <f>☆入力!L16</f>
        <v>0</v>
      </c>
      <c r="Q8" s="852"/>
      <c r="R8" s="853">
        <f>☆入力!K16</f>
        <v>0</v>
      </c>
      <c r="S8" s="853"/>
      <c r="T8" s="853"/>
      <c r="U8" s="854">
        <f>☆入力!W16</f>
        <v>0</v>
      </c>
      <c r="V8" s="854"/>
      <c r="W8" s="854"/>
      <c r="X8" s="854"/>
      <c r="Y8" s="855">
        <f>☆入力!Y16</f>
        <v>0</v>
      </c>
      <c r="Z8" s="855"/>
      <c r="AA8" s="855"/>
      <c r="AB8" s="855"/>
      <c r="AD8" s="62"/>
      <c r="AF8" s="804"/>
      <c r="AG8" s="804"/>
      <c r="AH8" s="804"/>
      <c r="AI8" s="804"/>
      <c r="AJ8" s="804"/>
      <c r="AK8" s="804"/>
      <c r="AL8" s="804"/>
      <c r="AM8" s="804"/>
      <c r="AN8" s="804"/>
      <c r="AO8" s="804"/>
      <c r="AP8" s="804"/>
      <c r="AQ8" s="804"/>
      <c r="AR8" s="804"/>
      <c r="AS8" s="824"/>
      <c r="AT8" s="825"/>
      <c r="AU8" s="825"/>
      <c r="AV8" s="825"/>
      <c r="AW8" s="825"/>
      <c r="AX8" s="825"/>
      <c r="AY8" s="825"/>
      <c r="AZ8" s="825"/>
      <c r="BA8" s="826"/>
    </row>
    <row r="9" spans="1:57" s="3" customFormat="1" ht="21" customHeight="1" thickTop="1">
      <c r="A9" s="786">
        <v>2</v>
      </c>
      <c r="B9" s="786"/>
      <c r="C9" s="787">
        <f>IF($C$6=☆入力!$B$15,☆入力!$B17,☆入力!$C17)</f>
        <v>0</v>
      </c>
      <c r="D9" s="788"/>
      <c r="E9" s="788"/>
      <c r="F9" s="789"/>
      <c r="G9" s="790">
        <f>☆入力!D17</f>
        <v>0</v>
      </c>
      <c r="H9" s="790"/>
      <c r="I9" s="790"/>
      <c r="J9" s="790"/>
      <c r="K9" s="790"/>
      <c r="L9" s="791">
        <f>☆入力!H17</f>
        <v>0</v>
      </c>
      <c r="M9" s="791"/>
      <c r="N9" s="791"/>
      <c r="O9" s="791"/>
      <c r="P9" s="792">
        <f>☆入力!L17</f>
        <v>0</v>
      </c>
      <c r="Q9" s="793"/>
      <c r="R9" s="794">
        <f>☆入力!K17</f>
        <v>0</v>
      </c>
      <c r="S9" s="794"/>
      <c r="T9" s="794"/>
      <c r="U9" s="795">
        <f>☆入力!W17</f>
        <v>0</v>
      </c>
      <c r="V9" s="795"/>
      <c r="W9" s="795"/>
      <c r="X9" s="795"/>
      <c r="Y9" s="796">
        <f>☆入力!Y17</f>
        <v>0</v>
      </c>
      <c r="Z9" s="796"/>
      <c r="AA9" s="796"/>
      <c r="AB9" s="796"/>
      <c r="AD9" s="62"/>
    </row>
    <row r="10" spans="1:57" s="3" customFormat="1" ht="21" customHeight="1">
      <c r="A10" s="786">
        <v>3</v>
      </c>
      <c r="B10" s="786"/>
      <c r="C10" s="787">
        <f>IF($C$6=☆入力!$B$15,☆入力!$B18,☆入力!$C18)</f>
        <v>0</v>
      </c>
      <c r="D10" s="788"/>
      <c r="E10" s="788"/>
      <c r="F10" s="789"/>
      <c r="G10" s="790">
        <f>☆入力!D18</f>
        <v>0</v>
      </c>
      <c r="H10" s="790"/>
      <c r="I10" s="790"/>
      <c r="J10" s="790"/>
      <c r="K10" s="790"/>
      <c r="L10" s="791">
        <f>☆入力!H18</f>
        <v>0</v>
      </c>
      <c r="M10" s="791"/>
      <c r="N10" s="791"/>
      <c r="O10" s="791"/>
      <c r="P10" s="792">
        <f>☆入力!L18</f>
        <v>0</v>
      </c>
      <c r="Q10" s="793"/>
      <c r="R10" s="794">
        <f>☆入力!K18</f>
        <v>0</v>
      </c>
      <c r="S10" s="794"/>
      <c r="T10" s="794"/>
      <c r="U10" s="795">
        <f>☆入力!W18</f>
        <v>0</v>
      </c>
      <c r="V10" s="795"/>
      <c r="W10" s="795"/>
      <c r="X10" s="795"/>
      <c r="Y10" s="796">
        <f>☆入力!Y18</f>
        <v>0</v>
      </c>
      <c r="Z10" s="796"/>
      <c r="AA10" s="796"/>
      <c r="AB10" s="796"/>
      <c r="AD10" s="62"/>
      <c r="AG10" s="66" t="s">
        <v>273</v>
      </c>
      <c r="AH10" s="66"/>
      <c r="AI10" s="66"/>
      <c r="AJ10" s="66"/>
      <c r="AK10" s="66"/>
      <c r="AL10" s="66"/>
      <c r="AM10" s="66"/>
      <c r="AN10" s="13"/>
      <c r="AO10" s="800">
        <f>Y39</f>
        <v>0</v>
      </c>
      <c r="AP10" s="800"/>
      <c r="AQ10" s="800"/>
      <c r="AR10" s="800"/>
      <c r="AS10" s="66" t="s">
        <v>274</v>
      </c>
      <c r="AT10" s="66"/>
      <c r="AU10" s="66"/>
      <c r="AV10" s="66"/>
      <c r="AW10" s="66"/>
      <c r="AX10" s="66"/>
      <c r="AY10" s="66"/>
      <c r="AZ10" s="66"/>
      <c r="BA10" s="66"/>
    </row>
    <row r="11" spans="1:57" s="3" customFormat="1" ht="21" customHeight="1">
      <c r="A11" s="786">
        <v>4</v>
      </c>
      <c r="B11" s="786"/>
      <c r="C11" s="787">
        <f>IF($C$6=☆入力!$B$15,☆入力!$B19,☆入力!$C19)</f>
        <v>0</v>
      </c>
      <c r="D11" s="788"/>
      <c r="E11" s="788"/>
      <c r="F11" s="789"/>
      <c r="G11" s="790">
        <f>☆入力!D19</f>
        <v>0</v>
      </c>
      <c r="H11" s="790"/>
      <c r="I11" s="790"/>
      <c r="J11" s="790"/>
      <c r="K11" s="790"/>
      <c r="L11" s="791">
        <f>☆入力!H19</f>
        <v>0</v>
      </c>
      <c r="M11" s="791"/>
      <c r="N11" s="791"/>
      <c r="O11" s="791"/>
      <c r="P11" s="792">
        <f>☆入力!L19</f>
        <v>0</v>
      </c>
      <c r="Q11" s="793"/>
      <c r="R11" s="794">
        <f>☆入力!K19</f>
        <v>0</v>
      </c>
      <c r="S11" s="794"/>
      <c r="T11" s="794"/>
      <c r="U11" s="795">
        <f>☆入力!W19</f>
        <v>0</v>
      </c>
      <c r="V11" s="795"/>
      <c r="W11" s="795"/>
      <c r="X11" s="795"/>
      <c r="Y11" s="796">
        <f>☆入力!Y19</f>
        <v>0</v>
      </c>
      <c r="Z11" s="796"/>
      <c r="AA11" s="796"/>
      <c r="AB11" s="796"/>
      <c r="AD11" s="62"/>
    </row>
    <row r="12" spans="1:57" s="3" customFormat="1" ht="21" customHeight="1">
      <c r="A12" s="786">
        <v>5</v>
      </c>
      <c r="B12" s="786"/>
      <c r="C12" s="787">
        <f>IF($C$6=☆入力!$B$15,☆入力!$B20,☆入力!$C20)</f>
        <v>0</v>
      </c>
      <c r="D12" s="788"/>
      <c r="E12" s="788"/>
      <c r="F12" s="789"/>
      <c r="G12" s="790">
        <f>☆入力!D20</f>
        <v>0</v>
      </c>
      <c r="H12" s="790"/>
      <c r="I12" s="790"/>
      <c r="J12" s="790"/>
      <c r="K12" s="790"/>
      <c r="L12" s="791">
        <f>☆入力!H20</f>
        <v>0</v>
      </c>
      <c r="M12" s="791"/>
      <c r="N12" s="791"/>
      <c r="O12" s="791"/>
      <c r="P12" s="792">
        <f>☆入力!L20</f>
        <v>0</v>
      </c>
      <c r="Q12" s="793"/>
      <c r="R12" s="794">
        <f>☆入力!K20</f>
        <v>0</v>
      </c>
      <c r="S12" s="794"/>
      <c r="T12" s="794"/>
      <c r="U12" s="795">
        <f>☆入力!W20</f>
        <v>0</v>
      </c>
      <c r="V12" s="795"/>
      <c r="W12" s="795"/>
      <c r="X12" s="795"/>
      <c r="Y12" s="796">
        <f>☆入力!Y20</f>
        <v>0</v>
      </c>
      <c r="Z12" s="796"/>
      <c r="AA12" s="796"/>
      <c r="AB12" s="796"/>
      <c r="AD12" s="62"/>
    </row>
    <row r="13" spans="1:57" s="3" customFormat="1" ht="21" customHeight="1">
      <c r="A13" s="786">
        <v>6</v>
      </c>
      <c r="B13" s="786"/>
      <c r="C13" s="787">
        <f>IF($C$6=☆入力!$B$15,☆入力!$B21,☆入力!$C21)</f>
        <v>0</v>
      </c>
      <c r="D13" s="788"/>
      <c r="E13" s="788"/>
      <c r="F13" s="789"/>
      <c r="G13" s="790">
        <f>☆入力!D21</f>
        <v>0</v>
      </c>
      <c r="H13" s="790"/>
      <c r="I13" s="790"/>
      <c r="J13" s="790"/>
      <c r="K13" s="790"/>
      <c r="L13" s="791">
        <f>☆入力!H21</f>
        <v>0</v>
      </c>
      <c r="M13" s="791"/>
      <c r="N13" s="791"/>
      <c r="O13" s="791"/>
      <c r="P13" s="792">
        <f>☆入力!L21</f>
        <v>0</v>
      </c>
      <c r="Q13" s="793"/>
      <c r="R13" s="794">
        <f>☆入力!K21</f>
        <v>0</v>
      </c>
      <c r="S13" s="794"/>
      <c r="T13" s="794"/>
      <c r="U13" s="795">
        <f>☆入力!W21</f>
        <v>0</v>
      </c>
      <c r="V13" s="795"/>
      <c r="W13" s="795"/>
      <c r="X13" s="795"/>
      <c r="Y13" s="796">
        <f>☆入力!Y21</f>
        <v>0</v>
      </c>
      <c r="Z13" s="796"/>
      <c r="AA13" s="796"/>
      <c r="AB13" s="796"/>
      <c r="AD13" s="62"/>
      <c r="AS13" s="827" t="s">
        <v>275</v>
      </c>
      <c r="AT13" s="827"/>
      <c r="AU13" s="827"/>
      <c r="AV13" s="827"/>
      <c r="AW13" s="827"/>
      <c r="AX13" s="827"/>
      <c r="AY13" s="827"/>
      <c r="AZ13" s="827"/>
      <c r="BA13" s="827"/>
    </row>
    <row r="14" spans="1:57" s="3" customFormat="1" ht="21" customHeight="1">
      <c r="A14" s="786">
        <v>7</v>
      </c>
      <c r="B14" s="786"/>
      <c r="C14" s="787">
        <f>IF($C$6=☆入力!$B$15,☆入力!$B22,☆入力!$C22)</f>
        <v>0</v>
      </c>
      <c r="D14" s="788"/>
      <c r="E14" s="788"/>
      <c r="F14" s="789"/>
      <c r="G14" s="790">
        <f>☆入力!D22</f>
        <v>0</v>
      </c>
      <c r="H14" s="790"/>
      <c r="I14" s="790"/>
      <c r="J14" s="790"/>
      <c r="K14" s="790"/>
      <c r="L14" s="791">
        <f>☆入力!H22</f>
        <v>0</v>
      </c>
      <c r="M14" s="791"/>
      <c r="N14" s="791"/>
      <c r="O14" s="791"/>
      <c r="P14" s="792">
        <f>☆入力!L22</f>
        <v>0</v>
      </c>
      <c r="Q14" s="793"/>
      <c r="R14" s="794">
        <f>☆入力!K22</f>
        <v>0</v>
      </c>
      <c r="S14" s="794"/>
      <c r="T14" s="794"/>
      <c r="U14" s="795">
        <f>☆入力!W22</f>
        <v>0</v>
      </c>
      <c r="V14" s="795"/>
      <c r="W14" s="795"/>
      <c r="X14" s="795"/>
      <c r="Y14" s="796">
        <f>☆入力!Y22</f>
        <v>0</v>
      </c>
      <c r="Z14" s="796"/>
      <c r="AA14" s="796"/>
      <c r="AB14" s="796"/>
      <c r="AD14" s="62"/>
      <c r="AS14" s="827"/>
      <c r="AT14" s="827"/>
      <c r="AU14" s="827"/>
      <c r="AV14" s="827"/>
      <c r="AW14" s="827"/>
      <c r="AX14" s="827"/>
      <c r="AY14" s="827"/>
      <c r="AZ14" s="827"/>
      <c r="BA14" s="827"/>
    </row>
    <row r="15" spans="1:57" s="3" customFormat="1" ht="21" customHeight="1">
      <c r="A15" s="786">
        <v>8</v>
      </c>
      <c r="B15" s="786"/>
      <c r="C15" s="787">
        <f>IF($C$6=☆入力!$B$15,☆入力!$B23,☆入力!$C23)</f>
        <v>0</v>
      </c>
      <c r="D15" s="788"/>
      <c r="E15" s="788"/>
      <c r="F15" s="789"/>
      <c r="G15" s="790">
        <f>☆入力!D23</f>
        <v>0</v>
      </c>
      <c r="H15" s="790"/>
      <c r="I15" s="790"/>
      <c r="J15" s="790"/>
      <c r="K15" s="790"/>
      <c r="L15" s="791">
        <f>☆入力!H23</f>
        <v>0</v>
      </c>
      <c r="M15" s="791"/>
      <c r="N15" s="791"/>
      <c r="O15" s="791"/>
      <c r="P15" s="792">
        <f>☆入力!L23</f>
        <v>0</v>
      </c>
      <c r="Q15" s="793"/>
      <c r="R15" s="794">
        <f>☆入力!K23</f>
        <v>0</v>
      </c>
      <c r="S15" s="794"/>
      <c r="T15" s="794"/>
      <c r="U15" s="795">
        <f>☆入力!W23</f>
        <v>0</v>
      </c>
      <c r="V15" s="795"/>
      <c r="W15" s="795"/>
      <c r="X15" s="795"/>
      <c r="Y15" s="796">
        <f>☆入力!Y23</f>
        <v>0</v>
      </c>
      <c r="Z15" s="796"/>
      <c r="AA15" s="796"/>
      <c r="AB15" s="796"/>
      <c r="AD15" s="62"/>
    </row>
    <row r="16" spans="1:57" s="3" customFormat="1" ht="21" customHeight="1">
      <c r="A16" s="786">
        <v>9</v>
      </c>
      <c r="B16" s="786"/>
      <c r="C16" s="787">
        <f>IF($C$6=☆入力!$B$15,☆入力!$B24,☆入力!$C24)</f>
        <v>0</v>
      </c>
      <c r="D16" s="788"/>
      <c r="E16" s="788"/>
      <c r="F16" s="789"/>
      <c r="G16" s="790">
        <f>☆入力!D24</f>
        <v>0</v>
      </c>
      <c r="H16" s="790"/>
      <c r="I16" s="790"/>
      <c r="J16" s="790"/>
      <c r="K16" s="790"/>
      <c r="L16" s="791">
        <f>☆入力!H24</f>
        <v>0</v>
      </c>
      <c r="M16" s="791"/>
      <c r="N16" s="791"/>
      <c r="O16" s="791"/>
      <c r="P16" s="792">
        <f>☆入力!L24</f>
        <v>0</v>
      </c>
      <c r="Q16" s="793"/>
      <c r="R16" s="794">
        <f>☆入力!K24</f>
        <v>0</v>
      </c>
      <c r="S16" s="794"/>
      <c r="T16" s="794"/>
      <c r="U16" s="795">
        <f>☆入力!W24</f>
        <v>0</v>
      </c>
      <c r="V16" s="795"/>
      <c r="W16" s="795"/>
      <c r="X16" s="795"/>
      <c r="Y16" s="796">
        <f>☆入力!Y24</f>
        <v>0</v>
      </c>
      <c r="Z16" s="796"/>
      <c r="AA16" s="796"/>
      <c r="AB16" s="796"/>
      <c r="AD16" s="62"/>
      <c r="AF16" s="804" t="s">
        <v>276</v>
      </c>
      <c r="AG16" s="804"/>
      <c r="AH16" s="804"/>
      <c r="AI16" s="804"/>
      <c r="AJ16" s="804"/>
      <c r="AK16" s="804"/>
      <c r="AL16" s="804"/>
      <c r="AM16" s="804"/>
      <c r="AN16" s="804"/>
      <c r="AO16" s="804"/>
      <c r="AP16" s="804"/>
      <c r="AQ16" s="804"/>
      <c r="AR16" s="804"/>
      <c r="AS16" s="804"/>
      <c r="AT16" s="804"/>
      <c r="AU16" s="804"/>
      <c r="AV16" s="804"/>
      <c r="AW16" s="804"/>
      <c r="AX16" s="804"/>
      <c r="AY16" s="804"/>
      <c r="AZ16" s="804"/>
      <c r="BA16" s="804"/>
    </row>
    <row r="17" spans="1:53" s="3" customFormat="1" ht="21" customHeight="1">
      <c r="A17" s="786">
        <v>10</v>
      </c>
      <c r="B17" s="786"/>
      <c r="C17" s="787">
        <f>IF($C$6=☆入力!$B$15,☆入力!$B25,☆入力!$C25)</f>
        <v>0</v>
      </c>
      <c r="D17" s="788"/>
      <c r="E17" s="788"/>
      <c r="F17" s="789"/>
      <c r="G17" s="790">
        <f>☆入力!D25</f>
        <v>0</v>
      </c>
      <c r="H17" s="790"/>
      <c r="I17" s="790"/>
      <c r="J17" s="790"/>
      <c r="K17" s="790"/>
      <c r="L17" s="791">
        <f>☆入力!H25</f>
        <v>0</v>
      </c>
      <c r="M17" s="791"/>
      <c r="N17" s="791"/>
      <c r="O17" s="791"/>
      <c r="P17" s="792">
        <f>☆入力!L25</f>
        <v>0</v>
      </c>
      <c r="Q17" s="793"/>
      <c r="R17" s="794">
        <f>☆入力!K25</f>
        <v>0</v>
      </c>
      <c r="S17" s="794"/>
      <c r="T17" s="794"/>
      <c r="U17" s="795">
        <f>☆入力!W25</f>
        <v>0</v>
      </c>
      <c r="V17" s="795"/>
      <c r="W17" s="795"/>
      <c r="X17" s="795"/>
      <c r="Y17" s="796">
        <f>☆入力!Y25</f>
        <v>0</v>
      </c>
      <c r="Z17" s="796"/>
      <c r="AA17" s="796"/>
      <c r="AB17" s="796"/>
      <c r="AD17" s="62"/>
      <c r="AF17" s="804"/>
      <c r="AG17" s="804"/>
      <c r="AH17" s="804"/>
      <c r="AI17" s="804"/>
      <c r="AJ17" s="804"/>
      <c r="AK17" s="804"/>
      <c r="AL17" s="804"/>
      <c r="AM17" s="804"/>
      <c r="AN17" s="804"/>
      <c r="AO17" s="804"/>
      <c r="AP17" s="804"/>
      <c r="AQ17" s="804"/>
      <c r="AR17" s="804"/>
      <c r="AS17" s="804"/>
      <c r="AT17" s="804"/>
      <c r="AU17" s="804"/>
      <c r="AV17" s="804"/>
      <c r="AW17" s="804"/>
      <c r="AX17" s="804"/>
      <c r="AY17" s="804"/>
      <c r="AZ17" s="804"/>
      <c r="BA17" s="804"/>
    </row>
    <row r="18" spans="1:53" s="3" customFormat="1" ht="21" customHeight="1" thickBot="1">
      <c r="A18" s="786">
        <v>11</v>
      </c>
      <c r="B18" s="786"/>
      <c r="C18" s="787">
        <f>IF($C$6=☆入力!$B$15,☆入力!$B26,☆入力!$C26)</f>
        <v>0</v>
      </c>
      <c r="D18" s="788"/>
      <c r="E18" s="788"/>
      <c r="F18" s="789"/>
      <c r="G18" s="790">
        <f>☆入力!D26</f>
        <v>0</v>
      </c>
      <c r="H18" s="790"/>
      <c r="I18" s="790"/>
      <c r="J18" s="790"/>
      <c r="K18" s="790"/>
      <c r="L18" s="791">
        <f>☆入力!H26</f>
        <v>0</v>
      </c>
      <c r="M18" s="791"/>
      <c r="N18" s="791"/>
      <c r="O18" s="791"/>
      <c r="P18" s="792">
        <f>☆入力!L26</f>
        <v>0</v>
      </c>
      <c r="Q18" s="793"/>
      <c r="R18" s="794">
        <f>☆入力!K26</f>
        <v>0</v>
      </c>
      <c r="S18" s="794"/>
      <c r="T18" s="794"/>
      <c r="U18" s="795">
        <f>☆入力!W26</f>
        <v>0</v>
      </c>
      <c r="V18" s="795"/>
      <c r="W18" s="795"/>
      <c r="X18" s="795"/>
      <c r="Y18" s="796">
        <f>☆入力!Y26</f>
        <v>0</v>
      </c>
      <c r="Z18" s="796"/>
      <c r="AA18" s="796"/>
      <c r="AB18" s="796"/>
      <c r="AD18" s="62"/>
    </row>
    <row r="19" spans="1:53" s="3" customFormat="1" ht="21" customHeight="1" thickTop="1">
      <c r="A19" s="786">
        <v>12</v>
      </c>
      <c r="B19" s="786"/>
      <c r="C19" s="787">
        <f>IF($C$6=☆入力!$B$15,☆入力!$B27,☆入力!$C27)</f>
        <v>0</v>
      </c>
      <c r="D19" s="788"/>
      <c r="E19" s="788"/>
      <c r="F19" s="789"/>
      <c r="G19" s="790">
        <f>☆入力!D27</f>
        <v>0</v>
      </c>
      <c r="H19" s="790"/>
      <c r="I19" s="790"/>
      <c r="J19" s="790"/>
      <c r="K19" s="790"/>
      <c r="L19" s="791">
        <f>☆入力!H27</f>
        <v>0</v>
      </c>
      <c r="M19" s="791"/>
      <c r="N19" s="791"/>
      <c r="O19" s="791"/>
      <c r="P19" s="792">
        <f>☆入力!L27</f>
        <v>0</v>
      </c>
      <c r="Q19" s="793"/>
      <c r="R19" s="794">
        <f>☆入力!K27</f>
        <v>0</v>
      </c>
      <c r="S19" s="794"/>
      <c r="T19" s="794"/>
      <c r="U19" s="795">
        <f>☆入力!W27</f>
        <v>0</v>
      </c>
      <c r="V19" s="795"/>
      <c r="W19" s="795"/>
      <c r="X19" s="795"/>
      <c r="Y19" s="796">
        <f>☆入力!Y27</f>
        <v>0</v>
      </c>
      <c r="Z19" s="796"/>
      <c r="AA19" s="796"/>
      <c r="AB19" s="796"/>
      <c r="AD19" s="62"/>
      <c r="AS19" s="821">
        <f>(AN22*☆入力!AR9*7)+(AN23*☆入力!AR9*15)</f>
        <v>0</v>
      </c>
      <c r="AT19" s="822"/>
      <c r="AU19" s="822"/>
      <c r="AV19" s="822"/>
      <c r="AW19" s="822"/>
      <c r="AX19" s="822"/>
      <c r="AY19" s="822"/>
      <c r="AZ19" s="822"/>
      <c r="BA19" s="823"/>
    </row>
    <row r="20" spans="1:53" s="3" customFormat="1" ht="21" customHeight="1" thickBot="1">
      <c r="A20" s="786">
        <v>13</v>
      </c>
      <c r="B20" s="786"/>
      <c r="C20" s="787">
        <f>IF($C$6=☆入力!$B$15,☆入力!$B28,☆入力!$C28)</f>
        <v>0</v>
      </c>
      <c r="D20" s="788"/>
      <c r="E20" s="788"/>
      <c r="F20" s="789"/>
      <c r="G20" s="790">
        <f>☆入力!D28</f>
        <v>0</v>
      </c>
      <c r="H20" s="790"/>
      <c r="I20" s="790"/>
      <c r="J20" s="790"/>
      <c r="K20" s="790"/>
      <c r="L20" s="791">
        <f>☆入力!H28</f>
        <v>0</v>
      </c>
      <c r="M20" s="791"/>
      <c r="N20" s="791"/>
      <c r="O20" s="791"/>
      <c r="P20" s="792">
        <f>☆入力!L28</f>
        <v>0</v>
      </c>
      <c r="Q20" s="793"/>
      <c r="R20" s="794">
        <f>☆入力!K28</f>
        <v>0</v>
      </c>
      <c r="S20" s="794"/>
      <c r="T20" s="794"/>
      <c r="U20" s="795">
        <f>☆入力!W28</f>
        <v>0</v>
      </c>
      <c r="V20" s="795"/>
      <c r="W20" s="795"/>
      <c r="X20" s="795"/>
      <c r="Y20" s="796">
        <f>☆入力!Y28</f>
        <v>0</v>
      </c>
      <c r="Z20" s="796"/>
      <c r="AA20" s="796"/>
      <c r="AB20" s="796"/>
      <c r="AD20" s="62"/>
      <c r="AS20" s="824"/>
      <c r="AT20" s="825"/>
      <c r="AU20" s="825"/>
      <c r="AV20" s="825"/>
      <c r="AW20" s="825"/>
      <c r="AX20" s="825"/>
      <c r="AY20" s="825"/>
      <c r="AZ20" s="825"/>
      <c r="BA20" s="826"/>
    </row>
    <row r="21" spans="1:53" s="3" customFormat="1" ht="21" customHeight="1" thickTop="1">
      <c r="A21" s="786">
        <v>14</v>
      </c>
      <c r="B21" s="786"/>
      <c r="C21" s="787">
        <f>IF($C$6=☆入力!$B$15,☆入力!$B29,☆入力!$C29)</f>
        <v>0</v>
      </c>
      <c r="D21" s="788"/>
      <c r="E21" s="788"/>
      <c r="F21" s="789"/>
      <c r="G21" s="790">
        <f>☆入力!D29</f>
        <v>0</v>
      </c>
      <c r="H21" s="790"/>
      <c r="I21" s="790"/>
      <c r="J21" s="790"/>
      <c r="K21" s="790"/>
      <c r="L21" s="791">
        <f>☆入力!H29</f>
        <v>0</v>
      </c>
      <c r="M21" s="791"/>
      <c r="N21" s="791"/>
      <c r="O21" s="791"/>
      <c r="P21" s="792">
        <f>☆入力!L29</f>
        <v>0</v>
      </c>
      <c r="Q21" s="793"/>
      <c r="R21" s="794">
        <f>☆入力!K29</f>
        <v>0</v>
      </c>
      <c r="S21" s="794"/>
      <c r="T21" s="794"/>
      <c r="U21" s="795">
        <f>☆入力!W29</f>
        <v>0</v>
      </c>
      <c r="V21" s="795"/>
      <c r="W21" s="795"/>
      <c r="X21" s="795"/>
      <c r="Y21" s="796">
        <f>☆入力!Y29</f>
        <v>0</v>
      </c>
      <c r="Z21" s="796"/>
      <c r="AA21" s="796"/>
      <c r="AB21" s="796"/>
      <c r="AD21" s="62"/>
      <c r="AG21" s="79"/>
      <c r="AH21" s="79"/>
      <c r="AI21" s="79"/>
      <c r="AJ21" s="79"/>
      <c r="AK21" s="79"/>
      <c r="AL21" s="79"/>
      <c r="AM21" s="79"/>
      <c r="AN21" s="79"/>
      <c r="AO21" s="79"/>
      <c r="AP21" s="79"/>
      <c r="AQ21" s="79"/>
      <c r="AR21" s="79"/>
      <c r="AS21" s="80"/>
      <c r="AT21" s="80"/>
      <c r="AU21" s="80"/>
      <c r="AV21" s="80"/>
      <c r="AW21" s="80"/>
      <c r="AX21" s="80"/>
      <c r="AY21" s="80"/>
      <c r="AZ21" s="80"/>
      <c r="BA21" s="80"/>
    </row>
    <row r="22" spans="1:53" s="3" customFormat="1" ht="21" customHeight="1">
      <c r="A22" s="786">
        <v>15</v>
      </c>
      <c r="B22" s="786"/>
      <c r="C22" s="787">
        <f>IF($C$6=☆入力!$B$15,☆入力!$B30,☆入力!$C30)</f>
        <v>0</v>
      </c>
      <c r="D22" s="788"/>
      <c r="E22" s="788"/>
      <c r="F22" s="789"/>
      <c r="G22" s="790">
        <f>☆入力!D30</f>
        <v>0</v>
      </c>
      <c r="H22" s="790"/>
      <c r="I22" s="790"/>
      <c r="J22" s="790"/>
      <c r="K22" s="790"/>
      <c r="L22" s="791">
        <f>☆入力!H30</f>
        <v>0</v>
      </c>
      <c r="M22" s="791"/>
      <c r="N22" s="791"/>
      <c r="O22" s="791"/>
      <c r="P22" s="792">
        <f>☆入力!L30</f>
        <v>0</v>
      </c>
      <c r="Q22" s="793"/>
      <c r="R22" s="794">
        <f>☆入力!K30</f>
        <v>0</v>
      </c>
      <c r="S22" s="794"/>
      <c r="T22" s="794"/>
      <c r="U22" s="795">
        <f>☆入力!W30</f>
        <v>0</v>
      </c>
      <c r="V22" s="795"/>
      <c r="W22" s="795"/>
      <c r="X22" s="795"/>
      <c r="Y22" s="796">
        <f>☆入力!Y30</f>
        <v>0</v>
      </c>
      <c r="Z22" s="796"/>
      <c r="AA22" s="796"/>
      <c r="AB22" s="796"/>
      <c r="AD22" s="62"/>
      <c r="AF22" s="79"/>
      <c r="AG22" s="66" t="s">
        <v>277</v>
      </c>
      <c r="AH22" s="66"/>
      <c r="AI22" s="66"/>
      <c r="AJ22" s="66"/>
      <c r="AK22" s="66"/>
      <c r="AL22" s="66"/>
      <c r="AN22" s="801">
        <f>LED計算式!N16</f>
        <v>0</v>
      </c>
      <c r="AO22" s="801"/>
      <c r="AP22" s="801"/>
      <c r="AQ22" s="66" t="str">
        <f>"× "&amp;TEXT(☆入力!AR9,"#,#00")&amp;"円（※1）× 7回（※2）"</f>
        <v>× 2,500円（※1）× 7回（※2）</v>
      </c>
      <c r="AS22" s="66"/>
      <c r="AT22" s="66"/>
      <c r="AU22" s="66"/>
      <c r="AV22" s="66"/>
      <c r="AW22" s="66"/>
      <c r="AX22" s="66"/>
      <c r="AY22" s="66"/>
      <c r="AZ22" s="66"/>
      <c r="BA22" s="66"/>
    </row>
    <row r="23" spans="1:53" s="3" customFormat="1" ht="21" customHeight="1">
      <c r="A23" s="786">
        <v>16</v>
      </c>
      <c r="B23" s="786"/>
      <c r="C23" s="787">
        <f>IF($C$6=☆入力!$B$15,☆入力!$B31,☆入力!$C31)</f>
        <v>0</v>
      </c>
      <c r="D23" s="788"/>
      <c r="E23" s="788"/>
      <c r="F23" s="789"/>
      <c r="G23" s="790">
        <f>☆入力!D31</f>
        <v>0</v>
      </c>
      <c r="H23" s="790"/>
      <c r="I23" s="790"/>
      <c r="J23" s="790"/>
      <c r="K23" s="790"/>
      <c r="L23" s="791">
        <f>☆入力!H31</f>
        <v>0</v>
      </c>
      <c r="M23" s="791"/>
      <c r="N23" s="791"/>
      <c r="O23" s="791"/>
      <c r="P23" s="792">
        <f>☆入力!L31</f>
        <v>0</v>
      </c>
      <c r="Q23" s="793"/>
      <c r="R23" s="794">
        <f>☆入力!K31</f>
        <v>0</v>
      </c>
      <c r="S23" s="794"/>
      <c r="T23" s="794"/>
      <c r="U23" s="795">
        <f>☆入力!W31</f>
        <v>0</v>
      </c>
      <c r="V23" s="795"/>
      <c r="W23" s="795"/>
      <c r="X23" s="795"/>
      <c r="Y23" s="796">
        <f>☆入力!Y31</f>
        <v>0</v>
      </c>
      <c r="Z23" s="796"/>
      <c r="AA23" s="796"/>
      <c r="AB23" s="796"/>
      <c r="AD23" s="62"/>
      <c r="AF23" s="79"/>
      <c r="AG23" s="66" t="s">
        <v>278</v>
      </c>
      <c r="AN23" s="801">
        <f>LED計算式!N17</f>
        <v>0</v>
      </c>
      <c r="AO23" s="801"/>
      <c r="AP23" s="801"/>
      <c r="AQ23" s="66" t="str">
        <f>"× "&amp;TEXT(☆入力!AR9,"#,#00")&amp;"円（※1）× 15回（※3）"</f>
        <v>× 2,500円（※1）× 15回（※3）</v>
      </c>
      <c r="AS23" s="66"/>
      <c r="AT23" s="66"/>
      <c r="AU23" s="66"/>
      <c r="AV23" s="66"/>
      <c r="AW23" s="66"/>
      <c r="AX23" s="66"/>
      <c r="AY23" s="66"/>
    </row>
    <row r="24" spans="1:53" s="3" customFormat="1" ht="21" customHeight="1">
      <c r="A24" s="786">
        <v>17</v>
      </c>
      <c r="B24" s="786"/>
      <c r="C24" s="787">
        <f>IF($C$6=☆入力!$B$15,☆入力!$B32,☆入力!$C32)</f>
        <v>0</v>
      </c>
      <c r="D24" s="788"/>
      <c r="E24" s="788"/>
      <c r="F24" s="789"/>
      <c r="G24" s="790">
        <f>☆入力!D32</f>
        <v>0</v>
      </c>
      <c r="H24" s="790"/>
      <c r="I24" s="790"/>
      <c r="J24" s="790"/>
      <c r="K24" s="790"/>
      <c r="L24" s="791">
        <f>☆入力!H32</f>
        <v>0</v>
      </c>
      <c r="M24" s="791"/>
      <c r="N24" s="791"/>
      <c r="O24" s="791"/>
      <c r="P24" s="792">
        <f>☆入力!L32</f>
        <v>0</v>
      </c>
      <c r="Q24" s="793"/>
      <c r="R24" s="794">
        <f>☆入力!K32</f>
        <v>0</v>
      </c>
      <c r="S24" s="794"/>
      <c r="T24" s="794"/>
      <c r="U24" s="795">
        <f>☆入力!W32</f>
        <v>0</v>
      </c>
      <c r="V24" s="795"/>
      <c r="W24" s="795"/>
      <c r="X24" s="795"/>
      <c r="Y24" s="796">
        <f>☆入力!Y32</f>
        <v>0</v>
      </c>
      <c r="Z24" s="796"/>
      <c r="AA24" s="796"/>
      <c r="AB24" s="796"/>
      <c r="AD24" s="62"/>
      <c r="AS24" s="352"/>
      <c r="AT24" s="352"/>
      <c r="AU24" s="352"/>
      <c r="AV24" s="352"/>
      <c r="AW24" s="352"/>
      <c r="AX24" s="352"/>
      <c r="AY24" s="352"/>
      <c r="AZ24" s="352"/>
      <c r="BA24" s="352"/>
    </row>
    <row r="25" spans="1:53" s="3" customFormat="1" ht="21" customHeight="1">
      <c r="A25" s="786">
        <v>18</v>
      </c>
      <c r="B25" s="786"/>
      <c r="C25" s="787">
        <f>IF($C$6=☆入力!$B$15,☆入力!$B33,☆入力!$C33)</f>
        <v>0</v>
      </c>
      <c r="D25" s="788"/>
      <c r="E25" s="788"/>
      <c r="F25" s="789"/>
      <c r="G25" s="790">
        <f>☆入力!D33</f>
        <v>0</v>
      </c>
      <c r="H25" s="790"/>
      <c r="I25" s="790"/>
      <c r="J25" s="790"/>
      <c r="K25" s="790"/>
      <c r="L25" s="791">
        <f>☆入力!H33</f>
        <v>0</v>
      </c>
      <c r="M25" s="791"/>
      <c r="N25" s="791"/>
      <c r="O25" s="791"/>
      <c r="P25" s="792">
        <f>☆入力!L33</f>
        <v>0</v>
      </c>
      <c r="Q25" s="793"/>
      <c r="R25" s="794">
        <f>☆入力!K33</f>
        <v>0</v>
      </c>
      <c r="S25" s="794"/>
      <c r="T25" s="794"/>
      <c r="U25" s="795">
        <f>☆入力!W33</f>
        <v>0</v>
      </c>
      <c r="V25" s="795"/>
      <c r="W25" s="795"/>
      <c r="X25" s="795"/>
      <c r="Y25" s="796">
        <f>☆入力!Y33</f>
        <v>0</v>
      </c>
      <c r="Z25" s="796"/>
      <c r="AA25" s="796"/>
      <c r="AB25" s="796"/>
      <c r="AD25" s="62"/>
      <c r="AF25" s="52"/>
      <c r="AG25" s="1" t="str">
        <f>"(※1)白熱球の1球あたりの交換費用⇒"&amp;TEXT(☆入力!AR9,"#,#00")&amp;"円で計算(管理会社に委託している場合の平均)"</f>
        <v>(※1)白熱球の1球あたりの交換費用⇒2,500円で計算(管理会社に委託している場合の平均)</v>
      </c>
    </row>
    <row r="26" spans="1:53" s="3" customFormat="1" ht="21" customHeight="1">
      <c r="A26" s="786">
        <v>19</v>
      </c>
      <c r="B26" s="786"/>
      <c r="C26" s="787">
        <f>IF($C$6=☆入力!$B$15,☆入力!$B34,☆入力!$C34)</f>
        <v>0</v>
      </c>
      <c r="D26" s="788"/>
      <c r="E26" s="788"/>
      <c r="F26" s="789"/>
      <c r="G26" s="790">
        <f>☆入力!D34</f>
        <v>0</v>
      </c>
      <c r="H26" s="790"/>
      <c r="I26" s="790"/>
      <c r="J26" s="790"/>
      <c r="K26" s="790"/>
      <c r="L26" s="791">
        <f>☆入力!H34</f>
        <v>0</v>
      </c>
      <c r="M26" s="791"/>
      <c r="N26" s="791"/>
      <c r="O26" s="791"/>
      <c r="P26" s="792">
        <f>☆入力!L34</f>
        <v>0</v>
      </c>
      <c r="Q26" s="793"/>
      <c r="R26" s="794">
        <f>☆入力!K34</f>
        <v>0</v>
      </c>
      <c r="S26" s="794"/>
      <c r="T26" s="794"/>
      <c r="U26" s="795">
        <f>☆入力!W34</f>
        <v>0</v>
      </c>
      <c r="V26" s="795"/>
      <c r="W26" s="795"/>
      <c r="X26" s="795"/>
      <c r="Y26" s="796">
        <f>☆入力!Y34</f>
        <v>0</v>
      </c>
      <c r="Z26" s="796"/>
      <c r="AA26" s="796"/>
      <c r="AB26" s="796"/>
      <c r="AD26" s="62"/>
      <c r="AG26" s="1" t="s">
        <v>279</v>
      </c>
    </row>
    <row r="27" spans="1:53" s="3" customFormat="1" ht="21" customHeight="1">
      <c r="A27" s="786">
        <v>20</v>
      </c>
      <c r="B27" s="786"/>
      <c r="C27" s="787">
        <f>IF($C$6=☆入力!$B$15,☆入力!$B35,☆入力!$C35)</f>
        <v>0</v>
      </c>
      <c r="D27" s="788"/>
      <c r="E27" s="788"/>
      <c r="F27" s="789"/>
      <c r="G27" s="790">
        <f>☆入力!D35</f>
        <v>0</v>
      </c>
      <c r="H27" s="790"/>
      <c r="I27" s="790"/>
      <c r="J27" s="790"/>
      <c r="K27" s="790"/>
      <c r="L27" s="791">
        <f>☆入力!H35</f>
        <v>0</v>
      </c>
      <c r="M27" s="791"/>
      <c r="N27" s="791"/>
      <c r="O27" s="791"/>
      <c r="P27" s="792">
        <f>☆入力!L35</f>
        <v>0</v>
      </c>
      <c r="Q27" s="793"/>
      <c r="R27" s="794">
        <f>☆入力!K35</f>
        <v>0</v>
      </c>
      <c r="S27" s="794"/>
      <c r="T27" s="794"/>
      <c r="U27" s="795">
        <f>☆入力!W35</f>
        <v>0</v>
      </c>
      <c r="V27" s="795"/>
      <c r="W27" s="795"/>
      <c r="X27" s="795"/>
      <c r="Y27" s="796">
        <f>☆入力!Y35</f>
        <v>0</v>
      </c>
      <c r="Z27" s="796"/>
      <c r="AA27" s="796"/>
      <c r="AB27" s="796"/>
      <c r="AD27" s="62"/>
      <c r="AG27" s="1" t="s">
        <v>280</v>
      </c>
      <c r="AT27" s="80"/>
      <c r="AU27" s="80"/>
      <c r="AV27" s="80"/>
      <c r="AW27" s="80"/>
      <c r="AX27" s="80"/>
      <c r="AY27" s="80"/>
      <c r="AZ27" s="80"/>
      <c r="BA27" s="80"/>
    </row>
    <row r="28" spans="1:53" s="3" customFormat="1" ht="21" customHeight="1">
      <c r="A28" s="786">
        <v>21</v>
      </c>
      <c r="B28" s="786"/>
      <c r="C28" s="787">
        <f>IF($C$6=☆入力!$B$15,☆入力!$B36,☆入力!$C36)</f>
        <v>0</v>
      </c>
      <c r="D28" s="788"/>
      <c r="E28" s="788"/>
      <c r="F28" s="789"/>
      <c r="G28" s="790">
        <f>☆入力!D36</f>
        <v>0</v>
      </c>
      <c r="H28" s="790"/>
      <c r="I28" s="790"/>
      <c r="J28" s="790"/>
      <c r="K28" s="790"/>
      <c r="L28" s="791">
        <f>☆入力!H36</f>
        <v>0</v>
      </c>
      <c r="M28" s="791"/>
      <c r="N28" s="791"/>
      <c r="O28" s="791"/>
      <c r="P28" s="792">
        <f>☆入力!L36</f>
        <v>0</v>
      </c>
      <c r="Q28" s="793"/>
      <c r="R28" s="794">
        <f>☆入力!K36</f>
        <v>0</v>
      </c>
      <c r="S28" s="794"/>
      <c r="T28" s="794"/>
      <c r="U28" s="795">
        <f>☆入力!W36</f>
        <v>0</v>
      </c>
      <c r="V28" s="795"/>
      <c r="W28" s="795"/>
      <c r="X28" s="795"/>
      <c r="Y28" s="796">
        <f>☆入力!Y36</f>
        <v>0</v>
      </c>
      <c r="Z28" s="796"/>
      <c r="AA28" s="796"/>
      <c r="AB28" s="796"/>
      <c r="AD28" s="62"/>
      <c r="AG28" s="1"/>
    </row>
    <row r="29" spans="1:53" s="3" customFormat="1" ht="21" customHeight="1">
      <c r="A29" s="786">
        <v>22</v>
      </c>
      <c r="B29" s="786"/>
      <c r="C29" s="787">
        <f>IF($C$6=☆入力!$B$15,☆入力!$B37,☆入力!$C37)</f>
        <v>0</v>
      </c>
      <c r="D29" s="788"/>
      <c r="E29" s="788"/>
      <c r="F29" s="789"/>
      <c r="G29" s="790">
        <f>☆入力!D37</f>
        <v>0</v>
      </c>
      <c r="H29" s="790"/>
      <c r="I29" s="790"/>
      <c r="J29" s="790"/>
      <c r="K29" s="790"/>
      <c r="L29" s="791">
        <f>☆入力!H37</f>
        <v>0</v>
      </c>
      <c r="M29" s="791"/>
      <c r="N29" s="791"/>
      <c r="O29" s="791"/>
      <c r="P29" s="792">
        <f>☆入力!L37</f>
        <v>0</v>
      </c>
      <c r="Q29" s="793"/>
      <c r="R29" s="794">
        <f>☆入力!K37</f>
        <v>0</v>
      </c>
      <c r="S29" s="794"/>
      <c r="T29" s="794"/>
      <c r="U29" s="795">
        <f>☆入力!W37</f>
        <v>0</v>
      </c>
      <c r="V29" s="795"/>
      <c r="W29" s="795"/>
      <c r="X29" s="795"/>
      <c r="Y29" s="796">
        <f>☆入力!Y37</f>
        <v>0</v>
      </c>
      <c r="Z29" s="796"/>
      <c r="AA29" s="796"/>
      <c r="AB29" s="796"/>
      <c r="AD29" s="62"/>
      <c r="AG29" s="1"/>
    </row>
    <row r="30" spans="1:53" s="3" customFormat="1" ht="21" customHeight="1">
      <c r="A30" s="786">
        <v>23</v>
      </c>
      <c r="B30" s="786"/>
      <c r="C30" s="787">
        <f>IF($C$6=☆入力!$B$15,☆入力!$B38,☆入力!$C38)</f>
        <v>0</v>
      </c>
      <c r="D30" s="788"/>
      <c r="E30" s="788"/>
      <c r="F30" s="789"/>
      <c r="G30" s="790">
        <f>☆入力!D38</f>
        <v>0</v>
      </c>
      <c r="H30" s="790"/>
      <c r="I30" s="790"/>
      <c r="J30" s="790"/>
      <c r="K30" s="790"/>
      <c r="L30" s="791">
        <f>☆入力!H38</f>
        <v>0</v>
      </c>
      <c r="M30" s="791"/>
      <c r="N30" s="791"/>
      <c r="O30" s="791"/>
      <c r="P30" s="792">
        <f>☆入力!L38</f>
        <v>0</v>
      </c>
      <c r="Q30" s="793"/>
      <c r="R30" s="794">
        <f>☆入力!K38</f>
        <v>0</v>
      </c>
      <c r="S30" s="794"/>
      <c r="T30" s="794"/>
      <c r="U30" s="795">
        <f>☆入力!W38</f>
        <v>0</v>
      </c>
      <c r="V30" s="795"/>
      <c r="W30" s="795"/>
      <c r="X30" s="795"/>
      <c r="Y30" s="796">
        <f>☆入力!Y38</f>
        <v>0</v>
      </c>
      <c r="Z30" s="796"/>
      <c r="AA30" s="796"/>
      <c r="AB30" s="796"/>
      <c r="AD30" s="62"/>
      <c r="AS30" s="55"/>
      <c r="AT30" s="55"/>
      <c r="AU30" s="55"/>
      <c r="AV30" s="55"/>
      <c r="AW30" s="55"/>
      <c r="AX30" s="55"/>
      <c r="AY30" s="55"/>
      <c r="AZ30" s="55"/>
      <c r="BA30" s="55"/>
    </row>
    <row r="31" spans="1:53" s="3" customFormat="1" ht="21" customHeight="1">
      <c r="A31" s="786">
        <v>24</v>
      </c>
      <c r="B31" s="786"/>
      <c r="C31" s="787">
        <f>IF($C$6=☆入力!$B$15,☆入力!$B39,☆入力!$C39)</f>
        <v>0</v>
      </c>
      <c r="D31" s="788"/>
      <c r="E31" s="788"/>
      <c r="F31" s="789"/>
      <c r="G31" s="790">
        <f>☆入力!D39</f>
        <v>0</v>
      </c>
      <c r="H31" s="790"/>
      <c r="I31" s="790"/>
      <c r="J31" s="790"/>
      <c r="K31" s="790"/>
      <c r="L31" s="791">
        <f>☆入力!H39</f>
        <v>0</v>
      </c>
      <c r="M31" s="791"/>
      <c r="N31" s="791"/>
      <c r="O31" s="791"/>
      <c r="P31" s="792">
        <f>☆入力!L39</f>
        <v>0</v>
      </c>
      <c r="Q31" s="793"/>
      <c r="R31" s="794">
        <f>☆入力!K39</f>
        <v>0</v>
      </c>
      <c r="S31" s="794"/>
      <c r="T31" s="794"/>
      <c r="U31" s="795">
        <f>☆入力!W39</f>
        <v>0</v>
      </c>
      <c r="V31" s="795"/>
      <c r="W31" s="795"/>
      <c r="X31" s="795"/>
      <c r="Y31" s="796">
        <f>☆入力!Y39</f>
        <v>0</v>
      </c>
      <c r="Z31" s="796"/>
      <c r="AA31" s="796"/>
      <c r="AB31" s="796"/>
      <c r="AD31" s="62"/>
      <c r="AS31" s="55"/>
      <c r="AT31" s="55"/>
      <c r="AU31" s="55"/>
      <c r="AV31" s="55"/>
      <c r="AW31" s="55"/>
      <c r="AX31" s="55"/>
      <c r="AY31" s="55"/>
      <c r="AZ31" s="55"/>
      <c r="BA31" s="55"/>
    </row>
    <row r="32" spans="1:53" s="3" customFormat="1" ht="21" customHeight="1">
      <c r="A32" s="786">
        <v>25</v>
      </c>
      <c r="B32" s="786"/>
      <c r="C32" s="787">
        <f>IF($C$6=☆入力!$B$15,☆入力!$B40,☆入力!$C40)</f>
        <v>0</v>
      </c>
      <c r="D32" s="788"/>
      <c r="E32" s="788"/>
      <c r="F32" s="789"/>
      <c r="G32" s="790">
        <f>☆入力!D40</f>
        <v>0</v>
      </c>
      <c r="H32" s="790"/>
      <c r="I32" s="790"/>
      <c r="J32" s="790"/>
      <c r="K32" s="790"/>
      <c r="L32" s="791">
        <f>☆入力!H40</f>
        <v>0</v>
      </c>
      <c r="M32" s="791"/>
      <c r="N32" s="791"/>
      <c r="O32" s="791"/>
      <c r="P32" s="792">
        <f>☆入力!L40</f>
        <v>0</v>
      </c>
      <c r="Q32" s="793"/>
      <c r="R32" s="794">
        <f>☆入力!K40</f>
        <v>0</v>
      </c>
      <c r="S32" s="794"/>
      <c r="T32" s="794"/>
      <c r="U32" s="795">
        <f>☆入力!W40</f>
        <v>0</v>
      </c>
      <c r="V32" s="795"/>
      <c r="W32" s="795"/>
      <c r="X32" s="795"/>
      <c r="Y32" s="796">
        <f>☆入力!Y40</f>
        <v>0</v>
      </c>
      <c r="Z32" s="796"/>
      <c r="AA32" s="796"/>
      <c r="AB32" s="796"/>
      <c r="AD32" s="62"/>
    </row>
    <row r="33" spans="1:56" s="3" customFormat="1" ht="21" customHeight="1" outlineLevel="1">
      <c r="A33" s="786">
        <v>26</v>
      </c>
      <c r="B33" s="786"/>
      <c r="C33" s="787">
        <f>IF($C$6=☆入力!$B$15,☆入力!$B41,☆入力!$C41)</f>
        <v>0</v>
      </c>
      <c r="D33" s="788"/>
      <c r="E33" s="788"/>
      <c r="F33" s="789"/>
      <c r="G33" s="790">
        <f>☆入力!D41</f>
        <v>0</v>
      </c>
      <c r="H33" s="790"/>
      <c r="I33" s="790"/>
      <c r="J33" s="790"/>
      <c r="K33" s="790"/>
      <c r="L33" s="791">
        <f>☆入力!H41</f>
        <v>0</v>
      </c>
      <c r="M33" s="791"/>
      <c r="N33" s="791"/>
      <c r="O33" s="791"/>
      <c r="P33" s="792">
        <f>☆入力!L41</f>
        <v>0</v>
      </c>
      <c r="Q33" s="793"/>
      <c r="R33" s="794">
        <f>☆入力!K41</f>
        <v>0</v>
      </c>
      <c r="S33" s="794"/>
      <c r="T33" s="794"/>
      <c r="U33" s="795">
        <f>☆入力!W41</f>
        <v>0</v>
      </c>
      <c r="V33" s="795"/>
      <c r="W33" s="795"/>
      <c r="X33" s="795"/>
      <c r="Y33" s="796">
        <f>☆入力!Y41</f>
        <v>0</v>
      </c>
      <c r="Z33" s="796"/>
      <c r="AA33" s="796"/>
      <c r="AB33" s="796"/>
      <c r="AD33" s="62"/>
    </row>
    <row r="34" spans="1:56" s="3" customFormat="1" ht="21" customHeight="1" outlineLevel="1">
      <c r="A34" s="786">
        <v>27</v>
      </c>
      <c r="B34" s="786"/>
      <c r="C34" s="787">
        <f>IF($C$6=☆入力!$B$15,☆入力!$B42,☆入力!$C42)</f>
        <v>0</v>
      </c>
      <c r="D34" s="788"/>
      <c r="E34" s="788"/>
      <c r="F34" s="789"/>
      <c r="G34" s="790">
        <f>☆入力!D42</f>
        <v>0</v>
      </c>
      <c r="H34" s="790"/>
      <c r="I34" s="790"/>
      <c r="J34" s="790"/>
      <c r="K34" s="790"/>
      <c r="L34" s="791">
        <f>☆入力!H42</f>
        <v>0</v>
      </c>
      <c r="M34" s="791"/>
      <c r="N34" s="791"/>
      <c r="O34" s="791"/>
      <c r="P34" s="792">
        <f>☆入力!L42</f>
        <v>0</v>
      </c>
      <c r="Q34" s="793"/>
      <c r="R34" s="794">
        <f>☆入力!K42</f>
        <v>0</v>
      </c>
      <c r="S34" s="794"/>
      <c r="T34" s="794"/>
      <c r="U34" s="795">
        <f>☆入力!W42</f>
        <v>0</v>
      </c>
      <c r="V34" s="795"/>
      <c r="W34" s="795"/>
      <c r="X34" s="795"/>
      <c r="Y34" s="796">
        <f>☆入力!Y42</f>
        <v>0</v>
      </c>
      <c r="Z34" s="796"/>
      <c r="AA34" s="796"/>
      <c r="AB34" s="796"/>
      <c r="AD34" s="62"/>
    </row>
    <row r="35" spans="1:56" s="3" customFormat="1" ht="21" customHeight="1" outlineLevel="1">
      <c r="A35" s="786">
        <v>28</v>
      </c>
      <c r="B35" s="786"/>
      <c r="C35" s="787">
        <f>IF($C$6=☆入力!$B$15,☆入力!$B43,☆入力!$C43)</f>
        <v>0</v>
      </c>
      <c r="D35" s="788"/>
      <c r="E35" s="788"/>
      <c r="F35" s="789"/>
      <c r="G35" s="790">
        <f>☆入力!D43</f>
        <v>0</v>
      </c>
      <c r="H35" s="790"/>
      <c r="I35" s="790"/>
      <c r="J35" s="790"/>
      <c r="K35" s="790"/>
      <c r="L35" s="791">
        <f>☆入力!H43</f>
        <v>0</v>
      </c>
      <c r="M35" s="791"/>
      <c r="N35" s="791"/>
      <c r="O35" s="791"/>
      <c r="P35" s="792">
        <f>☆入力!L43</f>
        <v>0</v>
      </c>
      <c r="Q35" s="793"/>
      <c r="R35" s="794">
        <f>☆入力!K43</f>
        <v>0</v>
      </c>
      <c r="S35" s="794"/>
      <c r="T35" s="794"/>
      <c r="U35" s="795">
        <f>☆入力!W43</f>
        <v>0</v>
      </c>
      <c r="V35" s="795"/>
      <c r="W35" s="795"/>
      <c r="X35" s="795"/>
      <c r="Y35" s="796">
        <f>☆入力!Y43</f>
        <v>0</v>
      </c>
      <c r="Z35" s="796"/>
      <c r="AA35" s="796"/>
      <c r="AB35" s="796"/>
      <c r="AD35" s="62"/>
    </row>
    <row r="36" spans="1:56" s="3" customFormat="1" ht="21" customHeight="1" outlineLevel="1">
      <c r="A36" s="786">
        <v>29</v>
      </c>
      <c r="B36" s="786"/>
      <c r="C36" s="787">
        <f>IF($C$6=☆入力!$B$15,☆入力!$B44,☆入力!$C44)</f>
        <v>0</v>
      </c>
      <c r="D36" s="788"/>
      <c r="E36" s="788"/>
      <c r="F36" s="789"/>
      <c r="G36" s="790">
        <f>☆入力!D44</f>
        <v>0</v>
      </c>
      <c r="H36" s="790"/>
      <c r="I36" s="790"/>
      <c r="J36" s="790"/>
      <c r="K36" s="790"/>
      <c r="L36" s="791">
        <f>☆入力!H44</f>
        <v>0</v>
      </c>
      <c r="M36" s="791"/>
      <c r="N36" s="791"/>
      <c r="O36" s="791"/>
      <c r="P36" s="792">
        <f>☆入力!L44</f>
        <v>0</v>
      </c>
      <c r="Q36" s="793"/>
      <c r="R36" s="794">
        <f>☆入力!K44</f>
        <v>0</v>
      </c>
      <c r="S36" s="794"/>
      <c r="T36" s="794"/>
      <c r="U36" s="795">
        <f>☆入力!W44</f>
        <v>0</v>
      </c>
      <c r="V36" s="795"/>
      <c r="W36" s="795"/>
      <c r="X36" s="795"/>
      <c r="Y36" s="796">
        <f>☆入力!Y44</f>
        <v>0</v>
      </c>
      <c r="Z36" s="796"/>
      <c r="AA36" s="796"/>
      <c r="AB36" s="796"/>
      <c r="AD36" s="62"/>
    </row>
    <row r="37" spans="1:56" s="3" customFormat="1" ht="21" customHeight="1" outlineLevel="1">
      <c r="A37" s="775">
        <v>30</v>
      </c>
      <c r="B37" s="775"/>
      <c r="C37" s="776">
        <f>IF($C$6=☆入力!$B$15,☆入力!$B45,☆入力!$C45)</f>
        <v>0</v>
      </c>
      <c r="D37" s="777"/>
      <c r="E37" s="777"/>
      <c r="F37" s="778"/>
      <c r="G37" s="779">
        <f>☆入力!D45</f>
        <v>0</v>
      </c>
      <c r="H37" s="779"/>
      <c r="I37" s="779"/>
      <c r="J37" s="779"/>
      <c r="K37" s="779"/>
      <c r="L37" s="780">
        <f>☆入力!H45</f>
        <v>0</v>
      </c>
      <c r="M37" s="780"/>
      <c r="N37" s="780"/>
      <c r="O37" s="780"/>
      <c r="P37" s="781">
        <f>☆入力!L45</f>
        <v>0</v>
      </c>
      <c r="Q37" s="782"/>
      <c r="R37" s="783">
        <f>☆入力!K45</f>
        <v>0</v>
      </c>
      <c r="S37" s="783"/>
      <c r="T37" s="783"/>
      <c r="U37" s="784">
        <f>☆入力!W45</f>
        <v>0</v>
      </c>
      <c r="V37" s="784"/>
      <c r="W37" s="784"/>
      <c r="X37" s="784"/>
      <c r="Y37" s="785">
        <f>☆入力!Y45</f>
        <v>0</v>
      </c>
      <c r="Z37" s="785"/>
      <c r="AA37" s="785"/>
      <c r="AB37" s="785"/>
      <c r="AD37" s="62"/>
    </row>
    <row r="38" spans="1:56" s="13" customFormat="1" ht="21" customHeight="1">
      <c r="C38" s="483"/>
      <c r="D38" s="483"/>
      <c r="E38" s="483"/>
      <c r="F38" s="483"/>
      <c r="G38" s="483"/>
      <c r="H38" s="483"/>
      <c r="I38" s="483"/>
      <c r="J38" s="483"/>
      <c r="K38" s="74" t="s">
        <v>286</v>
      </c>
      <c r="L38" s="483"/>
      <c r="M38" s="483"/>
      <c r="N38" s="483"/>
      <c r="O38" s="483"/>
      <c r="P38" s="483"/>
      <c r="Q38" s="483"/>
      <c r="R38" s="483"/>
      <c r="S38" s="483"/>
      <c r="T38" s="483"/>
      <c r="U38" s="483"/>
      <c r="V38" s="483"/>
      <c r="W38" s="483"/>
      <c r="X38" s="483"/>
      <c r="AD38" s="64"/>
    </row>
    <row r="39" spans="1:56" s="13" customFormat="1" ht="21" customHeight="1">
      <c r="C39" s="483"/>
      <c r="D39" s="483"/>
      <c r="E39" s="483"/>
      <c r="F39" s="483"/>
      <c r="G39" s="483"/>
      <c r="H39" s="483"/>
      <c r="I39" s="483"/>
      <c r="J39" s="483"/>
      <c r="K39" s="811" t="s">
        <v>19</v>
      </c>
      <c r="L39" s="811"/>
      <c r="M39" s="811"/>
      <c r="N39" s="811"/>
      <c r="O39" s="811"/>
      <c r="P39" s="813">
        <f>SUM(P8:Q37)</f>
        <v>0</v>
      </c>
      <c r="Q39" s="813"/>
      <c r="R39" s="815" t="s">
        <v>287</v>
      </c>
      <c r="S39" s="815"/>
      <c r="T39" s="815"/>
      <c r="U39" s="817">
        <f>SUM(U8:X37)</f>
        <v>0</v>
      </c>
      <c r="V39" s="817"/>
      <c r="W39" s="817"/>
      <c r="X39" s="817"/>
      <c r="Y39" s="819">
        <f>SUM(Y8:AB37)</f>
        <v>0</v>
      </c>
      <c r="Z39" s="819"/>
      <c r="AA39" s="819"/>
      <c r="AB39" s="819"/>
      <c r="AD39" s="64"/>
      <c r="AF39" s="804" t="s">
        <v>288</v>
      </c>
      <c r="AG39" s="804"/>
      <c r="AH39" s="804"/>
      <c r="AI39" s="804"/>
      <c r="AJ39" s="804"/>
      <c r="AK39" s="804"/>
      <c r="AL39" s="804"/>
      <c r="AM39" s="804"/>
      <c r="AN39" s="804"/>
      <c r="AO39" s="804"/>
      <c r="AP39" s="804"/>
      <c r="AQ39" s="804"/>
      <c r="AR39" s="804"/>
      <c r="AS39" s="804"/>
      <c r="AT39" s="804"/>
      <c r="AU39" s="804"/>
      <c r="AV39" s="804"/>
      <c r="AW39" s="804"/>
      <c r="AX39" s="804"/>
      <c r="AY39" s="804"/>
      <c r="AZ39" s="804"/>
      <c r="BA39" s="804"/>
    </row>
    <row r="40" spans="1:56" s="13" customFormat="1" ht="21" customHeight="1" thickBot="1">
      <c r="C40" s="14"/>
      <c r="D40" s="14"/>
      <c r="E40" s="14"/>
      <c r="F40" s="14"/>
      <c r="G40" s="14"/>
      <c r="H40" s="14"/>
      <c r="I40" s="14"/>
      <c r="J40" s="14"/>
      <c r="K40" s="812"/>
      <c r="L40" s="812"/>
      <c r="M40" s="812"/>
      <c r="N40" s="812"/>
      <c r="O40" s="812"/>
      <c r="P40" s="814"/>
      <c r="Q40" s="814"/>
      <c r="R40" s="816"/>
      <c r="S40" s="816"/>
      <c r="T40" s="816"/>
      <c r="U40" s="818"/>
      <c r="V40" s="818"/>
      <c r="W40" s="818"/>
      <c r="X40" s="818"/>
      <c r="Y40" s="820"/>
      <c r="Z40" s="820"/>
      <c r="AA40" s="820"/>
      <c r="AB40" s="820"/>
      <c r="AD40" s="64"/>
      <c r="AF40" s="804"/>
      <c r="AG40" s="804"/>
      <c r="AH40" s="804"/>
      <c r="AI40" s="804"/>
      <c r="AJ40" s="804"/>
      <c r="AK40" s="804"/>
      <c r="AL40" s="804"/>
      <c r="AM40" s="804"/>
      <c r="AN40" s="804"/>
      <c r="AO40" s="804"/>
      <c r="AP40" s="804"/>
      <c r="AQ40" s="804"/>
      <c r="AR40" s="804"/>
      <c r="AS40" s="804"/>
      <c r="AT40" s="804"/>
      <c r="AU40" s="804"/>
      <c r="AV40" s="804"/>
      <c r="AW40" s="804"/>
      <c r="AX40" s="804"/>
      <c r="AY40" s="804"/>
      <c r="AZ40" s="804"/>
      <c r="BA40" s="804"/>
    </row>
    <row r="41" spans="1:56" s="13" customFormat="1" ht="21" customHeight="1" thickTop="1">
      <c r="C41" s="14"/>
      <c r="D41" s="14"/>
      <c r="E41" s="14"/>
      <c r="F41" s="14"/>
      <c r="G41" s="14"/>
      <c r="H41" s="14"/>
      <c r="I41" s="14"/>
      <c r="J41" s="14"/>
      <c r="L41" s="483"/>
      <c r="M41" s="483"/>
      <c r="N41" s="483"/>
      <c r="O41" s="483"/>
      <c r="P41" s="483"/>
      <c r="Q41" s="483"/>
      <c r="R41" s="483"/>
      <c r="S41" s="483"/>
      <c r="T41" s="483"/>
      <c r="U41" s="483"/>
      <c r="V41" s="483"/>
      <c r="W41" s="483"/>
      <c r="X41" s="483"/>
      <c r="Y41" s="483"/>
      <c r="Z41" s="483"/>
      <c r="AA41" s="483"/>
      <c r="AB41" s="483"/>
      <c r="AC41" s="483"/>
      <c r="AD41" s="64"/>
      <c r="AS41" s="805">
        <f>AS7+AS19+AS24</f>
        <v>0</v>
      </c>
      <c r="AT41" s="806"/>
      <c r="AU41" s="806"/>
      <c r="AV41" s="806"/>
      <c r="AW41" s="806"/>
      <c r="AX41" s="806"/>
      <c r="AY41" s="806"/>
      <c r="AZ41" s="806"/>
      <c r="BA41" s="807"/>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08"/>
      <c r="AT42" s="809"/>
      <c r="AU42" s="809"/>
      <c r="AV42" s="809"/>
      <c r="AW42" s="809"/>
      <c r="AX42" s="809"/>
      <c r="AY42" s="809"/>
      <c r="AZ42" s="809"/>
      <c r="BA42" s="810"/>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14">
        <v>3</v>
      </c>
    </row>
  </sheetData>
  <mergeCells count="266">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zoomScale="40" zoomScaleNormal="80" zoomScaleSheetLayoutView="40" workbookViewId="0">
      <selection activeCell="BI26" sqref="BI26"/>
    </sheetView>
  </sheetViews>
  <sheetFormatPr defaultColWidth="3.5" defaultRowHeight="21" customHeight="1" outlineLevelRow="1"/>
  <cols>
    <col min="1" max="2" width="3.5" style="1"/>
    <col min="3" max="13" width="3.5" style="2"/>
    <col min="14" max="16384" width="3.5" style="1"/>
  </cols>
  <sheetData>
    <row r="1" spans="1:80" ht="38.25">
      <c r="A1" s="803" t="s">
        <v>289</v>
      </c>
      <c r="B1" s="803"/>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03"/>
      <c r="AN1" s="803"/>
      <c r="AO1" s="803"/>
      <c r="AP1" s="803"/>
      <c r="AQ1" s="803"/>
      <c r="AR1" s="803"/>
      <c r="AS1" s="803"/>
      <c r="AT1" s="803"/>
      <c r="AU1" s="803"/>
      <c r="AV1" s="803"/>
      <c r="AW1" s="803"/>
      <c r="AX1" s="803"/>
      <c r="AY1" s="803"/>
      <c r="AZ1" s="803"/>
      <c r="BA1" s="803"/>
      <c r="BB1" s="803"/>
      <c r="BC1" s="803"/>
      <c r="BD1" s="803"/>
      <c r="BE1" s="54"/>
    </row>
    <row r="2" spans="1:80" ht="21" customHeight="1" thickBot="1">
      <c r="A2" s="471"/>
      <c r="B2" s="471"/>
      <c r="C2" s="471"/>
      <c r="D2" s="471"/>
      <c r="E2" s="471"/>
      <c r="F2" s="471"/>
      <c r="G2" s="471"/>
      <c r="H2" s="471"/>
      <c r="I2" s="471"/>
      <c r="J2" s="471"/>
      <c r="K2" s="471"/>
      <c r="L2" s="471"/>
      <c r="M2" s="471"/>
      <c r="N2" s="471"/>
      <c r="O2" s="471"/>
      <c r="P2" s="471"/>
      <c r="Q2" s="471"/>
      <c r="R2" s="471"/>
      <c r="S2" s="471"/>
      <c r="T2" s="471"/>
      <c r="U2" s="471"/>
      <c r="V2" s="471"/>
      <c r="W2" s="471"/>
      <c r="X2" s="471"/>
      <c r="Y2" s="471"/>
      <c r="Z2" s="471"/>
      <c r="AA2" s="471"/>
      <c r="AB2" s="471"/>
      <c r="AC2" s="471"/>
      <c r="AD2" s="471"/>
      <c r="AE2" s="471"/>
      <c r="AF2" s="471"/>
      <c r="AG2" s="471"/>
      <c r="AH2" s="471"/>
      <c r="AI2" s="471"/>
      <c r="AJ2" s="471"/>
      <c r="AK2" s="471"/>
      <c r="AL2" s="471"/>
      <c r="AM2" s="471"/>
      <c r="AN2" s="471"/>
      <c r="AO2" s="471"/>
      <c r="AP2" s="471"/>
      <c r="AQ2" s="471"/>
      <c r="AR2" s="471"/>
      <c r="AS2" s="471"/>
      <c r="AT2" s="471"/>
      <c r="AU2" s="471"/>
      <c r="AV2" s="471"/>
      <c r="AW2" s="471"/>
      <c r="AX2" s="471"/>
      <c r="AY2" s="471"/>
      <c r="AZ2" s="471"/>
      <c r="BA2" s="471"/>
      <c r="BB2" s="471"/>
      <c r="BC2" s="471"/>
      <c r="BD2" s="471"/>
      <c r="BE2" s="54"/>
    </row>
    <row r="3" spans="1:80" s="3" customFormat="1" ht="23.1" customHeight="1" thickTop="1">
      <c r="A3" s="59"/>
      <c r="B3" s="59"/>
      <c r="C3" s="59"/>
      <c r="D3" s="59"/>
      <c r="E3" s="59"/>
      <c r="F3" s="59"/>
      <c r="G3" s="59"/>
      <c r="H3" s="59"/>
      <c r="I3" s="59"/>
      <c r="J3" s="59"/>
      <c r="K3" s="59"/>
      <c r="L3" s="59"/>
      <c r="M3" s="59"/>
      <c r="N3" s="59"/>
      <c r="O3" s="59"/>
      <c r="P3" s="59"/>
      <c r="Q3" s="59"/>
      <c r="R3" s="871" t="s">
        <v>290</v>
      </c>
      <c r="S3" s="872"/>
      <c r="T3" s="872"/>
      <c r="U3" s="872"/>
      <c r="V3" s="872"/>
      <c r="W3" s="872"/>
      <c r="X3" s="872"/>
      <c r="Y3" s="872"/>
      <c r="Z3" s="872"/>
      <c r="AA3" s="872"/>
      <c r="AB3" s="873"/>
      <c r="AC3" s="59"/>
      <c r="AD3" s="59"/>
      <c r="AE3" s="59"/>
      <c r="AF3" s="877" t="s">
        <v>291</v>
      </c>
      <c r="AG3" s="878"/>
      <c r="AH3" s="878"/>
      <c r="AI3" s="878"/>
      <c r="AJ3" s="878"/>
      <c r="AK3" s="878"/>
      <c r="AL3" s="878"/>
      <c r="AM3" s="878"/>
      <c r="AN3" s="878"/>
      <c r="AO3" s="878"/>
      <c r="AP3" s="878"/>
      <c r="AQ3" s="878"/>
      <c r="AR3" s="878"/>
      <c r="AS3" s="878"/>
      <c r="AT3" s="878"/>
      <c r="AU3" s="878"/>
      <c r="AV3" s="878"/>
      <c r="AW3" s="878"/>
      <c r="AX3" s="878"/>
      <c r="AY3" s="878"/>
      <c r="AZ3" s="878"/>
      <c r="BA3" s="879"/>
      <c r="BB3" s="59"/>
      <c r="BC3" s="59"/>
      <c r="BD3" s="59"/>
    </row>
    <row r="4" spans="1:80" s="12" customFormat="1" ht="21" customHeight="1" thickBot="1">
      <c r="B4" s="11"/>
      <c r="C4" s="11"/>
      <c r="D4" s="11"/>
      <c r="E4" s="11"/>
      <c r="F4" s="11"/>
      <c r="G4" s="11"/>
      <c r="H4" s="11"/>
      <c r="I4" s="11"/>
      <c r="J4" s="11"/>
      <c r="K4" s="11"/>
      <c r="L4" s="11"/>
      <c r="M4" s="11"/>
      <c r="N4" s="11"/>
      <c r="O4" s="11"/>
      <c r="P4" s="11"/>
      <c r="Q4" s="11"/>
      <c r="R4" s="874"/>
      <c r="S4" s="875"/>
      <c r="T4" s="875"/>
      <c r="U4" s="875"/>
      <c r="V4" s="875"/>
      <c r="W4" s="875"/>
      <c r="X4" s="875"/>
      <c r="Y4" s="875"/>
      <c r="Z4" s="875"/>
      <c r="AA4" s="875"/>
      <c r="AB4" s="876"/>
      <c r="AD4" s="65"/>
      <c r="AF4" s="880"/>
      <c r="AG4" s="881"/>
      <c r="AH4" s="881"/>
      <c r="AI4" s="881"/>
      <c r="AJ4" s="881"/>
      <c r="AK4" s="881"/>
      <c r="AL4" s="881"/>
      <c r="AM4" s="881"/>
      <c r="AN4" s="881"/>
      <c r="AO4" s="881"/>
      <c r="AP4" s="881"/>
      <c r="AQ4" s="881"/>
      <c r="AR4" s="881"/>
      <c r="AS4" s="881"/>
      <c r="AT4" s="881"/>
      <c r="AU4" s="881"/>
      <c r="AV4" s="881"/>
      <c r="AW4" s="881"/>
      <c r="AX4" s="881"/>
      <c r="AY4" s="881"/>
      <c r="AZ4" s="881"/>
      <c r="BA4" s="882"/>
    </row>
    <row r="5" spans="1:80"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Bot="1">
      <c r="A6" s="829" t="s">
        <v>267</v>
      </c>
      <c r="B6" s="833"/>
      <c r="C6" s="834" t="str">
        <f>LED計算式!M32</f>
        <v>試算エリア</v>
      </c>
      <c r="D6" s="835"/>
      <c r="E6" s="835"/>
      <c r="F6" s="836"/>
      <c r="G6" s="797" t="s">
        <v>268</v>
      </c>
      <c r="H6" s="797"/>
      <c r="I6" s="797"/>
      <c r="J6" s="797"/>
      <c r="K6" s="797"/>
      <c r="L6" s="799" t="s">
        <v>269</v>
      </c>
      <c r="M6" s="799"/>
      <c r="N6" s="799"/>
      <c r="O6" s="799"/>
      <c r="P6" s="828" t="s">
        <v>161</v>
      </c>
      <c r="Q6" s="828"/>
      <c r="R6" s="830" t="s">
        <v>82</v>
      </c>
      <c r="S6" s="830"/>
      <c r="T6" s="830"/>
      <c r="U6" s="831" t="s">
        <v>270</v>
      </c>
      <c r="V6" s="831"/>
      <c r="W6" s="831"/>
      <c r="X6" s="831"/>
      <c r="Y6" s="832" t="s">
        <v>271</v>
      </c>
      <c r="Z6" s="832"/>
      <c r="AA6" s="832"/>
      <c r="AB6" s="832"/>
      <c r="AD6" s="63"/>
    </row>
    <row r="7" spans="1:80"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04" t="s">
        <v>272</v>
      </c>
      <c r="AG7" s="804"/>
      <c r="AH7" s="804"/>
      <c r="AI7" s="804"/>
      <c r="AJ7" s="804"/>
      <c r="AK7" s="804"/>
      <c r="AL7" s="804"/>
      <c r="AM7" s="804"/>
      <c r="AN7" s="804"/>
      <c r="AO7" s="804"/>
      <c r="AP7" s="804"/>
      <c r="AQ7" s="804"/>
      <c r="AR7" s="804"/>
      <c r="AS7" s="857">
        <f>Y39*120</f>
        <v>0</v>
      </c>
      <c r="AT7" s="858"/>
      <c r="AU7" s="858"/>
      <c r="AV7" s="858"/>
      <c r="AW7" s="858"/>
      <c r="AX7" s="858"/>
      <c r="AY7" s="858"/>
      <c r="AZ7" s="858"/>
      <c r="BA7" s="859"/>
    </row>
    <row r="8" spans="1:80" s="3" customFormat="1" ht="21" customHeight="1" thickBot="1">
      <c r="A8" s="837">
        <v>1</v>
      </c>
      <c r="B8" s="837"/>
      <c r="C8" s="798">
        <f>IF($C$6=☆入力!$B$15,☆入力!$B16,☆入力!$C16)</f>
        <v>0</v>
      </c>
      <c r="D8" s="798"/>
      <c r="E8" s="798"/>
      <c r="F8" s="798"/>
      <c r="G8" s="798">
        <f>☆入力!D16</f>
        <v>0</v>
      </c>
      <c r="H8" s="798"/>
      <c r="I8" s="798"/>
      <c r="J8" s="798"/>
      <c r="K8" s="798"/>
      <c r="L8" s="802">
        <f>☆入力!H16</f>
        <v>0</v>
      </c>
      <c r="M8" s="802"/>
      <c r="N8" s="802"/>
      <c r="O8" s="802"/>
      <c r="P8" s="851">
        <f>☆入力!L16</f>
        <v>0</v>
      </c>
      <c r="Q8" s="851"/>
      <c r="R8" s="853">
        <f>☆入力!AA16</f>
        <v>0</v>
      </c>
      <c r="S8" s="853"/>
      <c r="T8" s="853"/>
      <c r="U8" s="854">
        <f>☆入力!AB16</f>
        <v>0</v>
      </c>
      <c r="V8" s="854"/>
      <c r="W8" s="854"/>
      <c r="X8" s="854"/>
      <c r="Y8" s="855">
        <f>☆入力!AC16</f>
        <v>0</v>
      </c>
      <c r="Z8" s="855"/>
      <c r="AA8" s="855"/>
      <c r="AB8" s="855"/>
      <c r="AD8" s="62"/>
      <c r="AF8" s="804"/>
      <c r="AG8" s="804"/>
      <c r="AH8" s="804"/>
      <c r="AI8" s="804"/>
      <c r="AJ8" s="804"/>
      <c r="AK8" s="804"/>
      <c r="AL8" s="804"/>
      <c r="AM8" s="804"/>
      <c r="AN8" s="804"/>
      <c r="AO8" s="804"/>
      <c r="AP8" s="804"/>
      <c r="AQ8" s="804"/>
      <c r="AR8" s="804"/>
      <c r="AS8" s="860"/>
      <c r="AT8" s="861"/>
      <c r="AU8" s="861"/>
      <c r="AV8" s="861"/>
      <c r="AW8" s="861"/>
      <c r="AX8" s="861"/>
      <c r="AY8" s="861"/>
      <c r="AZ8" s="861"/>
      <c r="BA8" s="862"/>
    </row>
    <row r="9" spans="1:80" s="3" customFormat="1" ht="21" customHeight="1" thickTop="1">
      <c r="A9" s="786">
        <v>2</v>
      </c>
      <c r="B9" s="786"/>
      <c r="C9" s="787">
        <f>IF($C$6=☆入力!$B$15,☆入力!$B17,☆入力!$C17)</f>
        <v>0</v>
      </c>
      <c r="D9" s="788"/>
      <c r="E9" s="788"/>
      <c r="F9" s="789"/>
      <c r="G9" s="790">
        <f>☆入力!D17</f>
        <v>0</v>
      </c>
      <c r="H9" s="790"/>
      <c r="I9" s="790"/>
      <c r="J9" s="790"/>
      <c r="K9" s="790"/>
      <c r="L9" s="791">
        <f>☆入力!H17</f>
        <v>0</v>
      </c>
      <c r="M9" s="791"/>
      <c r="N9" s="791"/>
      <c r="O9" s="791"/>
      <c r="P9" s="792">
        <f>☆入力!L17</f>
        <v>0</v>
      </c>
      <c r="Q9" s="792"/>
      <c r="R9" s="794">
        <f>☆入力!AA17</f>
        <v>0</v>
      </c>
      <c r="S9" s="794"/>
      <c r="T9" s="794"/>
      <c r="U9" s="795">
        <f>☆入力!AB17</f>
        <v>0</v>
      </c>
      <c r="V9" s="795"/>
      <c r="W9" s="795"/>
      <c r="X9" s="795"/>
      <c r="Y9" s="796">
        <f>☆入力!AC17</f>
        <v>0</v>
      </c>
      <c r="Z9" s="796"/>
      <c r="AA9" s="796"/>
      <c r="AB9" s="796"/>
      <c r="AD9" s="62"/>
    </row>
    <row r="10" spans="1:80" s="3" customFormat="1" ht="21" customHeight="1">
      <c r="A10" s="786">
        <v>3</v>
      </c>
      <c r="B10" s="786"/>
      <c r="C10" s="787">
        <f>IF($C$6=☆入力!$B$15,☆入力!$B18,☆入力!$C18)</f>
        <v>0</v>
      </c>
      <c r="D10" s="788"/>
      <c r="E10" s="788"/>
      <c r="F10" s="789"/>
      <c r="G10" s="790">
        <f>☆入力!D18</f>
        <v>0</v>
      </c>
      <c r="H10" s="790"/>
      <c r="I10" s="790"/>
      <c r="J10" s="790"/>
      <c r="K10" s="790"/>
      <c r="L10" s="791">
        <f>☆入力!H18</f>
        <v>0</v>
      </c>
      <c r="M10" s="791"/>
      <c r="N10" s="791"/>
      <c r="O10" s="791"/>
      <c r="P10" s="792">
        <f>☆入力!L18</f>
        <v>0</v>
      </c>
      <c r="Q10" s="792"/>
      <c r="R10" s="794">
        <f>☆入力!AA18</f>
        <v>0</v>
      </c>
      <c r="S10" s="794"/>
      <c r="T10" s="794"/>
      <c r="U10" s="795">
        <f>☆入力!AB18</f>
        <v>0</v>
      </c>
      <c r="V10" s="795"/>
      <c r="W10" s="795"/>
      <c r="X10" s="795"/>
      <c r="Y10" s="796">
        <f>☆入力!AC18</f>
        <v>0</v>
      </c>
      <c r="Z10" s="796"/>
      <c r="AA10" s="796"/>
      <c r="AB10" s="796"/>
      <c r="AD10" s="62"/>
      <c r="AG10" s="66" t="s">
        <v>273</v>
      </c>
      <c r="AH10" s="66"/>
      <c r="AI10" s="66"/>
      <c r="AJ10" s="66"/>
      <c r="AK10" s="66"/>
      <c r="AL10" s="66"/>
      <c r="AM10" s="66"/>
      <c r="AO10" s="800">
        <f>Y39</f>
        <v>0</v>
      </c>
      <c r="AP10" s="800"/>
      <c r="AQ10" s="800"/>
      <c r="AR10" s="800"/>
      <c r="AS10" s="66" t="s">
        <v>274</v>
      </c>
      <c r="AT10" s="66"/>
      <c r="AU10" s="66"/>
      <c r="AV10" s="66"/>
      <c r="AW10" s="66"/>
      <c r="AX10" s="66"/>
      <c r="AY10" s="66"/>
      <c r="AZ10" s="66"/>
      <c r="BA10" s="66"/>
      <c r="BF10" s="856" t="s">
        <v>292</v>
      </c>
      <c r="BG10" s="856"/>
      <c r="BH10" s="856"/>
      <c r="BI10" s="856"/>
      <c r="BJ10" s="856"/>
      <c r="BK10" s="856"/>
      <c r="BL10" s="856"/>
      <c r="BM10" s="856"/>
      <c r="BN10" s="856"/>
      <c r="BO10" s="856"/>
      <c r="BP10" s="856"/>
      <c r="BQ10" s="856"/>
      <c r="BR10" s="856"/>
      <c r="BS10" s="856"/>
      <c r="BT10" s="856"/>
      <c r="BU10" s="856"/>
      <c r="BV10" s="856"/>
      <c r="BW10" s="856"/>
      <c r="BX10" s="856"/>
      <c r="BY10" s="856"/>
      <c r="BZ10" s="856"/>
      <c r="CA10" s="856"/>
      <c r="CB10" s="856"/>
    </row>
    <row r="11" spans="1:80" s="3" customFormat="1" ht="21" customHeight="1">
      <c r="A11" s="786">
        <v>4</v>
      </c>
      <c r="B11" s="786"/>
      <c r="C11" s="787">
        <f>IF($C$6=☆入力!$B$15,☆入力!$B19,☆入力!$C19)</f>
        <v>0</v>
      </c>
      <c r="D11" s="788"/>
      <c r="E11" s="788"/>
      <c r="F11" s="789"/>
      <c r="G11" s="790">
        <f>☆入力!D19</f>
        <v>0</v>
      </c>
      <c r="H11" s="790"/>
      <c r="I11" s="790"/>
      <c r="J11" s="790"/>
      <c r="K11" s="790"/>
      <c r="L11" s="791">
        <f>☆入力!H19</f>
        <v>0</v>
      </c>
      <c r="M11" s="791"/>
      <c r="N11" s="791"/>
      <c r="O11" s="791"/>
      <c r="P11" s="792">
        <f>☆入力!L19</f>
        <v>0</v>
      </c>
      <c r="Q11" s="792"/>
      <c r="R11" s="794">
        <f>☆入力!AA19</f>
        <v>0</v>
      </c>
      <c r="S11" s="794"/>
      <c r="T11" s="794"/>
      <c r="U11" s="795">
        <f>☆入力!AB19</f>
        <v>0</v>
      </c>
      <c r="V11" s="795"/>
      <c r="W11" s="795"/>
      <c r="X11" s="795"/>
      <c r="Y11" s="796">
        <f>☆入力!AC19</f>
        <v>0</v>
      </c>
      <c r="Z11" s="796"/>
      <c r="AA11" s="796"/>
      <c r="AB11" s="796"/>
      <c r="AD11" s="62"/>
      <c r="BF11" s="856"/>
      <c r="BG11" s="856"/>
      <c r="BH11" s="856"/>
      <c r="BI11" s="856"/>
      <c r="BJ11" s="856"/>
      <c r="BK11" s="856"/>
      <c r="BL11" s="856"/>
      <c r="BM11" s="856"/>
      <c r="BN11" s="856"/>
      <c r="BO11" s="856"/>
      <c r="BP11" s="856"/>
      <c r="BQ11" s="856"/>
      <c r="BR11" s="856"/>
      <c r="BS11" s="856"/>
      <c r="BT11" s="856"/>
      <c r="BU11" s="856"/>
      <c r="BV11" s="856"/>
      <c r="BW11" s="856"/>
      <c r="BX11" s="856"/>
      <c r="BY11" s="856"/>
      <c r="BZ11" s="856"/>
      <c r="CA11" s="856"/>
      <c r="CB11" s="856"/>
    </row>
    <row r="12" spans="1:80" s="3" customFormat="1" ht="21" customHeight="1">
      <c r="A12" s="786">
        <v>5</v>
      </c>
      <c r="B12" s="786"/>
      <c r="C12" s="787">
        <f>IF($C$6=☆入力!$B$15,☆入力!$B20,☆入力!$C20)</f>
        <v>0</v>
      </c>
      <c r="D12" s="788"/>
      <c r="E12" s="788"/>
      <c r="F12" s="789"/>
      <c r="G12" s="790">
        <f>☆入力!D20</f>
        <v>0</v>
      </c>
      <c r="H12" s="790"/>
      <c r="I12" s="790"/>
      <c r="J12" s="790"/>
      <c r="K12" s="790"/>
      <c r="L12" s="791">
        <f>☆入力!H20</f>
        <v>0</v>
      </c>
      <c r="M12" s="791"/>
      <c r="N12" s="791"/>
      <c r="O12" s="791"/>
      <c r="P12" s="792">
        <f>☆入力!L20</f>
        <v>0</v>
      </c>
      <c r="Q12" s="792"/>
      <c r="R12" s="794">
        <f>☆入力!AA20</f>
        <v>0</v>
      </c>
      <c r="S12" s="794"/>
      <c r="T12" s="794"/>
      <c r="U12" s="795">
        <f>☆入力!AB20</f>
        <v>0</v>
      </c>
      <c r="V12" s="795"/>
      <c r="W12" s="795"/>
      <c r="X12" s="795"/>
      <c r="Y12" s="796">
        <f>☆入力!AC20</f>
        <v>0</v>
      </c>
      <c r="Z12" s="796"/>
      <c r="AA12" s="796"/>
      <c r="AB12" s="796"/>
      <c r="AD12" s="62"/>
    </row>
    <row r="13" spans="1:80" s="3" customFormat="1" ht="21" customHeight="1">
      <c r="A13" s="786">
        <v>6</v>
      </c>
      <c r="B13" s="786"/>
      <c r="C13" s="787">
        <f>IF($C$6=☆入力!$B$15,☆入力!$B21,☆入力!$C21)</f>
        <v>0</v>
      </c>
      <c r="D13" s="788"/>
      <c r="E13" s="788"/>
      <c r="F13" s="789"/>
      <c r="G13" s="790">
        <f>☆入力!D21</f>
        <v>0</v>
      </c>
      <c r="H13" s="790"/>
      <c r="I13" s="790"/>
      <c r="J13" s="790"/>
      <c r="K13" s="790"/>
      <c r="L13" s="791">
        <f>☆入力!H21</f>
        <v>0</v>
      </c>
      <c r="M13" s="791"/>
      <c r="N13" s="791"/>
      <c r="O13" s="791"/>
      <c r="P13" s="792">
        <f>☆入力!L21</f>
        <v>0</v>
      </c>
      <c r="Q13" s="792"/>
      <c r="R13" s="794">
        <f>☆入力!AA21</f>
        <v>0</v>
      </c>
      <c r="S13" s="794"/>
      <c r="T13" s="794"/>
      <c r="U13" s="795">
        <f>☆入力!AB21</f>
        <v>0</v>
      </c>
      <c r="V13" s="795"/>
      <c r="W13" s="795"/>
      <c r="X13" s="795"/>
      <c r="Y13" s="796">
        <f>☆入力!AC21</f>
        <v>0</v>
      </c>
      <c r="Z13" s="796"/>
      <c r="AA13" s="796"/>
      <c r="AB13" s="796"/>
      <c r="AD13" s="62"/>
      <c r="AS13" s="863" t="s">
        <v>275</v>
      </c>
      <c r="AT13" s="863"/>
      <c r="AU13" s="863"/>
      <c r="AV13" s="863"/>
      <c r="AW13" s="863"/>
      <c r="AX13" s="863"/>
      <c r="AY13" s="863"/>
      <c r="AZ13" s="863"/>
      <c r="BA13" s="863"/>
    </row>
    <row r="14" spans="1:80" s="3" customFormat="1" ht="21" customHeight="1">
      <c r="A14" s="786">
        <v>7</v>
      </c>
      <c r="B14" s="786"/>
      <c r="C14" s="787">
        <f>IF($C$6=☆入力!$B$15,☆入力!$B22,☆入力!$C22)</f>
        <v>0</v>
      </c>
      <c r="D14" s="788"/>
      <c r="E14" s="788"/>
      <c r="F14" s="789"/>
      <c r="G14" s="790">
        <f>☆入力!D22</f>
        <v>0</v>
      </c>
      <c r="H14" s="790"/>
      <c r="I14" s="790"/>
      <c r="J14" s="790"/>
      <c r="K14" s="790"/>
      <c r="L14" s="791">
        <f>☆入力!H22</f>
        <v>0</v>
      </c>
      <c r="M14" s="791"/>
      <c r="N14" s="791"/>
      <c r="O14" s="791"/>
      <c r="P14" s="792">
        <f>☆入力!L22</f>
        <v>0</v>
      </c>
      <c r="Q14" s="792"/>
      <c r="R14" s="794">
        <f>☆入力!AA22</f>
        <v>0</v>
      </c>
      <c r="S14" s="794"/>
      <c r="T14" s="794"/>
      <c r="U14" s="795">
        <f>☆入力!AB22</f>
        <v>0</v>
      </c>
      <c r="V14" s="795"/>
      <c r="W14" s="795"/>
      <c r="X14" s="795"/>
      <c r="Y14" s="796">
        <f>☆入力!AC22</f>
        <v>0</v>
      </c>
      <c r="Z14" s="796"/>
      <c r="AA14" s="796"/>
      <c r="AB14" s="796"/>
      <c r="AD14" s="62"/>
      <c r="AS14" s="863"/>
      <c r="AT14" s="863"/>
      <c r="AU14" s="863"/>
      <c r="AV14" s="863"/>
      <c r="AW14" s="863"/>
      <c r="AX14" s="863"/>
      <c r="AY14" s="863"/>
      <c r="AZ14" s="863"/>
      <c r="BA14" s="863"/>
    </row>
    <row r="15" spans="1:80" s="3" customFormat="1" ht="21" customHeight="1">
      <c r="A15" s="786">
        <v>8</v>
      </c>
      <c r="B15" s="786"/>
      <c r="C15" s="787">
        <f>IF($C$6=☆入力!$B$15,☆入力!$B23,☆入力!$C23)</f>
        <v>0</v>
      </c>
      <c r="D15" s="788"/>
      <c r="E15" s="788"/>
      <c r="F15" s="789"/>
      <c r="G15" s="790">
        <f>☆入力!D23</f>
        <v>0</v>
      </c>
      <c r="H15" s="790"/>
      <c r="I15" s="790"/>
      <c r="J15" s="790"/>
      <c r="K15" s="790"/>
      <c r="L15" s="791">
        <f>☆入力!H23</f>
        <v>0</v>
      </c>
      <c r="M15" s="791"/>
      <c r="N15" s="791"/>
      <c r="O15" s="791"/>
      <c r="P15" s="792">
        <f>☆入力!L23</f>
        <v>0</v>
      </c>
      <c r="Q15" s="792"/>
      <c r="R15" s="794">
        <f>☆入力!AA23</f>
        <v>0</v>
      </c>
      <c r="S15" s="794"/>
      <c r="T15" s="794"/>
      <c r="U15" s="795">
        <f>☆入力!AB23</f>
        <v>0</v>
      </c>
      <c r="V15" s="795"/>
      <c r="W15" s="795"/>
      <c r="X15" s="795"/>
      <c r="Y15" s="796">
        <f>☆入力!AC23</f>
        <v>0</v>
      </c>
      <c r="Z15" s="796"/>
      <c r="AA15" s="796"/>
      <c r="AB15" s="796"/>
      <c r="AD15" s="62"/>
    </row>
    <row r="16" spans="1:80" s="3" customFormat="1" ht="21" customHeight="1">
      <c r="A16" s="786">
        <v>9</v>
      </c>
      <c r="B16" s="786"/>
      <c r="C16" s="787">
        <f>IF($C$6=☆入力!$B$15,☆入力!$B24,☆入力!$C24)</f>
        <v>0</v>
      </c>
      <c r="D16" s="788"/>
      <c r="E16" s="788"/>
      <c r="F16" s="789"/>
      <c r="G16" s="790">
        <f>☆入力!D24</f>
        <v>0</v>
      </c>
      <c r="H16" s="790"/>
      <c r="I16" s="790"/>
      <c r="J16" s="790"/>
      <c r="K16" s="790"/>
      <c r="L16" s="791">
        <f>☆入力!H24</f>
        <v>0</v>
      </c>
      <c r="M16" s="791"/>
      <c r="N16" s="791"/>
      <c r="O16" s="791"/>
      <c r="P16" s="792">
        <f>☆入力!L24</f>
        <v>0</v>
      </c>
      <c r="Q16" s="792"/>
      <c r="R16" s="794">
        <f>☆入力!AA24</f>
        <v>0</v>
      </c>
      <c r="S16" s="794"/>
      <c r="T16" s="794"/>
      <c r="U16" s="795">
        <f>☆入力!AB24</f>
        <v>0</v>
      </c>
      <c r="V16" s="795"/>
      <c r="W16" s="795"/>
      <c r="X16" s="795"/>
      <c r="Y16" s="796">
        <f>☆入力!AC24</f>
        <v>0</v>
      </c>
      <c r="Z16" s="796"/>
      <c r="AA16" s="796"/>
      <c r="AB16" s="796"/>
      <c r="AD16" s="62"/>
      <c r="AF16" s="804" t="s">
        <v>293</v>
      </c>
      <c r="AG16" s="804"/>
      <c r="AH16" s="804"/>
      <c r="AI16" s="804"/>
      <c r="AJ16" s="804"/>
      <c r="AK16" s="804"/>
      <c r="AL16" s="804"/>
      <c r="AM16" s="804"/>
      <c r="AN16" s="804"/>
      <c r="AO16" s="804"/>
      <c r="AP16" s="804"/>
      <c r="AQ16" s="804"/>
      <c r="AR16" s="804"/>
      <c r="AS16" s="804"/>
      <c r="AT16" s="804"/>
      <c r="AU16" s="804"/>
      <c r="AV16" s="804"/>
      <c r="AW16" s="804"/>
      <c r="AX16" s="804"/>
      <c r="AY16" s="804"/>
      <c r="AZ16" s="804"/>
      <c r="BA16" s="804"/>
    </row>
    <row r="17" spans="1:53" s="3" customFormat="1" ht="21" customHeight="1">
      <c r="A17" s="786">
        <v>10</v>
      </c>
      <c r="B17" s="786"/>
      <c r="C17" s="787">
        <f>IF($C$6=☆入力!$B$15,☆入力!$B25,☆入力!$C25)</f>
        <v>0</v>
      </c>
      <c r="D17" s="788"/>
      <c r="E17" s="788"/>
      <c r="F17" s="789"/>
      <c r="G17" s="790">
        <f>☆入力!D25</f>
        <v>0</v>
      </c>
      <c r="H17" s="790"/>
      <c r="I17" s="790"/>
      <c r="J17" s="790"/>
      <c r="K17" s="790"/>
      <c r="L17" s="791">
        <f>☆入力!H25</f>
        <v>0</v>
      </c>
      <c r="M17" s="791"/>
      <c r="N17" s="791"/>
      <c r="O17" s="791"/>
      <c r="P17" s="792">
        <f>☆入力!L25</f>
        <v>0</v>
      </c>
      <c r="Q17" s="792"/>
      <c r="R17" s="794">
        <f>☆入力!AA25</f>
        <v>0</v>
      </c>
      <c r="S17" s="794"/>
      <c r="T17" s="794"/>
      <c r="U17" s="795">
        <f>☆入力!AB25</f>
        <v>0</v>
      </c>
      <c r="V17" s="795"/>
      <c r="W17" s="795"/>
      <c r="X17" s="795"/>
      <c r="Y17" s="796">
        <f>☆入力!AC25</f>
        <v>0</v>
      </c>
      <c r="Z17" s="796"/>
      <c r="AA17" s="796"/>
      <c r="AB17" s="796"/>
      <c r="AD17" s="62"/>
      <c r="AF17" s="804"/>
      <c r="AG17" s="804"/>
      <c r="AH17" s="804"/>
      <c r="AI17" s="804"/>
      <c r="AJ17" s="804"/>
      <c r="AK17" s="804"/>
      <c r="AL17" s="804"/>
      <c r="AM17" s="804"/>
      <c r="AN17" s="804"/>
      <c r="AO17" s="804"/>
      <c r="AP17" s="804"/>
      <c r="AQ17" s="804"/>
      <c r="AR17" s="804"/>
      <c r="AS17" s="804"/>
      <c r="AT17" s="804"/>
      <c r="AU17" s="804"/>
      <c r="AV17" s="804"/>
      <c r="AW17" s="804"/>
      <c r="AX17" s="804"/>
      <c r="AY17" s="804"/>
      <c r="AZ17" s="804"/>
      <c r="BA17" s="804"/>
    </row>
    <row r="18" spans="1:53" s="3" customFormat="1" ht="21" customHeight="1" thickBot="1">
      <c r="A18" s="786">
        <v>11</v>
      </c>
      <c r="B18" s="786"/>
      <c r="C18" s="787">
        <f>IF($C$6=☆入力!$B$15,☆入力!$B26,☆入力!$C26)</f>
        <v>0</v>
      </c>
      <c r="D18" s="788"/>
      <c r="E18" s="788"/>
      <c r="F18" s="789"/>
      <c r="G18" s="790">
        <f>☆入力!D26</f>
        <v>0</v>
      </c>
      <c r="H18" s="790"/>
      <c r="I18" s="790"/>
      <c r="J18" s="790"/>
      <c r="K18" s="790"/>
      <c r="L18" s="791">
        <f>☆入力!H26</f>
        <v>0</v>
      </c>
      <c r="M18" s="791"/>
      <c r="N18" s="791"/>
      <c r="O18" s="791"/>
      <c r="P18" s="792">
        <f>☆入力!L26</f>
        <v>0</v>
      </c>
      <c r="Q18" s="792"/>
      <c r="R18" s="794">
        <f>☆入力!AA26</f>
        <v>0</v>
      </c>
      <c r="S18" s="794"/>
      <c r="T18" s="794"/>
      <c r="U18" s="795">
        <f>☆入力!AB26</f>
        <v>0</v>
      </c>
      <c r="V18" s="795"/>
      <c r="W18" s="795"/>
      <c r="X18" s="795"/>
      <c r="Y18" s="796">
        <f>☆入力!AC26</f>
        <v>0</v>
      </c>
      <c r="Z18" s="796"/>
      <c r="AA18" s="796"/>
      <c r="AB18" s="796"/>
      <c r="AD18" s="62"/>
    </row>
    <row r="19" spans="1:53" s="3" customFormat="1" ht="21" customHeight="1" thickTop="1">
      <c r="A19" s="786">
        <v>12</v>
      </c>
      <c r="B19" s="786"/>
      <c r="C19" s="787">
        <f>IF($C$6=☆入力!$B$15,☆入力!$B27,☆入力!$C27)</f>
        <v>0</v>
      </c>
      <c r="D19" s="788"/>
      <c r="E19" s="788"/>
      <c r="F19" s="789"/>
      <c r="G19" s="790">
        <f>☆入力!D27</f>
        <v>0</v>
      </c>
      <c r="H19" s="790"/>
      <c r="I19" s="790"/>
      <c r="J19" s="790"/>
      <c r="K19" s="790"/>
      <c r="L19" s="791">
        <f>☆入力!H27</f>
        <v>0</v>
      </c>
      <c r="M19" s="791"/>
      <c r="N19" s="791"/>
      <c r="O19" s="791"/>
      <c r="P19" s="792">
        <f>☆入力!L27</f>
        <v>0</v>
      </c>
      <c r="Q19" s="792"/>
      <c r="R19" s="794">
        <f>☆入力!AA27</f>
        <v>0</v>
      </c>
      <c r="S19" s="794"/>
      <c r="T19" s="794"/>
      <c r="U19" s="795">
        <f>☆入力!AB27</f>
        <v>0</v>
      </c>
      <c r="V19" s="795"/>
      <c r="W19" s="795"/>
      <c r="X19" s="795"/>
      <c r="Y19" s="796">
        <f>☆入力!AC27</f>
        <v>0</v>
      </c>
      <c r="Z19" s="796"/>
      <c r="AA19" s="796"/>
      <c r="AB19" s="796"/>
      <c r="AD19" s="62"/>
      <c r="AS19" s="857">
        <f>AN23*3000*1</f>
        <v>0</v>
      </c>
      <c r="AT19" s="858"/>
      <c r="AU19" s="858"/>
      <c r="AV19" s="858"/>
      <c r="AW19" s="858"/>
      <c r="AX19" s="858"/>
      <c r="AY19" s="858"/>
      <c r="AZ19" s="858"/>
      <c r="BA19" s="859"/>
    </row>
    <row r="20" spans="1:53" s="3" customFormat="1" ht="21" customHeight="1" thickBot="1">
      <c r="A20" s="786">
        <v>13</v>
      </c>
      <c r="B20" s="786"/>
      <c r="C20" s="787">
        <f>IF($C$6=☆入力!$B$15,☆入力!$B28,☆入力!$C28)</f>
        <v>0</v>
      </c>
      <c r="D20" s="788"/>
      <c r="E20" s="788"/>
      <c r="F20" s="789"/>
      <c r="G20" s="790">
        <f>☆入力!D28</f>
        <v>0</v>
      </c>
      <c r="H20" s="790"/>
      <c r="I20" s="790"/>
      <c r="J20" s="790"/>
      <c r="K20" s="790"/>
      <c r="L20" s="791">
        <f>☆入力!H28</f>
        <v>0</v>
      </c>
      <c r="M20" s="791"/>
      <c r="N20" s="791"/>
      <c r="O20" s="791"/>
      <c r="P20" s="792">
        <f>☆入力!L28</f>
        <v>0</v>
      </c>
      <c r="Q20" s="792"/>
      <c r="R20" s="794">
        <f>☆入力!AA28</f>
        <v>0</v>
      </c>
      <c r="S20" s="794"/>
      <c r="T20" s="794"/>
      <c r="U20" s="795">
        <f>☆入力!AB28</f>
        <v>0</v>
      </c>
      <c r="V20" s="795"/>
      <c r="W20" s="795"/>
      <c r="X20" s="795"/>
      <c r="Y20" s="796">
        <f>☆入力!AC28</f>
        <v>0</v>
      </c>
      <c r="Z20" s="796"/>
      <c r="AA20" s="796"/>
      <c r="AB20" s="796"/>
      <c r="AD20" s="62"/>
      <c r="AS20" s="860"/>
      <c r="AT20" s="861"/>
      <c r="AU20" s="861"/>
      <c r="AV20" s="861"/>
      <c r="AW20" s="861"/>
      <c r="AX20" s="861"/>
      <c r="AY20" s="861"/>
      <c r="AZ20" s="861"/>
      <c r="BA20" s="862"/>
    </row>
    <row r="21" spans="1:53" s="3" customFormat="1" ht="21" customHeight="1" thickTop="1">
      <c r="A21" s="786">
        <v>14</v>
      </c>
      <c r="B21" s="786"/>
      <c r="C21" s="787">
        <f>IF($C$6=☆入力!$B$15,☆入力!$B29,☆入力!$C29)</f>
        <v>0</v>
      </c>
      <c r="D21" s="788"/>
      <c r="E21" s="788"/>
      <c r="F21" s="789"/>
      <c r="G21" s="790">
        <f>☆入力!D29</f>
        <v>0</v>
      </c>
      <c r="H21" s="790"/>
      <c r="I21" s="790"/>
      <c r="J21" s="790"/>
      <c r="K21" s="790"/>
      <c r="L21" s="791">
        <f>☆入力!H29</f>
        <v>0</v>
      </c>
      <c r="M21" s="791"/>
      <c r="N21" s="791"/>
      <c r="O21" s="791"/>
      <c r="P21" s="792">
        <f>☆入力!L29</f>
        <v>0</v>
      </c>
      <c r="Q21" s="792"/>
      <c r="R21" s="794">
        <f>☆入力!AA29</f>
        <v>0</v>
      </c>
      <c r="S21" s="794"/>
      <c r="T21" s="794"/>
      <c r="U21" s="795">
        <f>☆入力!AB29</f>
        <v>0</v>
      </c>
      <c r="V21" s="795"/>
      <c r="W21" s="795"/>
      <c r="X21" s="795"/>
      <c r="Y21" s="796">
        <f>☆入力!AC29</f>
        <v>0</v>
      </c>
      <c r="Z21" s="796"/>
      <c r="AA21" s="796"/>
      <c r="AB21" s="796"/>
      <c r="AD21" s="62"/>
      <c r="AG21" s="79"/>
      <c r="AH21" s="79"/>
      <c r="AI21" s="79"/>
      <c r="AJ21" s="79"/>
      <c r="AK21" s="79"/>
      <c r="AL21" s="79"/>
      <c r="AM21" s="79"/>
      <c r="AN21" s="79"/>
      <c r="AO21" s="79"/>
      <c r="AP21" s="79"/>
      <c r="AQ21" s="79"/>
      <c r="AR21" s="79"/>
      <c r="AS21" s="354"/>
      <c r="AT21" s="354"/>
      <c r="AU21" s="354"/>
      <c r="AV21" s="354"/>
      <c r="AW21" s="354"/>
      <c r="AX21" s="354"/>
      <c r="AY21" s="354"/>
      <c r="AZ21" s="354"/>
      <c r="BA21" s="354"/>
    </row>
    <row r="22" spans="1:53" s="3" customFormat="1" ht="21" customHeight="1">
      <c r="A22" s="786">
        <v>15</v>
      </c>
      <c r="B22" s="786"/>
      <c r="C22" s="787">
        <f>IF($C$6=☆入力!$B$15,☆入力!$B30,☆入力!$C30)</f>
        <v>0</v>
      </c>
      <c r="D22" s="788"/>
      <c r="E22" s="788"/>
      <c r="F22" s="789"/>
      <c r="G22" s="790">
        <f>☆入力!D30</f>
        <v>0</v>
      </c>
      <c r="H22" s="790"/>
      <c r="I22" s="790"/>
      <c r="J22" s="790"/>
      <c r="K22" s="790"/>
      <c r="L22" s="791">
        <f>☆入力!H30</f>
        <v>0</v>
      </c>
      <c r="M22" s="791"/>
      <c r="N22" s="791"/>
      <c r="O22" s="791"/>
      <c r="P22" s="792">
        <f>☆入力!L30</f>
        <v>0</v>
      </c>
      <c r="Q22" s="792"/>
      <c r="R22" s="794">
        <f>☆入力!AA30</f>
        <v>0</v>
      </c>
      <c r="S22" s="794"/>
      <c r="T22" s="794"/>
      <c r="U22" s="795">
        <f>☆入力!AB30</f>
        <v>0</v>
      </c>
      <c r="V22" s="795"/>
      <c r="W22" s="795"/>
      <c r="X22" s="795"/>
      <c r="Y22" s="796">
        <f>☆入力!AC30</f>
        <v>0</v>
      </c>
      <c r="Z22" s="796"/>
      <c r="AA22" s="796"/>
      <c r="AB22" s="796"/>
      <c r="AD22" s="62"/>
      <c r="AF22" s="79"/>
      <c r="AG22" s="262" t="s">
        <v>277</v>
      </c>
      <c r="AH22" s="262"/>
      <c r="AI22" s="262"/>
      <c r="AJ22" s="262"/>
      <c r="AK22" s="262"/>
      <c r="AL22" s="262"/>
      <c r="AM22" s="263"/>
      <c r="AN22" s="864">
        <f>LED計算式!N16</f>
        <v>0</v>
      </c>
      <c r="AO22" s="864"/>
      <c r="AP22" s="864"/>
      <c r="AQ22" s="262" t="str">
        <f>"× "&amp;TEXT(☆入力!AR9,"#,#00")&amp;"円（※1）× 0回（※2）"</f>
        <v>× 2,500円（※1）× 0回（※2）</v>
      </c>
      <c r="AR22" s="263"/>
      <c r="AS22" s="262"/>
      <c r="AT22" s="262"/>
      <c r="AU22" s="262"/>
      <c r="AV22" s="262"/>
      <c r="AW22" s="262"/>
      <c r="AX22" s="262"/>
      <c r="AY22" s="262"/>
      <c r="AZ22" s="262"/>
      <c r="BA22" s="66"/>
    </row>
    <row r="23" spans="1:53" s="3" customFormat="1" ht="21" customHeight="1">
      <c r="A23" s="786">
        <v>16</v>
      </c>
      <c r="B23" s="786"/>
      <c r="C23" s="787">
        <f>IF($C$6=☆入力!$B$15,☆入力!$B31,☆入力!$C31)</f>
        <v>0</v>
      </c>
      <c r="D23" s="788"/>
      <c r="E23" s="788"/>
      <c r="F23" s="789"/>
      <c r="G23" s="790">
        <f>☆入力!D31</f>
        <v>0</v>
      </c>
      <c r="H23" s="790"/>
      <c r="I23" s="790"/>
      <c r="J23" s="790"/>
      <c r="K23" s="790"/>
      <c r="L23" s="791">
        <f>☆入力!H31</f>
        <v>0</v>
      </c>
      <c r="M23" s="791"/>
      <c r="N23" s="791"/>
      <c r="O23" s="791"/>
      <c r="P23" s="792">
        <f>☆入力!L31</f>
        <v>0</v>
      </c>
      <c r="Q23" s="792"/>
      <c r="R23" s="794">
        <f>☆入力!AA31</f>
        <v>0</v>
      </c>
      <c r="S23" s="794"/>
      <c r="T23" s="794"/>
      <c r="U23" s="795">
        <f>☆入力!AB31</f>
        <v>0</v>
      </c>
      <c r="V23" s="795"/>
      <c r="W23" s="795"/>
      <c r="X23" s="795"/>
      <c r="Y23" s="796">
        <f>☆入力!AC31</f>
        <v>0</v>
      </c>
      <c r="Z23" s="796"/>
      <c r="AA23" s="796"/>
      <c r="AB23" s="796"/>
      <c r="AD23" s="62"/>
      <c r="AF23" s="79"/>
      <c r="AG23" s="66" t="s">
        <v>278</v>
      </c>
      <c r="AN23" s="801">
        <f>LED計算式!N17</f>
        <v>0</v>
      </c>
      <c r="AO23" s="801"/>
      <c r="AP23" s="801"/>
      <c r="AQ23" s="66" t="s">
        <v>294</v>
      </c>
      <c r="AS23" s="66"/>
      <c r="AT23" s="66"/>
      <c r="AU23" s="66"/>
      <c r="AV23" s="66"/>
      <c r="AW23" s="66"/>
      <c r="AX23" s="66"/>
      <c r="AY23" s="66"/>
    </row>
    <row r="24" spans="1:53" s="3" customFormat="1" ht="21" customHeight="1">
      <c r="A24" s="786">
        <v>17</v>
      </c>
      <c r="B24" s="786"/>
      <c r="C24" s="787">
        <f>IF($C$6=☆入力!$B$15,☆入力!$B32,☆入力!$C32)</f>
        <v>0</v>
      </c>
      <c r="D24" s="788"/>
      <c r="E24" s="788"/>
      <c r="F24" s="789"/>
      <c r="G24" s="790">
        <f>☆入力!D32</f>
        <v>0</v>
      </c>
      <c r="H24" s="790"/>
      <c r="I24" s="790"/>
      <c r="J24" s="790"/>
      <c r="K24" s="790"/>
      <c r="L24" s="791">
        <f>☆入力!H32</f>
        <v>0</v>
      </c>
      <c r="M24" s="791"/>
      <c r="N24" s="791"/>
      <c r="O24" s="791"/>
      <c r="P24" s="792">
        <f>☆入力!L32</f>
        <v>0</v>
      </c>
      <c r="Q24" s="792"/>
      <c r="R24" s="794">
        <f>☆入力!AA32</f>
        <v>0</v>
      </c>
      <c r="S24" s="794"/>
      <c r="T24" s="794"/>
      <c r="U24" s="795">
        <f>☆入力!AB32</f>
        <v>0</v>
      </c>
      <c r="V24" s="795"/>
      <c r="W24" s="795"/>
      <c r="X24" s="795"/>
      <c r="Y24" s="796">
        <f>☆入力!AC32</f>
        <v>0</v>
      </c>
      <c r="Z24" s="796"/>
      <c r="AA24" s="796"/>
      <c r="AB24" s="796"/>
      <c r="AD24" s="62"/>
      <c r="AS24" s="353"/>
      <c r="AT24" s="353"/>
      <c r="AU24" s="353"/>
      <c r="AV24" s="353"/>
      <c r="AW24" s="353"/>
      <c r="AX24" s="353"/>
      <c r="AY24" s="353"/>
      <c r="AZ24" s="353"/>
      <c r="BA24" s="353"/>
    </row>
    <row r="25" spans="1:53" s="3" customFormat="1" ht="21" customHeight="1">
      <c r="A25" s="786">
        <v>18</v>
      </c>
      <c r="B25" s="786"/>
      <c r="C25" s="787">
        <f>IF($C$6=☆入力!$B$15,☆入力!$B33,☆入力!$C33)</f>
        <v>0</v>
      </c>
      <c r="D25" s="788"/>
      <c r="E25" s="788"/>
      <c r="F25" s="789"/>
      <c r="G25" s="790">
        <f>☆入力!D33</f>
        <v>0</v>
      </c>
      <c r="H25" s="790"/>
      <c r="I25" s="790"/>
      <c r="J25" s="790"/>
      <c r="K25" s="790"/>
      <c r="L25" s="791">
        <f>☆入力!H33</f>
        <v>0</v>
      </c>
      <c r="M25" s="791"/>
      <c r="N25" s="791"/>
      <c r="O25" s="791"/>
      <c r="P25" s="792">
        <f>☆入力!L33</f>
        <v>0</v>
      </c>
      <c r="Q25" s="792"/>
      <c r="R25" s="794">
        <f>☆入力!AA33</f>
        <v>0</v>
      </c>
      <c r="S25" s="794"/>
      <c r="T25" s="794"/>
      <c r="U25" s="795">
        <f>☆入力!AB33</f>
        <v>0</v>
      </c>
      <c r="V25" s="795"/>
      <c r="W25" s="795"/>
      <c r="X25" s="795"/>
      <c r="Y25" s="796">
        <f>☆入力!AC33</f>
        <v>0</v>
      </c>
      <c r="Z25" s="796"/>
      <c r="AA25" s="796"/>
      <c r="AB25" s="796"/>
      <c r="AD25" s="62"/>
      <c r="AF25" s="52"/>
      <c r="AG25" s="1" t="s">
        <v>295</v>
      </c>
    </row>
    <row r="26" spans="1:53" s="3" customFormat="1" ht="21" customHeight="1">
      <c r="A26" s="786">
        <v>19</v>
      </c>
      <c r="B26" s="786"/>
      <c r="C26" s="787">
        <f>IF($C$6=☆入力!$B$15,☆入力!$B34,☆入力!$C34)</f>
        <v>0</v>
      </c>
      <c r="D26" s="788"/>
      <c r="E26" s="788"/>
      <c r="F26" s="789"/>
      <c r="G26" s="790">
        <f>☆入力!D34</f>
        <v>0</v>
      </c>
      <c r="H26" s="790"/>
      <c r="I26" s="790"/>
      <c r="J26" s="790"/>
      <c r="K26" s="790"/>
      <c r="L26" s="791">
        <f>☆入力!H34</f>
        <v>0</v>
      </c>
      <c r="M26" s="791"/>
      <c r="N26" s="791"/>
      <c r="O26" s="791"/>
      <c r="P26" s="792">
        <f>☆入力!L34</f>
        <v>0</v>
      </c>
      <c r="Q26" s="792"/>
      <c r="R26" s="794">
        <f>☆入力!AA34</f>
        <v>0</v>
      </c>
      <c r="S26" s="794"/>
      <c r="T26" s="794"/>
      <c r="U26" s="795">
        <f>☆入力!AB34</f>
        <v>0</v>
      </c>
      <c r="V26" s="795"/>
      <c r="W26" s="795"/>
      <c r="X26" s="795"/>
      <c r="Y26" s="796">
        <f>☆入力!AC34</f>
        <v>0</v>
      </c>
      <c r="Z26" s="796"/>
      <c r="AA26" s="796"/>
      <c r="AB26" s="796"/>
      <c r="AD26" s="62"/>
      <c r="AG26" s="1"/>
    </row>
    <row r="27" spans="1:53" s="3" customFormat="1" ht="21" customHeight="1">
      <c r="A27" s="786">
        <v>20</v>
      </c>
      <c r="B27" s="786"/>
      <c r="C27" s="787">
        <f>IF($C$6=☆入力!$B$15,☆入力!$B35,☆入力!$C35)</f>
        <v>0</v>
      </c>
      <c r="D27" s="788"/>
      <c r="E27" s="788"/>
      <c r="F27" s="789"/>
      <c r="G27" s="790">
        <f>☆入力!D35</f>
        <v>0</v>
      </c>
      <c r="H27" s="790"/>
      <c r="I27" s="790"/>
      <c r="J27" s="790"/>
      <c r="K27" s="790"/>
      <c r="L27" s="791">
        <f>☆入力!H35</f>
        <v>0</v>
      </c>
      <c r="M27" s="791"/>
      <c r="N27" s="791"/>
      <c r="O27" s="791"/>
      <c r="P27" s="792">
        <f>☆入力!L35</f>
        <v>0</v>
      </c>
      <c r="Q27" s="792"/>
      <c r="R27" s="794">
        <f>☆入力!AA35</f>
        <v>0</v>
      </c>
      <c r="S27" s="794"/>
      <c r="T27" s="794"/>
      <c r="U27" s="795">
        <f>☆入力!AB35</f>
        <v>0</v>
      </c>
      <c r="V27" s="795"/>
      <c r="W27" s="795"/>
      <c r="X27" s="795"/>
      <c r="Y27" s="796">
        <f>☆入力!AC35</f>
        <v>0</v>
      </c>
      <c r="Z27" s="796"/>
      <c r="AA27" s="796"/>
      <c r="AB27" s="796"/>
      <c r="AD27" s="62"/>
      <c r="AG27" s="1" t="s">
        <v>296</v>
      </c>
      <c r="AT27" s="216"/>
      <c r="AU27" s="216"/>
      <c r="AV27" s="216"/>
      <c r="AW27" s="216"/>
      <c r="AX27" s="216"/>
      <c r="AY27" s="216"/>
      <c r="AZ27" s="216"/>
      <c r="BA27" s="216"/>
    </row>
    <row r="28" spans="1:53" s="3" customFormat="1" ht="21" customHeight="1">
      <c r="A28" s="786">
        <v>21</v>
      </c>
      <c r="B28" s="786"/>
      <c r="C28" s="787">
        <f>IF($C$6=☆入力!$B$15,☆入力!$B36,☆入力!$C36)</f>
        <v>0</v>
      </c>
      <c r="D28" s="788"/>
      <c r="E28" s="788"/>
      <c r="F28" s="789"/>
      <c r="G28" s="790">
        <f>☆入力!D36</f>
        <v>0</v>
      </c>
      <c r="H28" s="790"/>
      <c r="I28" s="790"/>
      <c r="J28" s="790"/>
      <c r="K28" s="790"/>
      <c r="L28" s="791">
        <f>☆入力!H36</f>
        <v>0</v>
      </c>
      <c r="M28" s="791"/>
      <c r="N28" s="791"/>
      <c r="O28" s="791"/>
      <c r="P28" s="792">
        <f>☆入力!L36</f>
        <v>0</v>
      </c>
      <c r="Q28" s="792"/>
      <c r="R28" s="794">
        <f>☆入力!AA36</f>
        <v>0</v>
      </c>
      <c r="S28" s="794"/>
      <c r="T28" s="794"/>
      <c r="U28" s="795">
        <f>☆入力!AB36</f>
        <v>0</v>
      </c>
      <c r="V28" s="795"/>
      <c r="W28" s="795"/>
      <c r="X28" s="795"/>
      <c r="Y28" s="796">
        <f>☆入力!AC36</f>
        <v>0</v>
      </c>
      <c r="Z28" s="796"/>
      <c r="AA28" s="796"/>
      <c r="AB28" s="796"/>
      <c r="AD28" s="62"/>
      <c r="AS28" s="354"/>
      <c r="AT28" s="354"/>
      <c r="AU28" s="354"/>
      <c r="AV28" s="354"/>
      <c r="AW28" s="354"/>
      <c r="AX28" s="354"/>
      <c r="AY28" s="354"/>
      <c r="AZ28" s="354"/>
      <c r="BA28" s="354"/>
    </row>
    <row r="29" spans="1:53" s="3" customFormat="1" ht="21" customHeight="1">
      <c r="A29" s="786">
        <v>22</v>
      </c>
      <c r="B29" s="786"/>
      <c r="C29" s="787">
        <f>IF($C$6=☆入力!$B$15,☆入力!$B37,☆入力!$C37)</f>
        <v>0</v>
      </c>
      <c r="D29" s="788"/>
      <c r="E29" s="788"/>
      <c r="F29" s="789"/>
      <c r="G29" s="790">
        <f>☆入力!D37</f>
        <v>0</v>
      </c>
      <c r="H29" s="790"/>
      <c r="I29" s="790"/>
      <c r="J29" s="790"/>
      <c r="K29" s="790"/>
      <c r="L29" s="791">
        <f>☆入力!H37</f>
        <v>0</v>
      </c>
      <c r="M29" s="791"/>
      <c r="N29" s="791"/>
      <c r="O29" s="791"/>
      <c r="P29" s="792">
        <f>☆入力!L37</f>
        <v>0</v>
      </c>
      <c r="Q29" s="792"/>
      <c r="R29" s="794">
        <f>☆入力!AA37</f>
        <v>0</v>
      </c>
      <c r="S29" s="794"/>
      <c r="T29" s="794"/>
      <c r="U29" s="795">
        <f>☆入力!AB37</f>
        <v>0</v>
      </c>
      <c r="V29" s="795"/>
      <c r="W29" s="795"/>
      <c r="X29" s="795"/>
      <c r="Y29" s="796">
        <f>☆入力!AC37</f>
        <v>0</v>
      </c>
      <c r="Z29" s="796"/>
      <c r="AA29" s="796"/>
      <c r="AB29" s="796"/>
      <c r="AD29" s="62"/>
      <c r="AG29" s="1"/>
    </row>
    <row r="30" spans="1:53" s="3" customFormat="1" ht="21" customHeight="1">
      <c r="A30" s="786">
        <v>23</v>
      </c>
      <c r="B30" s="786"/>
      <c r="C30" s="787">
        <f>IF($C$6=☆入力!$B$15,☆入力!$B38,☆入力!$C38)</f>
        <v>0</v>
      </c>
      <c r="D30" s="788"/>
      <c r="E30" s="788"/>
      <c r="F30" s="789"/>
      <c r="G30" s="790">
        <f>☆入力!D38</f>
        <v>0</v>
      </c>
      <c r="H30" s="790"/>
      <c r="I30" s="790"/>
      <c r="J30" s="790"/>
      <c r="K30" s="790"/>
      <c r="L30" s="791">
        <f>☆入力!H38</f>
        <v>0</v>
      </c>
      <c r="M30" s="791"/>
      <c r="N30" s="791"/>
      <c r="O30" s="791"/>
      <c r="P30" s="792">
        <f>☆入力!L38</f>
        <v>0</v>
      </c>
      <c r="Q30" s="792"/>
      <c r="R30" s="794">
        <f>☆入力!AA38</f>
        <v>0</v>
      </c>
      <c r="S30" s="794"/>
      <c r="T30" s="794"/>
      <c r="U30" s="795">
        <f>☆入力!AB38</f>
        <v>0</v>
      </c>
      <c r="V30" s="795"/>
      <c r="W30" s="795"/>
      <c r="X30" s="795"/>
      <c r="Y30" s="796">
        <f>☆入力!AC38</f>
        <v>0</v>
      </c>
      <c r="Z30" s="796"/>
      <c r="AA30" s="796"/>
      <c r="AB30" s="796"/>
      <c r="AD30" s="62"/>
      <c r="AS30" s="55"/>
      <c r="AT30" s="55"/>
      <c r="AU30" s="55"/>
      <c r="AV30" s="55"/>
      <c r="AW30" s="55"/>
      <c r="AX30" s="55"/>
      <c r="AY30" s="55"/>
      <c r="AZ30" s="55"/>
      <c r="BA30" s="55"/>
    </row>
    <row r="31" spans="1:53" s="3" customFormat="1" ht="21" customHeight="1">
      <c r="A31" s="786">
        <v>24</v>
      </c>
      <c r="B31" s="786"/>
      <c r="C31" s="787">
        <f>IF($C$6=☆入力!$B$15,☆入力!$B39,☆入力!$C39)</f>
        <v>0</v>
      </c>
      <c r="D31" s="788"/>
      <c r="E31" s="788"/>
      <c r="F31" s="789"/>
      <c r="G31" s="790">
        <f>☆入力!D39</f>
        <v>0</v>
      </c>
      <c r="H31" s="790"/>
      <c r="I31" s="790"/>
      <c r="J31" s="790"/>
      <c r="K31" s="790"/>
      <c r="L31" s="791">
        <f>☆入力!H39</f>
        <v>0</v>
      </c>
      <c r="M31" s="791"/>
      <c r="N31" s="791"/>
      <c r="O31" s="791"/>
      <c r="P31" s="792">
        <f>☆入力!L39</f>
        <v>0</v>
      </c>
      <c r="Q31" s="792"/>
      <c r="R31" s="794">
        <f>☆入力!AA39</f>
        <v>0</v>
      </c>
      <c r="S31" s="794"/>
      <c r="T31" s="794"/>
      <c r="U31" s="795">
        <f>☆入力!AB39</f>
        <v>0</v>
      </c>
      <c r="V31" s="795"/>
      <c r="W31" s="795"/>
      <c r="X31" s="795"/>
      <c r="Y31" s="796">
        <f>☆入力!AC39</f>
        <v>0</v>
      </c>
      <c r="Z31" s="796"/>
      <c r="AA31" s="796"/>
      <c r="AB31" s="796"/>
      <c r="AD31" s="62"/>
      <c r="AS31" s="55"/>
      <c r="AT31" s="55"/>
      <c r="AU31" s="55"/>
      <c r="AV31" s="55"/>
      <c r="AW31" s="55"/>
      <c r="AX31" s="55"/>
      <c r="AY31" s="55"/>
      <c r="AZ31" s="55"/>
      <c r="BA31" s="55"/>
    </row>
    <row r="32" spans="1:53" s="3" customFormat="1" ht="21" customHeight="1">
      <c r="A32" s="786">
        <v>25</v>
      </c>
      <c r="B32" s="786"/>
      <c r="C32" s="787">
        <f>IF($C$6=☆入力!$B$15,☆入力!$B40,☆入力!$C40)</f>
        <v>0</v>
      </c>
      <c r="D32" s="788"/>
      <c r="E32" s="788"/>
      <c r="F32" s="789"/>
      <c r="G32" s="790">
        <f>☆入力!D40</f>
        <v>0</v>
      </c>
      <c r="H32" s="790"/>
      <c r="I32" s="790"/>
      <c r="J32" s="790"/>
      <c r="K32" s="790"/>
      <c r="L32" s="791">
        <f>☆入力!H40</f>
        <v>0</v>
      </c>
      <c r="M32" s="791"/>
      <c r="N32" s="791"/>
      <c r="O32" s="791"/>
      <c r="P32" s="792">
        <f>☆入力!L40</f>
        <v>0</v>
      </c>
      <c r="Q32" s="792"/>
      <c r="R32" s="794">
        <f>☆入力!AA40</f>
        <v>0</v>
      </c>
      <c r="S32" s="794"/>
      <c r="T32" s="794"/>
      <c r="U32" s="795">
        <f>☆入力!AB40</f>
        <v>0</v>
      </c>
      <c r="V32" s="795"/>
      <c r="W32" s="795"/>
      <c r="X32" s="795"/>
      <c r="Y32" s="796">
        <f>☆入力!AC40</f>
        <v>0</v>
      </c>
      <c r="Z32" s="796"/>
      <c r="AA32" s="796"/>
      <c r="AB32" s="796"/>
      <c r="AD32" s="62"/>
    </row>
    <row r="33" spans="1:56" s="3" customFormat="1" ht="21" customHeight="1" outlineLevel="1">
      <c r="A33" s="786">
        <v>26</v>
      </c>
      <c r="B33" s="786"/>
      <c r="C33" s="787">
        <f>IF($C$6=☆入力!$B$15,☆入力!$B41,☆入力!$C41)</f>
        <v>0</v>
      </c>
      <c r="D33" s="788"/>
      <c r="E33" s="788"/>
      <c r="F33" s="789"/>
      <c r="G33" s="790">
        <f>☆入力!D41</f>
        <v>0</v>
      </c>
      <c r="H33" s="790"/>
      <c r="I33" s="790"/>
      <c r="J33" s="790"/>
      <c r="K33" s="790"/>
      <c r="L33" s="791">
        <f>☆入力!H41</f>
        <v>0</v>
      </c>
      <c r="M33" s="791"/>
      <c r="N33" s="791"/>
      <c r="O33" s="791"/>
      <c r="P33" s="792">
        <f>☆入力!L41</f>
        <v>0</v>
      </c>
      <c r="Q33" s="792"/>
      <c r="R33" s="794">
        <f>☆入力!AA41</f>
        <v>0</v>
      </c>
      <c r="S33" s="794"/>
      <c r="T33" s="794"/>
      <c r="U33" s="795">
        <f>☆入力!AB41</f>
        <v>0</v>
      </c>
      <c r="V33" s="795"/>
      <c r="W33" s="795"/>
      <c r="X33" s="795"/>
      <c r="Y33" s="796">
        <f>☆入力!AC41</f>
        <v>0</v>
      </c>
      <c r="Z33" s="796"/>
      <c r="AA33" s="796"/>
      <c r="AB33" s="796"/>
      <c r="AD33" s="62"/>
    </row>
    <row r="34" spans="1:56" s="3" customFormat="1" ht="21" customHeight="1" outlineLevel="1">
      <c r="A34" s="786">
        <v>27</v>
      </c>
      <c r="B34" s="786"/>
      <c r="C34" s="787">
        <f>IF($C$6=☆入力!$B$15,☆入力!$B42,☆入力!$C42)</f>
        <v>0</v>
      </c>
      <c r="D34" s="788"/>
      <c r="E34" s="788"/>
      <c r="F34" s="789"/>
      <c r="G34" s="790">
        <f>☆入力!D42</f>
        <v>0</v>
      </c>
      <c r="H34" s="790"/>
      <c r="I34" s="790"/>
      <c r="J34" s="790"/>
      <c r="K34" s="790"/>
      <c r="L34" s="791">
        <f>☆入力!H42</f>
        <v>0</v>
      </c>
      <c r="M34" s="791"/>
      <c r="N34" s="791"/>
      <c r="O34" s="791"/>
      <c r="P34" s="792">
        <f>☆入力!L42</f>
        <v>0</v>
      </c>
      <c r="Q34" s="792"/>
      <c r="R34" s="794">
        <f>☆入力!AA42</f>
        <v>0</v>
      </c>
      <c r="S34" s="794"/>
      <c r="T34" s="794"/>
      <c r="U34" s="795">
        <f>☆入力!AB42</f>
        <v>0</v>
      </c>
      <c r="V34" s="795"/>
      <c r="W34" s="795"/>
      <c r="X34" s="795"/>
      <c r="Y34" s="796">
        <f>☆入力!AC42</f>
        <v>0</v>
      </c>
      <c r="Z34" s="796"/>
      <c r="AA34" s="796"/>
      <c r="AB34" s="796"/>
      <c r="AD34" s="62"/>
    </row>
    <row r="35" spans="1:56" s="3" customFormat="1" ht="21" customHeight="1" outlineLevel="1">
      <c r="A35" s="786">
        <v>28</v>
      </c>
      <c r="B35" s="786"/>
      <c r="C35" s="787">
        <f>IF($C$6=☆入力!$B$15,☆入力!$B43,☆入力!$C43)</f>
        <v>0</v>
      </c>
      <c r="D35" s="788"/>
      <c r="E35" s="788"/>
      <c r="F35" s="789"/>
      <c r="G35" s="790">
        <f>☆入力!D43</f>
        <v>0</v>
      </c>
      <c r="H35" s="790"/>
      <c r="I35" s="790"/>
      <c r="J35" s="790"/>
      <c r="K35" s="790"/>
      <c r="L35" s="791">
        <f>☆入力!H43</f>
        <v>0</v>
      </c>
      <c r="M35" s="791"/>
      <c r="N35" s="791"/>
      <c r="O35" s="791"/>
      <c r="P35" s="792">
        <f>☆入力!L43</f>
        <v>0</v>
      </c>
      <c r="Q35" s="792"/>
      <c r="R35" s="794">
        <f>☆入力!AA43</f>
        <v>0</v>
      </c>
      <c r="S35" s="794"/>
      <c r="T35" s="794"/>
      <c r="U35" s="795">
        <f>☆入力!AB43</f>
        <v>0</v>
      </c>
      <c r="V35" s="795"/>
      <c r="W35" s="795"/>
      <c r="X35" s="795"/>
      <c r="Y35" s="796">
        <f>☆入力!AC43</f>
        <v>0</v>
      </c>
      <c r="Z35" s="796"/>
      <c r="AA35" s="796"/>
      <c r="AB35" s="796"/>
      <c r="AD35" s="62"/>
    </row>
    <row r="36" spans="1:56" s="3" customFormat="1" ht="21" customHeight="1" outlineLevel="1">
      <c r="A36" s="786">
        <v>29</v>
      </c>
      <c r="B36" s="786"/>
      <c r="C36" s="787">
        <f>IF($C$6=☆入力!$B$15,☆入力!$B44,☆入力!$C44)</f>
        <v>0</v>
      </c>
      <c r="D36" s="788"/>
      <c r="E36" s="788"/>
      <c r="F36" s="789"/>
      <c r="G36" s="790">
        <f>☆入力!D44</f>
        <v>0</v>
      </c>
      <c r="H36" s="790"/>
      <c r="I36" s="790"/>
      <c r="J36" s="790"/>
      <c r="K36" s="790"/>
      <c r="L36" s="791">
        <f>☆入力!H44</f>
        <v>0</v>
      </c>
      <c r="M36" s="791"/>
      <c r="N36" s="791"/>
      <c r="O36" s="791"/>
      <c r="P36" s="792">
        <f>☆入力!L44</f>
        <v>0</v>
      </c>
      <c r="Q36" s="792"/>
      <c r="R36" s="794">
        <f>☆入力!AA44</f>
        <v>0</v>
      </c>
      <c r="S36" s="794"/>
      <c r="T36" s="794"/>
      <c r="U36" s="795">
        <f>☆入力!AB44</f>
        <v>0</v>
      </c>
      <c r="V36" s="795"/>
      <c r="W36" s="795"/>
      <c r="X36" s="795"/>
      <c r="Y36" s="796">
        <f>☆入力!AC44</f>
        <v>0</v>
      </c>
      <c r="Z36" s="796"/>
      <c r="AA36" s="796"/>
      <c r="AB36" s="796"/>
      <c r="AD36" s="62"/>
    </row>
    <row r="37" spans="1:56" s="3" customFormat="1" ht="21" customHeight="1" outlineLevel="1">
      <c r="A37" s="775">
        <v>30</v>
      </c>
      <c r="B37" s="775"/>
      <c r="C37" s="776">
        <f>IF($C$6=☆入力!$B$15,☆入力!$B45,☆入力!$C45)</f>
        <v>0</v>
      </c>
      <c r="D37" s="777"/>
      <c r="E37" s="777"/>
      <c r="F37" s="778"/>
      <c r="G37" s="779">
        <f>☆入力!D45</f>
        <v>0</v>
      </c>
      <c r="H37" s="779"/>
      <c r="I37" s="779"/>
      <c r="J37" s="779"/>
      <c r="K37" s="779"/>
      <c r="L37" s="780">
        <f>☆入力!H45</f>
        <v>0</v>
      </c>
      <c r="M37" s="780"/>
      <c r="N37" s="780"/>
      <c r="O37" s="780"/>
      <c r="P37" s="781">
        <f>☆入力!L45</f>
        <v>0</v>
      </c>
      <c r="Q37" s="781"/>
      <c r="R37" s="783">
        <f>☆入力!AA45</f>
        <v>0</v>
      </c>
      <c r="S37" s="783"/>
      <c r="T37" s="783"/>
      <c r="U37" s="784">
        <f>☆入力!AB45</f>
        <v>0</v>
      </c>
      <c r="V37" s="784"/>
      <c r="W37" s="784"/>
      <c r="X37" s="784"/>
      <c r="Y37" s="785">
        <f>☆入力!AC45</f>
        <v>0</v>
      </c>
      <c r="Z37" s="785"/>
      <c r="AA37" s="785"/>
      <c r="AB37" s="785"/>
      <c r="AD37" s="62"/>
    </row>
    <row r="38" spans="1:56" s="13" customFormat="1" ht="21" customHeight="1">
      <c r="C38" s="483"/>
      <c r="D38" s="483"/>
      <c r="E38" s="483"/>
      <c r="F38" s="483"/>
      <c r="G38" s="483"/>
      <c r="H38" s="483"/>
      <c r="I38" s="483"/>
      <c r="J38" s="483"/>
      <c r="K38" s="74" t="s">
        <v>286</v>
      </c>
      <c r="L38" s="483"/>
      <c r="M38" s="483"/>
      <c r="N38" s="483"/>
      <c r="O38" s="483"/>
      <c r="P38" s="483"/>
      <c r="Q38" s="483"/>
      <c r="R38" s="483"/>
      <c r="S38" s="483"/>
      <c r="T38" s="483"/>
      <c r="U38" s="483"/>
      <c r="V38" s="483"/>
      <c r="W38" s="483"/>
      <c r="X38" s="483"/>
      <c r="AD38" s="64"/>
    </row>
    <row r="39" spans="1:56" s="13" customFormat="1" ht="21" customHeight="1">
      <c r="C39" s="483"/>
      <c r="D39" s="483"/>
      <c r="E39" s="483"/>
      <c r="F39" s="483"/>
      <c r="G39" s="483"/>
      <c r="H39" s="483"/>
      <c r="I39" s="483"/>
      <c r="J39" s="483"/>
      <c r="K39" s="811" t="s">
        <v>19</v>
      </c>
      <c r="L39" s="811"/>
      <c r="M39" s="811"/>
      <c r="N39" s="811"/>
      <c r="O39" s="811"/>
      <c r="P39" s="813">
        <f>SUM(P8:Q37)</f>
        <v>0</v>
      </c>
      <c r="Q39" s="813"/>
      <c r="R39" s="815" t="s">
        <v>287</v>
      </c>
      <c r="S39" s="815"/>
      <c r="T39" s="815"/>
      <c r="U39" s="817">
        <f>SUM(U8:X37)</f>
        <v>0</v>
      </c>
      <c r="V39" s="817"/>
      <c r="W39" s="817"/>
      <c r="X39" s="817"/>
      <c r="Y39" s="819">
        <f>SUM(Y8:AB37)</f>
        <v>0</v>
      </c>
      <c r="Z39" s="819"/>
      <c r="AA39" s="819"/>
      <c r="AB39" s="819"/>
      <c r="AD39" s="64"/>
      <c r="AF39" s="804" t="s">
        <v>288</v>
      </c>
      <c r="AG39" s="804"/>
      <c r="AH39" s="804"/>
      <c r="AI39" s="804"/>
      <c r="AJ39" s="804"/>
      <c r="AK39" s="804"/>
      <c r="AL39" s="804"/>
      <c r="AM39" s="804"/>
      <c r="AN39" s="804"/>
      <c r="AO39" s="804"/>
      <c r="AP39" s="804"/>
      <c r="AQ39" s="804"/>
      <c r="AR39" s="804"/>
      <c r="AS39" s="804"/>
      <c r="AT39" s="804"/>
      <c r="AU39" s="804"/>
      <c r="AV39" s="804"/>
      <c r="AW39" s="804"/>
      <c r="AX39" s="804"/>
      <c r="AY39" s="804"/>
      <c r="AZ39" s="804"/>
      <c r="BA39" s="804"/>
    </row>
    <row r="40" spans="1:56" s="13" customFormat="1" ht="21" customHeight="1" thickBot="1">
      <c r="C40" s="14"/>
      <c r="D40" s="14"/>
      <c r="E40" s="14"/>
      <c r="F40" s="14"/>
      <c r="G40" s="14"/>
      <c r="H40" s="14"/>
      <c r="I40" s="14"/>
      <c r="J40" s="14"/>
      <c r="K40" s="812"/>
      <c r="L40" s="812"/>
      <c r="M40" s="812"/>
      <c r="N40" s="812"/>
      <c r="O40" s="812"/>
      <c r="P40" s="814"/>
      <c r="Q40" s="814"/>
      <c r="R40" s="816"/>
      <c r="S40" s="816"/>
      <c r="T40" s="816"/>
      <c r="U40" s="818"/>
      <c r="V40" s="818"/>
      <c r="W40" s="818"/>
      <c r="X40" s="818"/>
      <c r="Y40" s="820"/>
      <c r="Z40" s="820"/>
      <c r="AA40" s="820"/>
      <c r="AB40" s="820"/>
      <c r="AD40" s="64"/>
      <c r="AF40" s="804"/>
      <c r="AG40" s="804"/>
      <c r="AH40" s="804"/>
      <c r="AI40" s="804"/>
      <c r="AJ40" s="804"/>
      <c r="AK40" s="804"/>
      <c r="AL40" s="804"/>
      <c r="AM40" s="804"/>
      <c r="AN40" s="804"/>
      <c r="AO40" s="804"/>
      <c r="AP40" s="804"/>
      <c r="AQ40" s="804"/>
      <c r="AR40" s="804"/>
      <c r="AS40" s="804"/>
      <c r="AT40" s="804"/>
      <c r="AU40" s="804"/>
      <c r="AV40" s="804"/>
      <c r="AW40" s="804"/>
      <c r="AX40" s="804"/>
      <c r="AY40" s="804"/>
      <c r="AZ40" s="804"/>
      <c r="BA40" s="804"/>
    </row>
    <row r="41" spans="1:56" s="13" customFormat="1" ht="21" customHeight="1" thickTop="1">
      <c r="C41" s="14"/>
      <c r="D41" s="14"/>
      <c r="E41" s="14"/>
      <c r="F41" s="14"/>
      <c r="G41" s="14"/>
      <c r="H41" s="14"/>
      <c r="I41" s="14"/>
      <c r="J41" s="14"/>
      <c r="L41" s="14"/>
      <c r="M41" s="14"/>
      <c r="AD41" s="64"/>
      <c r="AS41" s="865">
        <f>AS7+AS19+AS24</f>
        <v>0</v>
      </c>
      <c r="AT41" s="866"/>
      <c r="AU41" s="866"/>
      <c r="AV41" s="866"/>
      <c r="AW41" s="866"/>
      <c r="AX41" s="866"/>
      <c r="AY41" s="866"/>
      <c r="AZ41" s="866"/>
      <c r="BA41" s="867"/>
    </row>
    <row r="42" spans="1:56" s="13" customFormat="1" ht="21" customHeight="1" thickBot="1">
      <c r="C42" s="14"/>
      <c r="D42" s="14"/>
      <c r="E42" s="14"/>
      <c r="F42" s="14"/>
      <c r="G42" s="14"/>
      <c r="H42" s="14"/>
      <c r="I42" s="14"/>
      <c r="J42" s="14"/>
      <c r="K42" s="14"/>
      <c r="L42" s="14"/>
      <c r="M42" s="14"/>
      <c r="AD42" s="64"/>
      <c r="AS42" s="868"/>
      <c r="AT42" s="869"/>
      <c r="AU42" s="869"/>
      <c r="AV42" s="869"/>
      <c r="AW42" s="869"/>
      <c r="AX42" s="869"/>
      <c r="AY42" s="869"/>
      <c r="AZ42" s="869"/>
      <c r="BA42" s="870"/>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14">
        <v>4</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67">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A9:B9"/>
    <mergeCell ref="C9:F9"/>
    <mergeCell ref="G9:K9"/>
    <mergeCell ref="L9:O9"/>
    <mergeCell ref="P9:Q9"/>
    <mergeCell ref="R9:T9"/>
    <mergeCell ref="U9:X9"/>
    <mergeCell ref="Y9:AB9"/>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zoomScale="40" zoomScaleNormal="80" zoomScaleSheetLayoutView="40" workbookViewId="0">
      <selection activeCell="CH46" sqref="CH46"/>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03" t="s">
        <v>299</v>
      </c>
      <c r="B1" s="803"/>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03"/>
      <c r="AN1" s="803"/>
      <c r="AO1" s="803"/>
      <c r="AP1" s="803"/>
      <c r="AQ1" s="803"/>
      <c r="AR1" s="803"/>
      <c r="AS1" s="803"/>
      <c r="AT1" s="803"/>
      <c r="AU1" s="803"/>
      <c r="AV1" s="803"/>
      <c r="AW1" s="803"/>
      <c r="AX1" s="803"/>
      <c r="AY1" s="803"/>
      <c r="AZ1" s="803"/>
      <c r="BA1" s="803"/>
      <c r="BB1" s="803"/>
      <c r="BC1" s="803"/>
      <c r="BD1" s="803"/>
      <c r="BE1" s="803"/>
      <c r="BF1" s="803"/>
      <c r="BG1" s="803"/>
      <c r="BH1" s="803"/>
      <c r="BI1" s="803"/>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03" t="s">
        <v>300</v>
      </c>
      <c r="L3" s="904"/>
      <c r="M3" s="904"/>
      <c r="N3" s="905"/>
      <c r="O3" s="60"/>
      <c r="P3" s="60"/>
      <c r="Q3" s="944" t="s">
        <v>301</v>
      </c>
      <c r="R3" s="945"/>
      <c r="S3" s="945"/>
      <c r="T3" s="945"/>
      <c r="U3" s="945"/>
      <c r="V3" s="945"/>
      <c r="W3" s="946"/>
      <c r="X3" s="38"/>
      <c r="Y3" s="61"/>
      <c r="Z3" s="38"/>
      <c r="AA3" s="914" t="s">
        <v>265</v>
      </c>
      <c r="AB3" s="914"/>
      <c r="AC3" s="914"/>
      <c r="AD3" s="914"/>
      <c r="AE3" s="914"/>
      <c r="AF3" s="914"/>
      <c r="AG3" s="914"/>
      <c r="AH3" s="914"/>
      <c r="AI3" s="914"/>
      <c r="AJ3" s="60"/>
      <c r="AK3" s="60"/>
      <c r="AL3" s="60"/>
      <c r="AM3" s="60"/>
      <c r="AN3" s="872" t="s">
        <v>290</v>
      </c>
      <c r="AO3" s="872"/>
      <c r="AP3" s="872"/>
      <c r="AQ3" s="872"/>
      <c r="AR3" s="872"/>
      <c r="AS3" s="872"/>
      <c r="AT3" s="872"/>
      <c r="AU3" s="872"/>
      <c r="AV3" s="872"/>
      <c r="AW3" s="60"/>
      <c r="AX3" s="60"/>
      <c r="AY3" s="60"/>
      <c r="AZ3" s="60"/>
      <c r="BA3" s="942" t="s">
        <v>302</v>
      </c>
      <c r="BB3" s="942"/>
      <c r="BC3" s="942"/>
      <c r="BD3" s="942"/>
      <c r="BE3" s="942"/>
      <c r="BF3" s="942"/>
      <c r="BG3" s="942"/>
      <c r="BH3" s="942"/>
      <c r="BI3" s="942"/>
    </row>
    <row r="4" spans="1:61" s="3" customFormat="1" ht="21" customHeight="1" thickTop="1">
      <c r="A4" s="51"/>
      <c r="B4" s="52"/>
      <c r="C4" s="53"/>
      <c r="D4" s="53"/>
      <c r="E4" s="53"/>
      <c r="F4" s="53"/>
      <c r="G4" s="53"/>
      <c r="H4" s="53"/>
      <c r="I4" s="53"/>
      <c r="J4" s="53"/>
      <c r="K4" s="52"/>
      <c r="L4" s="52"/>
      <c r="M4" s="52"/>
      <c r="N4" s="52"/>
      <c r="Y4" s="62"/>
      <c r="AA4" s="915"/>
      <c r="AB4" s="915"/>
      <c r="AC4" s="915"/>
      <c r="AD4" s="915"/>
      <c r="AE4" s="915"/>
      <c r="AF4" s="915"/>
      <c r="AG4" s="915"/>
      <c r="AH4" s="915"/>
      <c r="AI4" s="915"/>
      <c r="AJ4" s="58"/>
      <c r="AK4" s="58"/>
      <c r="AL4" s="58"/>
      <c r="AM4" s="58"/>
      <c r="AN4" s="941"/>
      <c r="AO4" s="941"/>
      <c r="AP4" s="941"/>
      <c r="AQ4" s="941"/>
      <c r="AR4" s="941"/>
      <c r="AS4" s="941"/>
      <c r="AT4" s="941"/>
      <c r="AU4" s="941"/>
      <c r="AV4" s="941"/>
      <c r="BA4" s="943"/>
      <c r="BB4" s="943"/>
      <c r="BC4" s="943"/>
      <c r="BD4" s="943"/>
      <c r="BE4" s="943"/>
      <c r="BF4" s="943"/>
      <c r="BG4" s="943"/>
      <c r="BH4" s="943"/>
      <c r="BI4" s="943"/>
    </row>
    <row r="5" spans="1:61" ht="21" customHeight="1">
      <c r="A5" s="829" t="s">
        <v>267</v>
      </c>
      <c r="B5" s="833"/>
      <c r="C5" s="834" t="str">
        <f>LED計算式!M32</f>
        <v>試算エリア</v>
      </c>
      <c r="D5" s="835"/>
      <c r="E5" s="835"/>
      <c r="F5" s="836"/>
      <c r="G5" s="834" t="s">
        <v>268</v>
      </c>
      <c r="H5" s="835"/>
      <c r="I5" s="835"/>
      <c r="J5" s="836"/>
      <c r="K5" s="832" t="s">
        <v>271</v>
      </c>
      <c r="L5" s="832"/>
      <c r="M5" s="832"/>
      <c r="N5" s="832"/>
      <c r="O5" s="56"/>
      <c r="P5" s="56"/>
      <c r="Q5" s="832" t="s">
        <v>271</v>
      </c>
      <c r="R5" s="832"/>
      <c r="S5" s="832"/>
      <c r="T5" s="832"/>
      <c r="U5" s="953" t="s">
        <v>303</v>
      </c>
      <c r="V5" s="953"/>
      <c r="W5" s="953"/>
      <c r="Y5" s="63"/>
    </row>
    <row r="6" spans="1:61" ht="21" customHeight="1">
      <c r="A6" s="14"/>
      <c r="B6" s="14"/>
      <c r="C6" s="15"/>
      <c r="D6" s="15"/>
      <c r="E6" s="15"/>
      <c r="F6" s="15"/>
      <c r="G6" s="15"/>
      <c r="H6" s="15"/>
      <c r="I6" s="15"/>
      <c r="J6" s="15"/>
      <c r="K6" s="16"/>
      <c r="L6" s="16"/>
      <c r="M6" s="16"/>
      <c r="N6" s="16"/>
      <c r="O6" s="16"/>
      <c r="P6" s="16"/>
      <c r="Q6" s="16"/>
      <c r="R6" s="16"/>
      <c r="Y6" s="63"/>
      <c r="AA6" s="804" t="s">
        <v>304</v>
      </c>
      <c r="AB6" s="804"/>
      <c r="AC6" s="804"/>
      <c r="AD6" s="804"/>
      <c r="AE6" s="804"/>
      <c r="AF6" s="804"/>
      <c r="AG6" s="804"/>
      <c r="AH6" s="804"/>
      <c r="AI6" s="804"/>
      <c r="AJ6" s="804"/>
      <c r="AK6" s="804"/>
      <c r="AL6" s="804"/>
      <c r="AM6" s="804"/>
      <c r="AN6" s="804"/>
      <c r="AO6" s="804"/>
      <c r="AP6" s="804"/>
      <c r="AQ6" s="804"/>
      <c r="AR6" s="804"/>
      <c r="AS6" s="804"/>
      <c r="AT6" s="804"/>
      <c r="AU6" s="804"/>
      <c r="AV6" s="804"/>
    </row>
    <row r="7" spans="1:61" s="3" customFormat="1" ht="21" customHeight="1">
      <c r="A7" s="837">
        <v>1</v>
      </c>
      <c r="B7" s="837"/>
      <c r="C7" s="798">
        <f>IF($C$5=☆入力!$B$15,☆入力!$B16,☆入力!$C16)</f>
        <v>0</v>
      </c>
      <c r="D7" s="798"/>
      <c r="E7" s="798"/>
      <c r="F7" s="798"/>
      <c r="G7" s="798">
        <f>☆入力!D16</f>
        <v>0</v>
      </c>
      <c r="H7" s="798"/>
      <c r="I7" s="798"/>
      <c r="J7" s="798"/>
      <c r="K7" s="855">
        <f>☆入力!Y16</f>
        <v>0</v>
      </c>
      <c r="L7" s="855"/>
      <c r="M7" s="855"/>
      <c r="N7" s="855"/>
      <c r="O7" s="893" t="s">
        <v>305</v>
      </c>
      <c r="P7" s="894"/>
      <c r="Q7" s="855">
        <f>☆入力!AC16</f>
        <v>0</v>
      </c>
      <c r="R7" s="855"/>
      <c r="S7" s="855"/>
      <c r="T7" s="855"/>
      <c r="U7" s="926" t="str">
        <f t="shared" ref="U7:U31" si="0">IFERROR(100%-(Q7/K7),"")</f>
        <v/>
      </c>
      <c r="V7" s="926"/>
      <c r="W7" s="926"/>
      <c r="Y7" s="62"/>
      <c r="AA7" s="804"/>
      <c r="AB7" s="804"/>
      <c r="AC7" s="804"/>
      <c r="AD7" s="804"/>
      <c r="AE7" s="804"/>
      <c r="AF7" s="804"/>
      <c r="AG7" s="804"/>
      <c r="AH7" s="804"/>
      <c r="AI7" s="804"/>
      <c r="AJ7" s="804"/>
      <c r="AK7" s="804"/>
      <c r="AL7" s="804"/>
      <c r="AM7" s="804"/>
      <c r="AN7" s="804"/>
      <c r="AO7" s="804"/>
      <c r="AP7" s="804"/>
      <c r="AQ7" s="804"/>
      <c r="AR7" s="804"/>
      <c r="AS7" s="804"/>
      <c r="AT7" s="804"/>
      <c r="AU7" s="804"/>
      <c r="AV7" s="804"/>
    </row>
    <row r="8" spans="1:61" s="3" customFormat="1" ht="21" customHeight="1" thickBot="1">
      <c r="A8" s="786">
        <v>2</v>
      </c>
      <c r="B8" s="786"/>
      <c r="C8" s="787">
        <f>IF($C$5=☆入力!$B$15,☆入力!$B17,☆入力!$C17)</f>
        <v>0</v>
      </c>
      <c r="D8" s="788"/>
      <c r="E8" s="788"/>
      <c r="F8" s="789"/>
      <c r="G8" s="790">
        <f>☆入力!D17</f>
        <v>0</v>
      </c>
      <c r="H8" s="790"/>
      <c r="I8" s="790"/>
      <c r="J8" s="790"/>
      <c r="K8" s="796">
        <f>☆入力!Y17</f>
        <v>0</v>
      </c>
      <c r="L8" s="796"/>
      <c r="M8" s="796"/>
      <c r="N8" s="796"/>
      <c r="O8" s="893" t="s">
        <v>305</v>
      </c>
      <c r="P8" s="894"/>
      <c r="Q8" s="796">
        <f>☆入力!AC17</f>
        <v>0</v>
      </c>
      <c r="R8" s="796"/>
      <c r="S8" s="796"/>
      <c r="T8" s="796"/>
      <c r="U8" s="896" t="str">
        <f t="shared" si="0"/>
        <v/>
      </c>
      <c r="V8" s="896"/>
      <c r="W8" s="896"/>
      <c r="Y8" s="62"/>
    </row>
    <row r="9" spans="1:61" s="3" customFormat="1" ht="21" customHeight="1" thickTop="1">
      <c r="A9" s="786">
        <v>3</v>
      </c>
      <c r="B9" s="786"/>
      <c r="C9" s="787">
        <f>IF($C$5=☆入力!$B$15,☆入力!$B18,☆入力!$C18)</f>
        <v>0</v>
      </c>
      <c r="D9" s="788"/>
      <c r="E9" s="788"/>
      <c r="F9" s="789"/>
      <c r="G9" s="790">
        <f>☆入力!D18</f>
        <v>0</v>
      </c>
      <c r="H9" s="790"/>
      <c r="I9" s="790"/>
      <c r="J9" s="790"/>
      <c r="K9" s="796">
        <f>☆入力!Y18</f>
        <v>0</v>
      </c>
      <c r="L9" s="796"/>
      <c r="M9" s="796"/>
      <c r="N9" s="796"/>
      <c r="O9" s="893" t="s">
        <v>305</v>
      </c>
      <c r="P9" s="894"/>
      <c r="Q9" s="796">
        <f>☆入力!AC18</f>
        <v>0</v>
      </c>
      <c r="R9" s="796"/>
      <c r="S9" s="796"/>
      <c r="T9" s="796"/>
      <c r="U9" s="896" t="str">
        <f t="shared" si="0"/>
        <v/>
      </c>
      <c r="V9" s="896"/>
      <c r="W9" s="896"/>
      <c r="Y9" s="62"/>
      <c r="AA9" s="920">
        <f>②前!$AS$6</f>
        <v>0</v>
      </c>
      <c r="AB9" s="921"/>
      <c r="AC9" s="921"/>
      <c r="AD9" s="921"/>
      <c r="AE9" s="921"/>
      <c r="AF9" s="921"/>
      <c r="AG9" s="921"/>
      <c r="AH9" s="921"/>
      <c r="AI9" s="922"/>
      <c r="AJ9" s="939" t="s">
        <v>306</v>
      </c>
      <c r="AK9" s="935"/>
      <c r="AL9" s="935"/>
      <c r="AM9" s="940"/>
      <c r="AN9" s="947">
        <f>③後!AS6</f>
        <v>0</v>
      </c>
      <c r="AO9" s="948"/>
      <c r="AP9" s="948"/>
      <c r="AQ9" s="948"/>
      <c r="AR9" s="948"/>
      <c r="AS9" s="948"/>
      <c r="AT9" s="948"/>
      <c r="AU9" s="948"/>
      <c r="AV9" s="949"/>
      <c r="AW9" s="934" t="s">
        <v>307</v>
      </c>
      <c r="AX9" s="935"/>
      <c r="AY9" s="935"/>
      <c r="AZ9" s="936"/>
      <c r="BA9" s="954">
        <f>AA9-AN9</f>
        <v>0</v>
      </c>
      <c r="BB9" s="955"/>
      <c r="BC9" s="955"/>
      <c r="BD9" s="955"/>
      <c r="BE9" s="955"/>
      <c r="BF9" s="955"/>
      <c r="BG9" s="955"/>
      <c r="BH9" s="955"/>
      <c r="BI9" s="956"/>
    </row>
    <row r="10" spans="1:61" s="3" customFormat="1" ht="21" customHeight="1" thickBot="1">
      <c r="A10" s="786">
        <v>4</v>
      </c>
      <c r="B10" s="786"/>
      <c r="C10" s="787">
        <f>IF($C$5=☆入力!$B$15,☆入力!$B19,☆入力!$C19)</f>
        <v>0</v>
      </c>
      <c r="D10" s="788"/>
      <c r="E10" s="788"/>
      <c r="F10" s="789"/>
      <c r="G10" s="790">
        <f>☆入力!D19</f>
        <v>0</v>
      </c>
      <c r="H10" s="790"/>
      <c r="I10" s="790"/>
      <c r="J10" s="790"/>
      <c r="K10" s="796">
        <f>☆入力!Y19</f>
        <v>0</v>
      </c>
      <c r="L10" s="796"/>
      <c r="M10" s="796"/>
      <c r="N10" s="796"/>
      <c r="O10" s="893" t="s">
        <v>305</v>
      </c>
      <c r="P10" s="894"/>
      <c r="Q10" s="796">
        <f>☆入力!AC19</f>
        <v>0</v>
      </c>
      <c r="R10" s="796"/>
      <c r="S10" s="796"/>
      <c r="T10" s="796"/>
      <c r="U10" s="896" t="str">
        <f t="shared" si="0"/>
        <v/>
      </c>
      <c r="V10" s="896"/>
      <c r="W10" s="896"/>
      <c r="Y10" s="62"/>
      <c r="AA10" s="923"/>
      <c r="AB10" s="924"/>
      <c r="AC10" s="924"/>
      <c r="AD10" s="924"/>
      <c r="AE10" s="924"/>
      <c r="AF10" s="924"/>
      <c r="AG10" s="924"/>
      <c r="AH10" s="924"/>
      <c r="AI10" s="925"/>
      <c r="AJ10" s="939"/>
      <c r="AK10" s="935"/>
      <c r="AL10" s="935"/>
      <c r="AM10" s="940"/>
      <c r="AN10" s="950"/>
      <c r="AO10" s="951"/>
      <c r="AP10" s="951"/>
      <c r="AQ10" s="951"/>
      <c r="AR10" s="951"/>
      <c r="AS10" s="951"/>
      <c r="AT10" s="951"/>
      <c r="AU10" s="951"/>
      <c r="AV10" s="952"/>
      <c r="AW10" s="934"/>
      <c r="AX10" s="935"/>
      <c r="AY10" s="935"/>
      <c r="AZ10" s="936"/>
      <c r="BA10" s="957"/>
      <c r="BB10" s="958"/>
      <c r="BC10" s="958"/>
      <c r="BD10" s="958"/>
      <c r="BE10" s="958"/>
      <c r="BF10" s="958"/>
      <c r="BG10" s="958"/>
      <c r="BH10" s="958"/>
      <c r="BI10" s="959"/>
    </row>
    <row r="11" spans="1:61" s="3" customFormat="1" ht="21" customHeight="1" thickTop="1">
      <c r="A11" s="786">
        <v>5</v>
      </c>
      <c r="B11" s="786"/>
      <c r="C11" s="787">
        <f>IF($C$5=☆入力!$B$15,☆入力!$B20,☆入力!$C20)</f>
        <v>0</v>
      </c>
      <c r="D11" s="788"/>
      <c r="E11" s="788"/>
      <c r="F11" s="789"/>
      <c r="G11" s="790">
        <f>☆入力!D20</f>
        <v>0</v>
      </c>
      <c r="H11" s="790"/>
      <c r="I11" s="790"/>
      <c r="J11" s="790"/>
      <c r="K11" s="796">
        <f>☆入力!Y20</f>
        <v>0</v>
      </c>
      <c r="L11" s="796"/>
      <c r="M11" s="796"/>
      <c r="N11" s="796"/>
      <c r="O11" s="893" t="s">
        <v>305</v>
      </c>
      <c r="P11" s="894"/>
      <c r="Q11" s="796">
        <f>☆入力!AC20</f>
        <v>0</v>
      </c>
      <c r="R11" s="796"/>
      <c r="S11" s="796"/>
      <c r="T11" s="796"/>
      <c r="U11" s="896" t="str">
        <f t="shared" si="0"/>
        <v/>
      </c>
      <c r="V11" s="896"/>
      <c r="W11" s="896"/>
      <c r="Y11" s="62"/>
    </row>
    <row r="12" spans="1:61" s="3" customFormat="1" ht="21" customHeight="1">
      <c r="A12" s="786">
        <v>6</v>
      </c>
      <c r="B12" s="786"/>
      <c r="C12" s="787">
        <f>IF($C$5=☆入力!$B$15,☆入力!$B21,☆入力!$C21)</f>
        <v>0</v>
      </c>
      <c r="D12" s="788"/>
      <c r="E12" s="788"/>
      <c r="F12" s="789"/>
      <c r="G12" s="790">
        <f>☆入力!D21</f>
        <v>0</v>
      </c>
      <c r="H12" s="790"/>
      <c r="I12" s="790"/>
      <c r="J12" s="790"/>
      <c r="K12" s="796">
        <f>☆入力!Y21</f>
        <v>0</v>
      </c>
      <c r="L12" s="796"/>
      <c r="M12" s="796"/>
      <c r="N12" s="796"/>
      <c r="O12" s="893" t="s">
        <v>305</v>
      </c>
      <c r="P12" s="894"/>
      <c r="Q12" s="796">
        <f>☆入力!AC21</f>
        <v>0</v>
      </c>
      <c r="R12" s="796"/>
      <c r="S12" s="796"/>
      <c r="T12" s="796"/>
      <c r="U12" s="896" t="str">
        <f t="shared" si="0"/>
        <v/>
      </c>
      <c r="V12" s="896"/>
      <c r="W12" s="896"/>
      <c r="Y12" s="62"/>
      <c r="AA12" s="850" t="s">
        <v>275</v>
      </c>
      <c r="AB12" s="850"/>
      <c r="AC12" s="850"/>
      <c r="AD12" s="850"/>
      <c r="AE12" s="850"/>
      <c r="AF12" s="850"/>
      <c r="AG12" s="850"/>
      <c r="AH12" s="850"/>
      <c r="AI12" s="850"/>
      <c r="AN12" s="883" t="s">
        <v>275</v>
      </c>
      <c r="AO12" s="883"/>
      <c r="AP12" s="883"/>
      <c r="AQ12" s="883"/>
      <c r="AR12" s="883"/>
      <c r="AS12" s="883"/>
      <c r="AT12" s="883"/>
      <c r="AU12" s="883"/>
      <c r="AV12" s="883"/>
      <c r="BA12" s="960" t="s">
        <v>275</v>
      </c>
      <c r="BB12" s="960"/>
      <c r="BC12" s="960"/>
      <c r="BD12" s="960"/>
      <c r="BE12" s="960"/>
      <c r="BF12" s="960"/>
      <c r="BG12" s="960"/>
      <c r="BH12" s="960"/>
      <c r="BI12" s="960"/>
    </row>
    <row r="13" spans="1:61" s="3" customFormat="1" ht="21" customHeight="1">
      <c r="A13" s="786">
        <v>7</v>
      </c>
      <c r="B13" s="786"/>
      <c r="C13" s="787">
        <f>IF($C$5=☆入力!$B$15,☆入力!$B22,☆入力!$C22)</f>
        <v>0</v>
      </c>
      <c r="D13" s="788"/>
      <c r="E13" s="788"/>
      <c r="F13" s="789"/>
      <c r="G13" s="790">
        <f>☆入力!D22</f>
        <v>0</v>
      </c>
      <c r="H13" s="790"/>
      <c r="I13" s="790"/>
      <c r="J13" s="790"/>
      <c r="K13" s="796">
        <f>☆入力!Y22</f>
        <v>0</v>
      </c>
      <c r="L13" s="796"/>
      <c r="M13" s="796"/>
      <c r="N13" s="796"/>
      <c r="O13" s="893" t="s">
        <v>305</v>
      </c>
      <c r="P13" s="894"/>
      <c r="Q13" s="796">
        <f>☆入力!AC22</f>
        <v>0</v>
      </c>
      <c r="R13" s="796"/>
      <c r="S13" s="796"/>
      <c r="T13" s="796"/>
      <c r="U13" s="896" t="str">
        <f t="shared" si="0"/>
        <v/>
      </c>
      <c r="V13" s="896"/>
      <c r="W13" s="896"/>
      <c r="Y13" s="62"/>
      <c r="AA13" s="850"/>
      <c r="AB13" s="850"/>
      <c r="AC13" s="850"/>
      <c r="AD13" s="850"/>
      <c r="AE13" s="850"/>
      <c r="AF13" s="850"/>
      <c r="AG13" s="850"/>
      <c r="AH13" s="850"/>
      <c r="AI13" s="850"/>
      <c r="AN13" s="883"/>
      <c r="AO13" s="883"/>
      <c r="AP13" s="883"/>
      <c r="AQ13" s="883"/>
      <c r="AR13" s="883"/>
      <c r="AS13" s="883"/>
      <c r="AT13" s="883"/>
      <c r="AU13" s="883"/>
      <c r="AV13" s="883"/>
      <c r="BA13" s="960"/>
      <c r="BB13" s="960"/>
      <c r="BC13" s="960"/>
      <c r="BD13" s="960"/>
      <c r="BE13" s="960"/>
      <c r="BF13" s="960"/>
      <c r="BG13" s="960"/>
      <c r="BH13" s="960"/>
      <c r="BI13" s="960"/>
    </row>
    <row r="14" spans="1:61" s="3" customFormat="1" ht="21" customHeight="1">
      <c r="A14" s="786">
        <v>8</v>
      </c>
      <c r="B14" s="786"/>
      <c r="C14" s="787">
        <f>IF($C$5=☆入力!$B$15,☆入力!$B23,☆入力!$C23)</f>
        <v>0</v>
      </c>
      <c r="D14" s="788"/>
      <c r="E14" s="788"/>
      <c r="F14" s="789"/>
      <c r="G14" s="790">
        <f>☆入力!D23</f>
        <v>0</v>
      </c>
      <c r="H14" s="790"/>
      <c r="I14" s="790"/>
      <c r="J14" s="790"/>
      <c r="K14" s="796">
        <f>☆入力!Y23</f>
        <v>0</v>
      </c>
      <c r="L14" s="796"/>
      <c r="M14" s="796"/>
      <c r="N14" s="796"/>
      <c r="O14" s="893" t="s">
        <v>305</v>
      </c>
      <c r="P14" s="894"/>
      <c r="Q14" s="796">
        <f>☆入力!AC23</f>
        <v>0</v>
      </c>
      <c r="R14" s="796"/>
      <c r="S14" s="796"/>
      <c r="T14" s="796"/>
      <c r="U14" s="896" t="str">
        <f t="shared" si="0"/>
        <v/>
      </c>
      <c r="V14" s="896"/>
      <c r="W14" s="896"/>
      <c r="Y14" s="62"/>
    </row>
    <row r="15" spans="1:61" s="3" customFormat="1" ht="21" customHeight="1">
      <c r="A15" s="786">
        <v>9</v>
      </c>
      <c r="B15" s="786"/>
      <c r="C15" s="787">
        <f>IF($C$5=☆入力!$B$15,☆入力!$B24,☆入力!$C24)</f>
        <v>0</v>
      </c>
      <c r="D15" s="788"/>
      <c r="E15" s="788"/>
      <c r="F15" s="789"/>
      <c r="G15" s="790">
        <f>☆入力!D24</f>
        <v>0</v>
      </c>
      <c r="H15" s="790"/>
      <c r="I15" s="790"/>
      <c r="J15" s="790"/>
      <c r="K15" s="796">
        <f>☆入力!Y24</f>
        <v>0</v>
      </c>
      <c r="L15" s="796"/>
      <c r="M15" s="796"/>
      <c r="N15" s="796"/>
      <c r="O15" s="893" t="s">
        <v>305</v>
      </c>
      <c r="P15" s="894"/>
      <c r="Q15" s="796">
        <f>☆入力!AC24</f>
        <v>0</v>
      </c>
      <c r="R15" s="796"/>
      <c r="S15" s="796"/>
      <c r="T15" s="796"/>
      <c r="U15" s="896" t="str">
        <f t="shared" si="0"/>
        <v/>
      </c>
      <c r="V15" s="896"/>
      <c r="W15" s="896"/>
      <c r="Y15" s="62"/>
      <c r="AA15" s="804" t="s">
        <v>308</v>
      </c>
      <c r="AB15" s="804"/>
      <c r="AC15" s="804"/>
      <c r="AD15" s="804"/>
      <c r="AE15" s="804"/>
      <c r="AF15" s="804"/>
      <c r="AG15" s="804"/>
      <c r="AH15" s="804"/>
      <c r="AI15" s="804"/>
      <c r="AJ15" s="804"/>
      <c r="AK15" s="804"/>
      <c r="AL15" s="804"/>
      <c r="AM15" s="804"/>
      <c r="AN15" s="804"/>
      <c r="AO15" s="804"/>
      <c r="AP15" s="804"/>
      <c r="AQ15" s="804"/>
      <c r="AR15" s="804"/>
      <c r="AS15" s="804"/>
      <c r="AT15" s="804"/>
      <c r="AU15" s="804"/>
      <c r="AV15" s="804"/>
      <c r="BA15" s="359"/>
      <c r="BB15" s="359"/>
      <c r="BC15" s="359"/>
      <c r="BD15" s="359"/>
      <c r="BE15" s="359"/>
      <c r="BF15" s="359"/>
      <c r="BG15" s="359"/>
      <c r="BH15" s="359"/>
      <c r="BI15" s="359"/>
    </row>
    <row r="16" spans="1:61" s="3" customFormat="1" ht="21" customHeight="1">
      <c r="A16" s="786">
        <v>10</v>
      </c>
      <c r="B16" s="786"/>
      <c r="C16" s="787">
        <f>IF($C$5=☆入力!$B$15,☆入力!$B25,☆入力!$C25)</f>
        <v>0</v>
      </c>
      <c r="D16" s="788"/>
      <c r="E16" s="788"/>
      <c r="F16" s="789"/>
      <c r="G16" s="790">
        <f>☆入力!D25</f>
        <v>0</v>
      </c>
      <c r="H16" s="790"/>
      <c r="I16" s="790"/>
      <c r="J16" s="790"/>
      <c r="K16" s="796">
        <f>☆入力!Y25</f>
        <v>0</v>
      </c>
      <c r="L16" s="796"/>
      <c r="M16" s="796"/>
      <c r="N16" s="796"/>
      <c r="O16" s="893" t="s">
        <v>305</v>
      </c>
      <c r="P16" s="894"/>
      <c r="Q16" s="796">
        <f>☆入力!AC25</f>
        <v>0</v>
      </c>
      <c r="R16" s="796"/>
      <c r="S16" s="796"/>
      <c r="T16" s="796"/>
      <c r="U16" s="896" t="str">
        <f t="shared" si="0"/>
        <v/>
      </c>
      <c r="V16" s="896"/>
      <c r="W16" s="896"/>
      <c r="Y16" s="62"/>
      <c r="AA16" s="804"/>
      <c r="AB16" s="804"/>
      <c r="AC16" s="804"/>
      <c r="AD16" s="804"/>
      <c r="AE16" s="804"/>
      <c r="AF16" s="804"/>
      <c r="AG16" s="804"/>
      <c r="AH16" s="804"/>
      <c r="AI16" s="804"/>
      <c r="AJ16" s="804"/>
      <c r="AK16" s="804"/>
      <c r="AL16" s="804"/>
      <c r="AM16" s="804"/>
      <c r="AN16" s="804"/>
      <c r="AO16" s="804"/>
      <c r="AP16" s="804"/>
      <c r="AQ16" s="804"/>
      <c r="AR16" s="804"/>
      <c r="AS16" s="804"/>
      <c r="AT16" s="804"/>
      <c r="AU16" s="804"/>
      <c r="AV16" s="804"/>
      <c r="BA16" s="359"/>
      <c r="BB16" s="359"/>
      <c r="BC16" s="359"/>
      <c r="BD16" s="359"/>
      <c r="BE16" s="359"/>
      <c r="BF16" s="359"/>
      <c r="BG16" s="359"/>
      <c r="BH16" s="359"/>
      <c r="BI16" s="359"/>
    </row>
    <row r="17" spans="1:61" s="3" customFormat="1" ht="21" customHeight="1" thickBot="1">
      <c r="A17" s="786">
        <v>11</v>
      </c>
      <c r="B17" s="786"/>
      <c r="C17" s="787">
        <f>IF($C$5=☆入力!$B$15,☆入力!$B26,☆入力!$C26)</f>
        <v>0</v>
      </c>
      <c r="D17" s="788"/>
      <c r="E17" s="788"/>
      <c r="F17" s="789"/>
      <c r="G17" s="790">
        <f>☆入力!D26</f>
        <v>0</v>
      </c>
      <c r="H17" s="790"/>
      <c r="I17" s="790"/>
      <c r="J17" s="790"/>
      <c r="K17" s="796">
        <f>☆入力!Y26</f>
        <v>0</v>
      </c>
      <c r="L17" s="796"/>
      <c r="M17" s="796"/>
      <c r="N17" s="796"/>
      <c r="O17" s="893" t="s">
        <v>305</v>
      </c>
      <c r="P17" s="894"/>
      <c r="Q17" s="796">
        <f>☆入力!AC26</f>
        <v>0</v>
      </c>
      <c r="R17" s="796"/>
      <c r="S17" s="796"/>
      <c r="T17" s="796"/>
      <c r="U17" s="896" t="str">
        <f t="shared" si="0"/>
        <v/>
      </c>
      <c r="V17" s="896"/>
      <c r="W17" s="896"/>
      <c r="Y17" s="62"/>
    </row>
    <row r="18" spans="1:61" s="3" customFormat="1" ht="21" customHeight="1" thickTop="1">
      <c r="A18" s="786">
        <v>12</v>
      </c>
      <c r="B18" s="786"/>
      <c r="C18" s="787">
        <f>IF($C$5=☆入力!$B$15,☆入力!$B27,☆入力!$C27)</f>
        <v>0</v>
      </c>
      <c r="D18" s="788"/>
      <c r="E18" s="788"/>
      <c r="F18" s="789"/>
      <c r="G18" s="790">
        <f>☆入力!D27</f>
        <v>0</v>
      </c>
      <c r="H18" s="790"/>
      <c r="I18" s="790"/>
      <c r="J18" s="790"/>
      <c r="K18" s="796">
        <f>☆入力!Y27</f>
        <v>0</v>
      </c>
      <c r="L18" s="796"/>
      <c r="M18" s="796"/>
      <c r="N18" s="796"/>
      <c r="O18" s="893" t="s">
        <v>305</v>
      </c>
      <c r="P18" s="894"/>
      <c r="Q18" s="796">
        <f>☆入力!AC27</f>
        <v>0</v>
      </c>
      <c r="R18" s="796"/>
      <c r="S18" s="796"/>
      <c r="T18" s="796"/>
      <c r="U18" s="896" t="str">
        <f t="shared" si="0"/>
        <v/>
      </c>
      <c r="V18" s="896"/>
      <c r="W18" s="896"/>
      <c r="Y18" s="62"/>
      <c r="AA18" s="920">
        <f>②前!$AS$13</f>
        <v>0</v>
      </c>
      <c r="AB18" s="921"/>
      <c r="AC18" s="921"/>
      <c r="AD18" s="921"/>
      <c r="AE18" s="921"/>
      <c r="AF18" s="921"/>
      <c r="AG18" s="921"/>
      <c r="AH18" s="921"/>
      <c r="AI18" s="922"/>
      <c r="AJ18" s="939" t="s">
        <v>306</v>
      </c>
      <c r="AK18" s="935"/>
      <c r="AL18" s="935"/>
      <c r="AM18" s="940"/>
      <c r="AN18" s="947">
        <f>③後!AS13</f>
        <v>0</v>
      </c>
      <c r="AO18" s="948"/>
      <c r="AP18" s="948"/>
      <c r="AQ18" s="948"/>
      <c r="AR18" s="948"/>
      <c r="AS18" s="948"/>
      <c r="AT18" s="948"/>
      <c r="AU18" s="948"/>
      <c r="AV18" s="949"/>
      <c r="AW18" s="934" t="s">
        <v>307</v>
      </c>
      <c r="AX18" s="935"/>
      <c r="AY18" s="935"/>
      <c r="AZ18" s="936"/>
      <c r="BA18" s="961">
        <f>AA18-AN18</f>
        <v>0</v>
      </c>
      <c r="BB18" s="962"/>
      <c r="BC18" s="962"/>
      <c r="BD18" s="962"/>
      <c r="BE18" s="962"/>
      <c r="BF18" s="962"/>
      <c r="BG18" s="962"/>
      <c r="BH18" s="962"/>
      <c r="BI18" s="963"/>
    </row>
    <row r="19" spans="1:61" s="3" customFormat="1" ht="21" customHeight="1" thickBot="1">
      <c r="A19" s="786">
        <v>13</v>
      </c>
      <c r="B19" s="786"/>
      <c r="C19" s="787">
        <f>IF($C$5=☆入力!$B$15,☆入力!$B28,☆入力!$C28)</f>
        <v>0</v>
      </c>
      <c r="D19" s="788"/>
      <c r="E19" s="788"/>
      <c r="F19" s="789"/>
      <c r="G19" s="790">
        <f>☆入力!D28</f>
        <v>0</v>
      </c>
      <c r="H19" s="790"/>
      <c r="I19" s="790"/>
      <c r="J19" s="790"/>
      <c r="K19" s="796">
        <f>☆入力!Y28</f>
        <v>0</v>
      </c>
      <c r="L19" s="796"/>
      <c r="M19" s="796"/>
      <c r="N19" s="796"/>
      <c r="O19" s="893" t="s">
        <v>305</v>
      </c>
      <c r="P19" s="894"/>
      <c r="Q19" s="796">
        <f>☆入力!AC28</f>
        <v>0</v>
      </c>
      <c r="R19" s="796"/>
      <c r="S19" s="796"/>
      <c r="T19" s="796"/>
      <c r="U19" s="896" t="str">
        <f t="shared" si="0"/>
        <v/>
      </c>
      <c r="V19" s="896"/>
      <c r="W19" s="896"/>
      <c r="Y19" s="62"/>
      <c r="AA19" s="923"/>
      <c r="AB19" s="924"/>
      <c r="AC19" s="924"/>
      <c r="AD19" s="924"/>
      <c r="AE19" s="924"/>
      <c r="AF19" s="924"/>
      <c r="AG19" s="924"/>
      <c r="AH19" s="924"/>
      <c r="AI19" s="925"/>
      <c r="AJ19" s="939"/>
      <c r="AK19" s="935"/>
      <c r="AL19" s="935"/>
      <c r="AM19" s="940"/>
      <c r="AN19" s="950"/>
      <c r="AO19" s="951"/>
      <c r="AP19" s="951"/>
      <c r="AQ19" s="951"/>
      <c r="AR19" s="951"/>
      <c r="AS19" s="951"/>
      <c r="AT19" s="951"/>
      <c r="AU19" s="951"/>
      <c r="AV19" s="952"/>
      <c r="AW19" s="934"/>
      <c r="AX19" s="935"/>
      <c r="AY19" s="935"/>
      <c r="AZ19" s="936"/>
      <c r="BA19" s="964"/>
      <c r="BB19" s="965"/>
      <c r="BC19" s="965"/>
      <c r="BD19" s="965"/>
      <c r="BE19" s="965"/>
      <c r="BF19" s="965"/>
      <c r="BG19" s="965"/>
      <c r="BH19" s="965"/>
      <c r="BI19" s="966"/>
    </row>
    <row r="20" spans="1:61" s="3" customFormat="1" ht="21" customHeight="1" thickTop="1">
      <c r="A20" s="786">
        <v>14</v>
      </c>
      <c r="B20" s="786"/>
      <c r="C20" s="787">
        <f>IF($C$5=☆入力!$B$15,☆入力!$B29,☆入力!$C29)</f>
        <v>0</v>
      </c>
      <c r="D20" s="788"/>
      <c r="E20" s="788"/>
      <c r="F20" s="789"/>
      <c r="G20" s="790">
        <f>☆入力!D29</f>
        <v>0</v>
      </c>
      <c r="H20" s="790"/>
      <c r="I20" s="790"/>
      <c r="J20" s="790"/>
      <c r="K20" s="796">
        <f>☆入力!Y29</f>
        <v>0</v>
      </c>
      <c r="L20" s="796"/>
      <c r="M20" s="796"/>
      <c r="N20" s="796"/>
      <c r="O20" s="893" t="s">
        <v>305</v>
      </c>
      <c r="P20" s="894"/>
      <c r="Q20" s="796">
        <f>☆入力!AC29</f>
        <v>0</v>
      </c>
      <c r="R20" s="796"/>
      <c r="S20" s="796"/>
      <c r="T20" s="796"/>
      <c r="U20" s="896" t="str">
        <f t="shared" si="0"/>
        <v/>
      </c>
      <c r="V20" s="896"/>
      <c r="W20" s="896"/>
      <c r="Y20" s="62"/>
      <c r="AA20" s="355"/>
      <c r="AB20" s="355"/>
      <c r="AC20" s="355"/>
      <c r="AD20" s="355"/>
      <c r="AE20" s="355"/>
      <c r="AF20" s="355"/>
      <c r="AG20" s="355"/>
      <c r="AH20" s="355"/>
      <c r="AI20" s="355"/>
      <c r="AJ20" s="356"/>
      <c r="AK20" s="356"/>
      <c r="AL20" s="356"/>
      <c r="AM20" s="356"/>
      <c r="AN20" s="357"/>
      <c r="AO20" s="357"/>
      <c r="AP20" s="357"/>
      <c r="AQ20" s="357"/>
      <c r="AR20" s="357"/>
      <c r="AS20" s="357"/>
      <c r="AT20" s="357"/>
      <c r="AU20" s="357"/>
      <c r="AV20" s="357"/>
      <c r="AW20" s="356"/>
      <c r="AX20" s="356"/>
      <c r="AY20" s="356"/>
      <c r="AZ20" s="356"/>
      <c r="BA20" s="358"/>
      <c r="BB20" s="358"/>
      <c r="BC20" s="358"/>
      <c r="BD20" s="358"/>
      <c r="BE20" s="358"/>
      <c r="BF20" s="358"/>
      <c r="BG20" s="358"/>
      <c r="BH20" s="358"/>
      <c r="BI20" s="358"/>
    </row>
    <row r="21" spans="1:61" s="3" customFormat="1" ht="21" customHeight="1">
      <c r="A21" s="786">
        <v>15</v>
      </c>
      <c r="B21" s="786"/>
      <c r="C21" s="787">
        <f>IF($C$5=☆入力!$B$15,☆入力!$B30,☆入力!$C30)</f>
        <v>0</v>
      </c>
      <c r="D21" s="788"/>
      <c r="E21" s="788"/>
      <c r="F21" s="789"/>
      <c r="G21" s="790">
        <f>☆入力!D30</f>
        <v>0</v>
      </c>
      <c r="H21" s="790"/>
      <c r="I21" s="790"/>
      <c r="J21" s="790"/>
      <c r="K21" s="796">
        <f>☆入力!Y30</f>
        <v>0</v>
      </c>
      <c r="L21" s="796"/>
      <c r="M21" s="796"/>
      <c r="N21" s="796"/>
      <c r="O21" s="893" t="s">
        <v>305</v>
      </c>
      <c r="P21" s="894"/>
      <c r="Q21" s="796">
        <f>☆入力!AC30</f>
        <v>0</v>
      </c>
      <c r="R21" s="796"/>
      <c r="S21" s="796"/>
      <c r="T21" s="796"/>
      <c r="U21" s="896" t="str">
        <f t="shared" si="0"/>
        <v/>
      </c>
      <c r="V21" s="896"/>
      <c r="W21" s="896"/>
      <c r="Y21" s="62"/>
    </row>
    <row r="22" spans="1:61" s="3" customFormat="1" ht="21" customHeight="1">
      <c r="A22" s="786">
        <v>16</v>
      </c>
      <c r="B22" s="786"/>
      <c r="C22" s="787">
        <f>IF($C$5=☆入力!$B$15,☆入力!$B31,☆入力!$C31)</f>
        <v>0</v>
      </c>
      <c r="D22" s="788"/>
      <c r="E22" s="788"/>
      <c r="F22" s="789"/>
      <c r="G22" s="790">
        <f>☆入力!D31</f>
        <v>0</v>
      </c>
      <c r="H22" s="790"/>
      <c r="I22" s="790"/>
      <c r="J22" s="790"/>
      <c r="K22" s="796">
        <f>☆入力!Y31</f>
        <v>0</v>
      </c>
      <c r="L22" s="796"/>
      <c r="M22" s="796"/>
      <c r="N22" s="796"/>
      <c r="O22" s="893" t="s">
        <v>305</v>
      </c>
      <c r="P22" s="894"/>
      <c r="Q22" s="796">
        <f>☆入力!AC31</f>
        <v>0</v>
      </c>
      <c r="R22" s="796"/>
      <c r="S22" s="796"/>
      <c r="T22" s="796"/>
      <c r="U22" s="896" t="str">
        <f t="shared" si="0"/>
        <v/>
      </c>
      <c r="V22" s="896"/>
      <c r="W22" s="896"/>
      <c r="Y22" s="62"/>
    </row>
    <row r="23" spans="1:61" s="3" customFormat="1" ht="21" customHeight="1">
      <c r="A23" s="786">
        <v>17</v>
      </c>
      <c r="B23" s="786"/>
      <c r="C23" s="787">
        <f>IF($C$5=☆入力!$B$15,☆入力!$B32,☆入力!$C32)</f>
        <v>0</v>
      </c>
      <c r="D23" s="788"/>
      <c r="E23" s="788"/>
      <c r="F23" s="789"/>
      <c r="G23" s="790">
        <f>☆入力!D32</f>
        <v>0</v>
      </c>
      <c r="H23" s="790"/>
      <c r="I23" s="790"/>
      <c r="J23" s="790"/>
      <c r="K23" s="796">
        <f>☆入力!Y32</f>
        <v>0</v>
      </c>
      <c r="L23" s="796"/>
      <c r="M23" s="796"/>
      <c r="N23" s="796"/>
      <c r="O23" s="893" t="s">
        <v>305</v>
      </c>
      <c r="P23" s="894"/>
      <c r="Q23" s="796">
        <f>☆入力!AC32</f>
        <v>0</v>
      </c>
      <c r="R23" s="796"/>
      <c r="S23" s="796"/>
      <c r="T23" s="796"/>
      <c r="U23" s="896" t="str">
        <f t="shared" si="0"/>
        <v/>
      </c>
      <c r="V23" s="896"/>
      <c r="W23" s="896"/>
      <c r="Y23" s="62"/>
    </row>
    <row r="24" spans="1:61" s="3" customFormat="1" ht="21" customHeight="1">
      <c r="A24" s="786">
        <v>18</v>
      </c>
      <c r="B24" s="786"/>
      <c r="C24" s="787">
        <f>IF($C$5=☆入力!$B$15,☆入力!$B33,☆入力!$C33)</f>
        <v>0</v>
      </c>
      <c r="D24" s="788"/>
      <c r="E24" s="788"/>
      <c r="F24" s="789"/>
      <c r="G24" s="790">
        <f>☆入力!D33</f>
        <v>0</v>
      </c>
      <c r="H24" s="790"/>
      <c r="I24" s="790"/>
      <c r="J24" s="790"/>
      <c r="K24" s="796">
        <f>☆入力!Y33</f>
        <v>0</v>
      </c>
      <c r="L24" s="796"/>
      <c r="M24" s="796"/>
      <c r="N24" s="796"/>
      <c r="O24" s="893" t="s">
        <v>305</v>
      </c>
      <c r="P24" s="894"/>
      <c r="Q24" s="796">
        <f>☆入力!AC33</f>
        <v>0</v>
      </c>
      <c r="R24" s="796"/>
      <c r="S24" s="796"/>
      <c r="T24" s="796"/>
      <c r="U24" s="896" t="str">
        <f t="shared" si="0"/>
        <v/>
      </c>
      <c r="V24" s="896"/>
      <c r="W24" s="896"/>
      <c r="Y24" s="62"/>
    </row>
    <row r="25" spans="1:61" s="3" customFormat="1" ht="21" customHeight="1">
      <c r="A25" s="786">
        <v>19</v>
      </c>
      <c r="B25" s="786"/>
      <c r="C25" s="787">
        <f>IF($C$5=☆入力!$B$15,☆入力!$B34,☆入力!$C34)</f>
        <v>0</v>
      </c>
      <c r="D25" s="788"/>
      <c r="E25" s="788"/>
      <c r="F25" s="789"/>
      <c r="G25" s="790">
        <f>☆入力!D34</f>
        <v>0</v>
      </c>
      <c r="H25" s="790"/>
      <c r="I25" s="790"/>
      <c r="J25" s="790"/>
      <c r="K25" s="796">
        <f>☆入力!Y34</f>
        <v>0</v>
      </c>
      <c r="L25" s="796"/>
      <c r="M25" s="796"/>
      <c r="N25" s="796"/>
      <c r="O25" s="893" t="s">
        <v>305</v>
      </c>
      <c r="P25" s="894"/>
      <c r="Q25" s="796">
        <f>☆入力!AC34</f>
        <v>0</v>
      </c>
      <c r="R25" s="796"/>
      <c r="S25" s="796"/>
      <c r="T25" s="796"/>
      <c r="U25" s="896" t="str">
        <f t="shared" si="0"/>
        <v/>
      </c>
      <c r="V25" s="896"/>
      <c r="W25" s="896"/>
      <c r="Y25" s="62"/>
    </row>
    <row r="26" spans="1:61" s="3" customFormat="1" ht="21" customHeight="1">
      <c r="A26" s="786">
        <v>20</v>
      </c>
      <c r="B26" s="786"/>
      <c r="C26" s="787">
        <f>IF($C$5=☆入力!$B$15,☆入力!$B35,☆入力!$C35)</f>
        <v>0</v>
      </c>
      <c r="D26" s="788"/>
      <c r="E26" s="788"/>
      <c r="F26" s="789"/>
      <c r="G26" s="790">
        <f>☆入力!D35</f>
        <v>0</v>
      </c>
      <c r="H26" s="790"/>
      <c r="I26" s="790"/>
      <c r="J26" s="790"/>
      <c r="K26" s="796">
        <f>☆入力!Y35</f>
        <v>0</v>
      </c>
      <c r="L26" s="796"/>
      <c r="M26" s="796"/>
      <c r="N26" s="796"/>
      <c r="O26" s="893" t="s">
        <v>305</v>
      </c>
      <c r="P26" s="894"/>
      <c r="Q26" s="796">
        <f>☆入力!AC35</f>
        <v>0</v>
      </c>
      <c r="R26" s="796"/>
      <c r="S26" s="796"/>
      <c r="T26" s="796"/>
      <c r="U26" s="896" t="str">
        <f t="shared" si="0"/>
        <v/>
      </c>
      <c r="V26" s="896"/>
      <c r="W26" s="896"/>
      <c r="Y26" s="62"/>
    </row>
    <row r="27" spans="1:61" s="3" customFormat="1" ht="21" customHeight="1">
      <c r="A27" s="786">
        <v>21</v>
      </c>
      <c r="B27" s="786"/>
      <c r="C27" s="787">
        <f>IF($C$5=☆入力!$B$15,☆入力!$B36,☆入力!$C36)</f>
        <v>0</v>
      </c>
      <c r="D27" s="788"/>
      <c r="E27" s="788"/>
      <c r="F27" s="789"/>
      <c r="G27" s="790">
        <f>☆入力!D36</f>
        <v>0</v>
      </c>
      <c r="H27" s="790"/>
      <c r="I27" s="790"/>
      <c r="J27" s="790"/>
      <c r="K27" s="796">
        <f>☆入力!Y36</f>
        <v>0</v>
      </c>
      <c r="L27" s="796"/>
      <c r="M27" s="796"/>
      <c r="N27" s="796"/>
      <c r="O27" s="893" t="s">
        <v>305</v>
      </c>
      <c r="P27" s="894"/>
      <c r="Q27" s="796">
        <f>☆入力!AC36</f>
        <v>0</v>
      </c>
      <c r="R27" s="796"/>
      <c r="S27" s="796"/>
      <c r="T27" s="796"/>
      <c r="U27" s="896" t="str">
        <f t="shared" si="0"/>
        <v/>
      </c>
      <c r="V27" s="896"/>
      <c r="W27" s="896"/>
      <c r="Y27" s="62"/>
      <c r="AA27" s="935" t="s">
        <v>310</v>
      </c>
      <c r="AB27" s="935"/>
      <c r="AC27" s="935"/>
      <c r="AD27" s="935"/>
      <c r="AE27" s="935"/>
      <c r="AF27" s="935"/>
      <c r="AG27" s="935"/>
      <c r="AH27" s="935"/>
      <c r="AI27" s="935"/>
      <c r="AJ27" s="935"/>
      <c r="AK27" s="935"/>
      <c r="AL27" s="935"/>
      <c r="AM27" s="935"/>
      <c r="AN27" s="935"/>
      <c r="AO27" s="935"/>
      <c r="AP27" s="935"/>
      <c r="AQ27" s="935"/>
      <c r="AR27" s="935"/>
      <c r="AS27" s="935"/>
      <c r="AT27" s="935"/>
      <c r="AU27" s="935"/>
      <c r="AV27" s="935"/>
      <c r="AW27" s="935"/>
      <c r="AX27" s="935"/>
      <c r="AY27" s="935"/>
      <c r="AZ27" s="935"/>
      <c r="BA27" s="935"/>
      <c r="BB27" s="935"/>
      <c r="BC27" s="935"/>
      <c r="BD27" s="935"/>
      <c r="BE27" s="935"/>
      <c r="BF27" s="935"/>
      <c r="BG27" s="935"/>
      <c r="BH27" s="935"/>
      <c r="BI27" s="935"/>
    </row>
    <row r="28" spans="1:61" s="3" customFormat="1" ht="21" customHeight="1" thickBot="1">
      <c r="A28" s="786">
        <v>22</v>
      </c>
      <c r="B28" s="786"/>
      <c r="C28" s="787">
        <f>IF($C$5=☆入力!$B$15,☆入力!$B37,☆入力!$C37)</f>
        <v>0</v>
      </c>
      <c r="D28" s="788"/>
      <c r="E28" s="788"/>
      <c r="F28" s="789"/>
      <c r="G28" s="790">
        <f>☆入力!D37</f>
        <v>0</v>
      </c>
      <c r="H28" s="790"/>
      <c r="I28" s="790"/>
      <c r="J28" s="790"/>
      <c r="K28" s="796">
        <f>☆入力!Y37</f>
        <v>0</v>
      </c>
      <c r="L28" s="796"/>
      <c r="M28" s="796"/>
      <c r="N28" s="796"/>
      <c r="O28" s="893" t="s">
        <v>305</v>
      </c>
      <c r="P28" s="894"/>
      <c r="Q28" s="796">
        <f>☆入力!AC37</f>
        <v>0</v>
      </c>
      <c r="R28" s="796"/>
      <c r="S28" s="796"/>
      <c r="T28" s="796"/>
      <c r="U28" s="896" t="str">
        <f t="shared" si="0"/>
        <v/>
      </c>
      <c r="V28" s="896"/>
      <c r="W28" s="896"/>
      <c r="Y28" s="62"/>
      <c r="AA28" s="935"/>
      <c r="AB28" s="935"/>
      <c r="AC28" s="935"/>
      <c r="AD28" s="935"/>
      <c r="AE28" s="935"/>
      <c r="AF28" s="935"/>
      <c r="AG28" s="935"/>
      <c r="AH28" s="935"/>
      <c r="AI28" s="935"/>
      <c r="AJ28" s="935"/>
      <c r="AK28" s="935"/>
      <c r="AL28" s="935"/>
      <c r="AM28" s="935"/>
      <c r="AN28" s="935"/>
      <c r="AO28" s="935"/>
      <c r="AP28" s="935"/>
      <c r="AQ28" s="935"/>
      <c r="AR28" s="935"/>
      <c r="AS28" s="935"/>
      <c r="AT28" s="935"/>
      <c r="AU28" s="935"/>
      <c r="AV28" s="935"/>
      <c r="AW28" s="935"/>
      <c r="AX28" s="935"/>
      <c r="AY28" s="935"/>
      <c r="AZ28" s="935"/>
      <c r="BA28" s="935"/>
      <c r="BB28" s="935"/>
      <c r="BC28" s="935"/>
      <c r="BD28" s="935"/>
      <c r="BE28" s="935"/>
      <c r="BF28" s="935"/>
      <c r="BG28" s="935"/>
      <c r="BH28" s="935"/>
      <c r="BI28" s="935"/>
    </row>
    <row r="29" spans="1:61" s="3" customFormat="1" ht="21" customHeight="1" thickTop="1">
      <c r="A29" s="786">
        <v>23</v>
      </c>
      <c r="B29" s="786"/>
      <c r="C29" s="787">
        <f>IF($C$5=☆入力!$B$15,☆入力!$B38,☆入力!$C38)</f>
        <v>0</v>
      </c>
      <c r="D29" s="788"/>
      <c r="E29" s="788"/>
      <c r="F29" s="789"/>
      <c r="G29" s="790">
        <f>☆入力!D38</f>
        <v>0</v>
      </c>
      <c r="H29" s="790"/>
      <c r="I29" s="790"/>
      <c r="J29" s="790"/>
      <c r="K29" s="796">
        <f>☆入力!Y38</f>
        <v>0</v>
      </c>
      <c r="L29" s="796"/>
      <c r="M29" s="796"/>
      <c r="N29" s="796"/>
      <c r="O29" s="893" t="s">
        <v>305</v>
      </c>
      <c r="P29" s="894"/>
      <c r="Q29" s="796">
        <f>☆入力!AC38</f>
        <v>0</v>
      </c>
      <c r="R29" s="796"/>
      <c r="S29" s="796"/>
      <c r="T29" s="796"/>
      <c r="U29" s="896" t="str">
        <f t="shared" si="0"/>
        <v/>
      </c>
      <c r="V29" s="896"/>
      <c r="W29" s="896"/>
      <c r="Y29" s="62"/>
      <c r="AA29" s="821">
        <f>AA9+AA18</f>
        <v>0</v>
      </c>
      <c r="AB29" s="822"/>
      <c r="AC29" s="822"/>
      <c r="AD29" s="822"/>
      <c r="AE29" s="822"/>
      <c r="AF29" s="822"/>
      <c r="AG29" s="822"/>
      <c r="AH29" s="822"/>
      <c r="AI29" s="823"/>
      <c r="AJ29" s="939" t="s">
        <v>306</v>
      </c>
      <c r="AK29" s="935"/>
      <c r="AL29" s="935"/>
      <c r="AM29" s="940"/>
      <c r="AN29" s="857">
        <f>AN9+AN18</f>
        <v>0</v>
      </c>
      <c r="AO29" s="858"/>
      <c r="AP29" s="858"/>
      <c r="AQ29" s="858"/>
      <c r="AR29" s="858"/>
      <c r="AS29" s="858"/>
      <c r="AT29" s="858"/>
      <c r="AU29" s="858"/>
      <c r="AV29" s="859"/>
      <c r="AW29" s="934" t="s">
        <v>307</v>
      </c>
      <c r="AX29" s="935"/>
      <c r="AY29" s="935"/>
      <c r="AZ29" s="936"/>
      <c r="BA29" s="928">
        <f>AA29-AN29</f>
        <v>0</v>
      </c>
      <c r="BB29" s="929"/>
      <c r="BC29" s="929"/>
      <c r="BD29" s="929"/>
      <c r="BE29" s="929"/>
      <c r="BF29" s="929"/>
      <c r="BG29" s="929"/>
      <c r="BH29" s="929"/>
      <c r="BI29" s="930"/>
    </row>
    <row r="30" spans="1:61" s="3" customFormat="1" ht="21" customHeight="1" thickBot="1">
      <c r="A30" s="908">
        <v>24</v>
      </c>
      <c r="B30" s="908"/>
      <c r="C30" s="909">
        <f>IF($C$5=☆入力!$B$15,☆入力!$B39,☆入力!$C39)</f>
        <v>0</v>
      </c>
      <c r="D30" s="910"/>
      <c r="E30" s="910"/>
      <c r="F30" s="911"/>
      <c r="G30" s="912">
        <f>☆入力!D39</f>
        <v>0</v>
      </c>
      <c r="H30" s="912"/>
      <c r="I30" s="912"/>
      <c r="J30" s="912"/>
      <c r="K30" s="913">
        <f>☆入力!Y39</f>
        <v>0</v>
      </c>
      <c r="L30" s="913"/>
      <c r="M30" s="913"/>
      <c r="N30" s="913"/>
      <c r="O30" s="893" t="s">
        <v>305</v>
      </c>
      <c r="P30" s="894"/>
      <c r="Q30" s="913">
        <f>☆入力!AC39</f>
        <v>0</v>
      </c>
      <c r="R30" s="913"/>
      <c r="S30" s="913"/>
      <c r="T30" s="913"/>
      <c r="U30" s="927" t="str">
        <f t="shared" si="0"/>
        <v/>
      </c>
      <c r="V30" s="927"/>
      <c r="W30" s="927"/>
      <c r="Y30" s="62"/>
      <c r="AA30" s="824"/>
      <c r="AB30" s="825"/>
      <c r="AC30" s="825"/>
      <c r="AD30" s="825"/>
      <c r="AE30" s="825"/>
      <c r="AF30" s="825"/>
      <c r="AG30" s="825"/>
      <c r="AH30" s="825"/>
      <c r="AI30" s="826"/>
      <c r="AJ30" s="939"/>
      <c r="AK30" s="935"/>
      <c r="AL30" s="935"/>
      <c r="AM30" s="940"/>
      <c r="AN30" s="860"/>
      <c r="AO30" s="861"/>
      <c r="AP30" s="861"/>
      <c r="AQ30" s="861"/>
      <c r="AR30" s="861"/>
      <c r="AS30" s="861"/>
      <c r="AT30" s="861"/>
      <c r="AU30" s="861"/>
      <c r="AV30" s="862"/>
      <c r="AW30" s="934"/>
      <c r="AX30" s="935"/>
      <c r="AY30" s="935"/>
      <c r="AZ30" s="936"/>
      <c r="BA30" s="931"/>
      <c r="BB30" s="932"/>
      <c r="BC30" s="932"/>
      <c r="BD30" s="932"/>
      <c r="BE30" s="932"/>
      <c r="BF30" s="932"/>
      <c r="BG30" s="932"/>
      <c r="BH30" s="932"/>
      <c r="BI30" s="933"/>
    </row>
    <row r="31" spans="1:61" s="3" customFormat="1" ht="21" customHeight="1" thickTop="1">
      <c r="A31" s="786">
        <v>25</v>
      </c>
      <c r="B31" s="786"/>
      <c r="C31" s="787">
        <f>IF($C$5=☆入力!$B$15,☆入力!$B40,☆入力!$C40)</f>
        <v>0</v>
      </c>
      <c r="D31" s="788"/>
      <c r="E31" s="788"/>
      <c r="F31" s="789"/>
      <c r="G31" s="790">
        <f>☆入力!D40</f>
        <v>0</v>
      </c>
      <c r="H31" s="790"/>
      <c r="I31" s="790"/>
      <c r="J31" s="790"/>
      <c r="K31" s="796">
        <f>☆入力!Y40</f>
        <v>0</v>
      </c>
      <c r="L31" s="796"/>
      <c r="M31" s="796"/>
      <c r="N31" s="796"/>
      <c r="O31" s="893" t="s">
        <v>305</v>
      </c>
      <c r="P31" s="894"/>
      <c r="Q31" s="796">
        <f>☆入力!AC40</f>
        <v>0</v>
      </c>
      <c r="R31" s="796"/>
      <c r="S31" s="796"/>
      <c r="T31" s="796"/>
      <c r="U31" s="896" t="str">
        <f t="shared" si="0"/>
        <v/>
      </c>
      <c r="V31" s="896"/>
      <c r="W31" s="896"/>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786">
        <v>26</v>
      </c>
      <c r="B32" s="786"/>
      <c r="C32" s="787">
        <f>IF($C$5=☆入力!$B$15,☆入力!$B41,☆入力!$C41)</f>
        <v>0</v>
      </c>
      <c r="D32" s="788"/>
      <c r="E32" s="788"/>
      <c r="F32" s="789"/>
      <c r="G32" s="790">
        <f>☆入力!D41</f>
        <v>0</v>
      </c>
      <c r="H32" s="790"/>
      <c r="I32" s="790"/>
      <c r="J32" s="790"/>
      <c r="K32" s="796">
        <f>☆入力!Y41</f>
        <v>0</v>
      </c>
      <c r="L32" s="796"/>
      <c r="M32" s="796"/>
      <c r="N32" s="796"/>
      <c r="O32" s="893" t="s">
        <v>305</v>
      </c>
      <c r="P32" s="894"/>
      <c r="Q32" s="796">
        <f>☆入力!AC41</f>
        <v>0</v>
      </c>
      <c r="R32" s="796"/>
      <c r="S32" s="796"/>
      <c r="T32" s="796"/>
      <c r="U32" s="896" t="str">
        <f>IFERROR(100%-(Q32/K32),"")</f>
        <v/>
      </c>
      <c r="V32" s="896"/>
      <c r="W32" s="896"/>
      <c r="Y32" s="62"/>
      <c r="Z32" s="13" t="s">
        <v>311</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786">
        <v>27</v>
      </c>
      <c r="B33" s="786"/>
      <c r="C33" s="787">
        <f>IF($C$5=☆入力!$B$15,☆入力!$B42,☆入力!$C42)</f>
        <v>0</v>
      </c>
      <c r="D33" s="788"/>
      <c r="E33" s="788"/>
      <c r="F33" s="789"/>
      <c r="G33" s="790">
        <f>☆入力!D42</f>
        <v>0</v>
      </c>
      <c r="H33" s="790"/>
      <c r="I33" s="790"/>
      <c r="J33" s="790"/>
      <c r="K33" s="796">
        <f>☆入力!Y42</f>
        <v>0</v>
      </c>
      <c r="L33" s="796"/>
      <c r="M33" s="796"/>
      <c r="N33" s="796"/>
      <c r="O33" s="893" t="s">
        <v>305</v>
      </c>
      <c r="P33" s="894"/>
      <c r="Q33" s="796">
        <f>☆入力!AC42</f>
        <v>0</v>
      </c>
      <c r="R33" s="796"/>
      <c r="S33" s="796"/>
      <c r="T33" s="796"/>
      <c r="U33" s="896" t="str">
        <f>IFERROR(100%-(Q33/K33),"")</f>
        <v/>
      </c>
      <c r="V33" s="896"/>
      <c r="W33" s="896"/>
      <c r="Y33" s="62"/>
      <c r="Z33" s="890">
        <f>☆入力!X2</f>
        <v>0</v>
      </c>
      <c r="AA33" s="891"/>
      <c r="AB33" s="891"/>
      <c r="AC33" s="891"/>
      <c r="AD33" s="891"/>
      <c r="AE33" s="891"/>
      <c r="AF33" s="891"/>
      <c r="AG33" s="891"/>
      <c r="AH33" s="891"/>
      <c r="AI33" s="891"/>
      <c r="AJ33" s="891"/>
      <c r="AK33" s="891"/>
      <c r="AL33" s="891"/>
      <c r="AM33" s="891"/>
      <c r="AN33" s="891"/>
      <c r="AO33" s="891"/>
      <c r="AP33" s="891"/>
      <c r="AQ33" s="891"/>
      <c r="AR33" s="891"/>
      <c r="AS33" s="891"/>
      <c r="AT33" s="891"/>
      <c r="AU33" s="891"/>
      <c r="AV33" s="891"/>
      <c r="AW33" s="891"/>
      <c r="AX33" s="891"/>
      <c r="AY33" s="891"/>
      <c r="AZ33" s="891"/>
      <c r="BA33" s="891"/>
      <c r="BB33" s="891"/>
      <c r="BC33" s="891"/>
      <c r="BD33" s="891"/>
      <c r="BE33" s="891"/>
      <c r="BF33" s="891"/>
      <c r="BG33" s="891"/>
      <c r="BH33" s="891"/>
      <c r="BI33" s="892"/>
    </row>
    <row r="34" spans="1:61" s="3" customFormat="1" ht="21" customHeight="1">
      <c r="A34" s="786">
        <v>28</v>
      </c>
      <c r="B34" s="786"/>
      <c r="C34" s="787">
        <f>IF($C$5=☆入力!$B$15,☆入力!$B43,☆入力!$C43)</f>
        <v>0</v>
      </c>
      <c r="D34" s="788"/>
      <c r="E34" s="788"/>
      <c r="F34" s="789"/>
      <c r="G34" s="790">
        <f>☆入力!D43</f>
        <v>0</v>
      </c>
      <c r="H34" s="790"/>
      <c r="I34" s="790"/>
      <c r="J34" s="790"/>
      <c r="K34" s="796">
        <f>☆入力!Y43</f>
        <v>0</v>
      </c>
      <c r="L34" s="796"/>
      <c r="M34" s="796"/>
      <c r="N34" s="796"/>
      <c r="O34" s="893" t="s">
        <v>305</v>
      </c>
      <c r="P34" s="894"/>
      <c r="Q34" s="796">
        <f>☆入力!AC43</f>
        <v>0</v>
      </c>
      <c r="R34" s="796"/>
      <c r="S34" s="796"/>
      <c r="T34" s="796"/>
      <c r="U34" s="896" t="str">
        <f>IFERROR(100%-(Q34/K34),"")</f>
        <v/>
      </c>
      <c r="V34" s="896"/>
      <c r="W34" s="896"/>
      <c r="Y34" s="62"/>
      <c r="Z34" s="884">
        <f>☆入力!X3</f>
        <v>0</v>
      </c>
      <c r="AA34" s="885"/>
      <c r="AB34" s="885"/>
      <c r="AC34" s="885"/>
      <c r="AD34" s="885"/>
      <c r="AE34" s="885"/>
      <c r="AF34" s="885"/>
      <c r="AG34" s="885"/>
      <c r="AH34" s="885"/>
      <c r="AI34" s="885"/>
      <c r="AJ34" s="885"/>
      <c r="AK34" s="885"/>
      <c r="AL34" s="885"/>
      <c r="AM34" s="885"/>
      <c r="AN34" s="885"/>
      <c r="AO34" s="885"/>
      <c r="AP34" s="885"/>
      <c r="AQ34" s="885"/>
      <c r="AR34" s="885"/>
      <c r="AS34" s="885"/>
      <c r="AT34" s="885"/>
      <c r="AU34" s="885"/>
      <c r="AV34" s="885"/>
      <c r="AW34" s="885"/>
      <c r="AX34" s="885"/>
      <c r="AY34" s="885"/>
      <c r="AZ34" s="885"/>
      <c r="BA34" s="885"/>
      <c r="BB34" s="885"/>
      <c r="BC34" s="885"/>
      <c r="BD34" s="885"/>
      <c r="BE34" s="885"/>
      <c r="BF34" s="885"/>
      <c r="BG34" s="885"/>
      <c r="BH34" s="885"/>
      <c r="BI34" s="886"/>
    </row>
    <row r="35" spans="1:61" s="3" customFormat="1" ht="21" customHeight="1">
      <c r="A35" s="786">
        <v>29</v>
      </c>
      <c r="B35" s="786"/>
      <c r="C35" s="787">
        <f>IF($C$5=☆入力!$B$15,☆入力!$B44,☆入力!$C44)</f>
        <v>0</v>
      </c>
      <c r="D35" s="788"/>
      <c r="E35" s="788"/>
      <c r="F35" s="789"/>
      <c r="G35" s="790">
        <f>☆入力!D44</f>
        <v>0</v>
      </c>
      <c r="H35" s="790"/>
      <c r="I35" s="790"/>
      <c r="J35" s="790"/>
      <c r="K35" s="796">
        <f>☆入力!Y44</f>
        <v>0</v>
      </c>
      <c r="L35" s="796"/>
      <c r="M35" s="796"/>
      <c r="N35" s="796"/>
      <c r="O35" s="893" t="s">
        <v>305</v>
      </c>
      <c r="P35" s="894"/>
      <c r="Q35" s="796">
        <f>☆入力!AC44</f>
        <v>0</v>
      </c>
      <c r="R35" s="796"/>
      <c r="S35" s="796"/>
      <c r="T35" s="796"/>
      <c r="U35" s="896" t="str">
        <f>IFERROR(100%-(Q35/K35),"")</f>
        <v/>
      </c>
      <c r="V35" s="896"/>
      <c r="W35" s="896"/>
      <c r="Y35" s="62"/>
      <c r="Z35" s="884">
        <f>☆入力!X4</f>
        <v>0</v>
      </c>
      <c r="AA35" s="885"/>
      <c r="AB35" s="885"/>
      <c r="AC35" s="885"/>
      <c r="AD35" s="885"/>
      <c r="AE35" s="885"/>
      <c r="AF35" s="885"/>
      <c r="AG35" s="885"/>
      <c r="AH35" s="885"/>
      <c r="AI35" s="885"/>
      <c r="AJ35" s="885"/>
      <c r="AK35" s="885"/>
      <c r="AL35" s="885"/>
      <c r="AM35" s="885"/>
      <c r="AN35" s="885"/>
      <c r="AO35" s="885"/>
      <c r="AP35" s="885"/>
      <c r="AQ35" s="885"/>
      <c r="AR35" s="885"/>
      <c r="AS35" s="885"/>
      <c r="AT35" s="885"/>
      <c r="AU35" s="885"/>
      <c r="AV35" s="885"/>
      <c r="AW35" s="885"/>
      <c r="AX35" s="885"/>
      <c r="AY35" s="885"/>
      <c r="AZ35" s="885"/>
      <c r="BA35" s="885"/>
      <c r="BB35" s="885"/>
      <c r="BC35" s="885"/>
      <c r="BD35" s="885"/>
      <c r="BE35" s="885"/>
      <c r="BF35" s="885"/>
      <c r="BG35" s="885"/>
      <c r="BH35" s="885"/>
      <c r="BI35" s="886"/>
    </row>
    <row r="36" spans="1:61" s="3" customFormat="1" ht="21" customHeight="1">
      <c r="A36" s="775">
        <v>30</v>
      </c>
      <c r="B36" s="775"/>
      <c r="C36" s="776">
        <f>IF($C$5=☆入力!$B$15,☆入力!$B45,☆入力!$C45)</f>
        <v>0</v>
      </c>
      <c r="D36" s="777"/>
      <c r="E36" s="777"/>
      <c r="F36" s="778"/>
      <c r="G36" s="779">
        <f>☆入力!D45</f>
        <v>0</v>
      </c>
      <c r="H36" s="779"/>
      <c r="I36" s="779"/>
      <c r="J36" s="779"/>
      <c r="K36" s="785">
        <f>☆入力!Y45</f>
        <v>0</v>
      </c>
      <c r="L36" s="785"/>
      <c r="M36" s="785"/>
      <c r="N36" s="785"/>
      <c r="O36" s="893" t="s">
        <v>305</v>
      </c>
      <c r="P36" s="894"/>
      <c r="Q36" s="785">
        <f>☆入力!AC45</f>
        <v>0</v>
      </c>
      <c r="R36" s="785"/>
      <c r="S36" s="785"/>
      <c r="T36" s="785"/>
      <c r="U36" s="895" t="str">
        <f>IFERROR(100%-(Q36/K36),"")</f>
        <v/>
      </c>
      <c r="V36" s="895"/>
      <c r="W36" s="895"/>
      <c r="Y36" s="62"/>
      <c r="Z36" s="884">
        <f>☆入力!X5</f>
        <v>0</v>
      </c>
      <c r="AA36" s="885"/>
      <c r="AB36" s="885"/>
      <c r="AC36" s="885"/>
      <c r="AD36" s="885"/>
      <c r="AE36" s="885"/>
      <c r="AF36" s="885"/>
      <c r="AG36" s="885"/>
      <c r="AH36" s="885"/>
      <c r="AI36" s="885"/>
      <c r="AJ36" s="885"/>
      <c r="AK36" s="885"/>
      <c r="AL36" s="885"/>
      <c r="AM36" s="885"/>
      <c r="AN36" s="885"/>
      <c r="AO36" s="885"/>
      <c r="AP36" s="885"/>
      <c r="AQ36" s="885"/>
      <c r="AR36" s="885"/>
      <c r="AS36" s="885"/>
      <c r="AT36" s="885"/>
      <c r="AU36" s="885"/>
      <c r="AV36" s="885"/>
      <c r="AW36" s="885"/>
      <c r="AX36" s="885"/>
      <c r="AY36" s="885"/>
      <c r="AZ36" s="885"/>
      <c r="BA36" s="885"/>
      <c r="BB36" s="885"/>
      <c r="BC36" s="885"/>
      <c r="BD36" s="885"/>
      <c r="BE36" s="885"/>
      <c r="BF36" s="885"/>
      <c r="BG36" s="885"/>
      <c r="BH36" s="885"/>
      <c r="BI36" s="886"/>
    </row>
    <row r="37" spans="1:61" s="13" customFormat="1" ht="21" customHeight="1">
      <c r="C37" s="483"/>
      <c r="D37" s="483"/>
      <c r="E37" s="483"/>
      <c r="F37" s="483"/>
      <c r="G37" s="483"/>
      <c r="H37" s="483"/>
      <c r="I37" s="483"/>
      <c r="J37" s="483"/>
      <c r="Y37" s="62"/>
      <c r="Z37" s="884">
        <f>☆入力!X6</f>
        <v>0</v>
      </c>
      <c r="AA37" s="885"/>
      <c r="AB37" s="885"/>
      <c r="AC37" s="885"/>
      <c r="AD37" s="885"/>
      <c r="AE37" s="885"/>
      <c r="AF37" s="885"/>
      <c r="AG37" s="885"/>
      <c r="AH37" s="885"/>
      <c r="AI37" s="885"/>
      <c r="AJ37" s="885"/>
      <c r="AK37" s="885"/>
      <c r="AL37" s="885"/>
      <c r="AM37" s="885"/>
      <c r="AN37" s="885"/>
      <c r="AO37" s="885"/>
      <c r="AP37" s="885"/>
      <c r="AQ37" s="885"/>
      <c r="AR37" s="885"/>
      <c r="AS37" s="885"/>
      <c r="AT37" s="885"/>
      <c r="AU37" s="885"/>
      <c r="AV37" s="885"/>
      <c r="AW37" s="885"/>
      <c r="AX37" s="885"/>
      <c r="AY37" s="885"/>
      <c r="AZ37" s="885"/>
      <c r="BA37" s="885"/>
      <c r="BB37" s="885"/>
      <c r="BC37" s="885"/>
      <c r="BD37" s="885"/>
      <c r="BE37" s="885"/>
      <c r="BF37" s="885"/>
      <c r="BG37" s="885"/>
      <c r="BH37" s="885"/>
      <c r="BI37" s="886"/>
    </row>
    <row r="38" spans="1:61" s="13" customFormat="1" ht="21" customHeight="1">
      <c r="C38" s="483"/>
      <c r="D38" s="483"/>
      <c r="E38" s="483"/>
      <c r="F38" s="483"/>
      <c r="G38" s="483"/>
      <c r="H38" s="483"/>
      <c r="I38" s="483"/>
      <c r="J38" s="483"/>
      <c r="K38" s="916">
        <f>SUM(K7:N36)</f>
        <v>0</v>
      </c>
      <c r="L38" s="916"/>
      <c r="M38" s="916"/>
      <c r="N38" s="916"/>
      <c r="O38" s="918" t="s">
        <v>305</v>
      </c>
      <c r="P38" s="919"/>
      <c r="Q38" s="916">
        <f>SUM(Q7:T36)</f>
        <v>0</v>
      </c>
      <c r="R38" s="916"/>
      <c r="S38" s="916"/>
      <c r="T38" s="916"/>
      <c r="U38" s="937" t="str">
        <f>IFERROR(100%-(Q38/K38),"")</f>
        <v/>
      </c>
      <c r="V38" s="937"/>
      <c r="W38" s="937"/>
      <c r="Y38" s="62"/>
      <c r="Z38" s="884">
        <f>☆入力!X7</f>
        <v>0</v>
      </c>
      <c r="AA38" s="885"/>
      <c r="AB38" s="885"/>
      <c r="AC38" s="885"/>
      <c r="AD38" s="885"/>
      <c r="AE38" s="885"/>
      <c r="AF38" s="885"/>
      <c r="AG38" s="885"/>
      <c r="AH38" s="885"/>
      <c r="AI38" s="885"/>
      <c r="AJ38" s="885"/>
      <c r="AK38" s="885"/>
      <c r="AL38" s="885"/>
      <c r="AM38" s="885"/>
      <c r="AN38" s="885"/>
      <c r="AO38" s="885"/>
      <c r="AP38" s="885"/>
      <c r="AQ38" s="885"/>
      <c r="AR38" s="885"/>
      <c r="AS38" s="885"/>
      <c r="AT38" s="885"/>
      <c r="AU38" s="885"/>
      <c r="AV38" s="885"/>
      <c r="AW38" s="885"/>
      <c r="AX38" s="885"/>
      <c r="AY38" s="885"/>
      <c r="AZ38" s="885"/>
      <c r="BA38" s="885"/>
      <c r="BB38" s="885"/>
      <c r="BC38" s="885"/>
      <c r="BD38" s="885"/>
      <c r="BE38" s="885"/>
      <c r="BF38" s="885"/>
      <c r="BG38" s="885"/>
      <c r="BH38" s="885"/>
      <c r="BI38" s="886"/>
    </row>
    <row r="39" spans="1:61" s="13" customFormat="1" ht="21" customHeight="1">
      <c r="C39" s="14"/>
      <c r="D39" s="14"/>
      <c r="E39" s="14"/>
      <c r="F39" s="14"/>
      <c r="G39" s="14"/>
      <c r="H39" s="14"/>
      <c r="I39" s="14"/>
      <c r="J39" s="14"/>
      <c r="K39" s="917"/>
      <c r="L39" s="917"/>
      <c r="M39" s="917"/>
      <c r="N39" s="917"/>
      <c r="O39" s="918"/>
      <c r="P39" s="919"/>
      <c r="Q39" s="917"/>
      <c r="R39" s="917"/>
      <c r="S39" s="917"/>
      <c r="T39" s="917"/>
      <c r="U39" s="938"/>
      <c r="V39" s="938"/>
      <c r="W39" s="938"/>
      <c r="Y39" s="62"/>
      <c r="Z39" s="884">
        <f>☆入力!X8</f>
        <v>0</v>
      </c>
      <c r="AA39" s="885"/>
      <c r="AB39" s="885"/>
      <c r="AC39" s="885"/>
      <c r="AD39" s="885"/>
      <c r="AE39" s="885"/>
      <c r="AF39" s="885"/>
      <c r="AG39" s="885"/>
      <c r="AH39" s="885"/>
      <c r="AI39" s="885"/>
      <c r="AJ39" s="885"/>
      <c r="AK39" s="885"/>
      <c r="AL39" s="885"/>
      <c r="AM39" s="885"/>
      <c r="AN39" s="885"/>
      <c r="AO39" s="885"/>
      <c r="AP39" s="885"/>
      <c r="AQ39" s="885"/>
      <c r="AR39" s="885"/>
      <c r="AS39" s="885"/>
      <c r="AT39" s="885"/>
      <c r="AU39" s="885"/>
      <c r="AV39" s="885"/>
      <c r="AW39" s="885"/>
      <c r="AX39" s="885"/>
      <c r="AY39" s="885"/>
      <c r="AZ39" s="885"/>
      <c r="BA39" s="885"/>
      <c r="BB39" s="885"/>
      <c r="BC39" s="885"/>
      <c r="BD39" s="885"/>
      <c r="BE39" s="885"/>
      <c r="BF39" s="885"/>
      <c r="BG39" s="885"/>
      <c r="BH39" s="885"/>
      <c r="BI39" s="886"/>
    </row>
    <row r="40" spans="1:61" s="13" customFormat="1" ht="21" customHeight="1" thickBot="1">
      <c r="A40" s="74"/>
      <c r="C40" s="14"/>
      <c r="D40" s="14"/>
      <c r="E40" s="14"/>
      <c r="F40" s="14"/>
      <c r="G40" s="74"/>
      <c r="H40" s="14"/>
      <c r="I40" s="14"/>
      <c r="J40" s="14"/>
      <c r="K40" s="74"/>
      <c r="Q40" s="14"/>
      <c r="R40" s="14"/>
      <c r="Y40" s="62"/>
      <c r="Z40" s="884">
        <f>☆入力!X9</f>
        <v>0</v>
      </c>
      <c r="AA40" s="885"/>
      <c r="AB40" s="885"/>
      <c r="AC40" s="885"/>
      <c r="AD40" s="885"/>
      <c r="AE40" s="885"/>
      <c r="AF40" s="885"/>
      <c r="AG40" s="885"/>
      <c r="AH40" s="885"/>
      <c r="AI40" s="885"/>
      <c r="AJ40" s="885"/>
      <c r="AK40" s="885"/>
      <c r="AL40" s="885"/>
      <c r="AM40" s="885"/>
      <c r="AN40" s="885"/>
      <c r="AO40" s="885"/>
      <c r="AP40" s="885"/>
      <c r="AQ40" s="885"/>
      <c r="AR40" s="885"/>
      <c r="AS40" s="885"/>
      <c r="AT40" s="885"/>
      <c r="AU40" s="885"/>
      <c r="AV40" s="885"/>
      <c r="AW40" s="885"/>
      <c r="AX40" s="885"/>
      <c r="AY40" s="885"/>
      <c r="AZ40" s="885"/>
      <c r="BA40" s="885"/>
      <c r="BB40" s="885"/>
      <c r="BC40" s="885"/>
      <c r="BD40" s="885"/>
      <c r="BE40" s="885"/>
      <c r="BF40" s="885"/>
      <c r="BG40" s="885"/>
      <c r="BH40" s="885"/>
      <c r="BI40" s="886"/>
    </row>
    <row r="41" spans="1:61" ht="21" customHeight="1" thickTop="1">
      <c r="A41" s="906" t="s">
        <v>312</v>
      </c>
      <c r="B41" s="906"/>
      <c r="C41" s="906"/>
      <c r="D41" s="906"/>
      <c r="E41" s="906"/>
      <c r="F41" s="906"/>
      <c r="G41" s="906"/>
      <c r="H41" s="906"/>
      <c r="I41" s="906"/>
      <c r="J41" s="906"/>
      <c r="K41" s="906"/>
      <c r="L41" s="906"/>
      <c r="M41" s="906"/>
      <c r="N41" s="906"/>
      <c r="O41" s="906"/>
      <c r="P41" s="907"/>
      <c r="Q41" s="897">
        <f>K38-Q38</f>
        <v>0</v>
      </c>
      <c r="R41" s="898"/>
      <c r="S41" s="898"/>
      <c r="T41" s="898"/>
      <c r="U41" s="898"/>
      <c r="V41" s="898"/>
      <c r="W41" s="899"/>
      <c r="Y41" s="62"/>
      <c r="Z41" s="884">
        <f>☆入力!X10</f>
        <v>0</v>
      </c>
      <c r="AA41" s="885"/>
      <c r="AB41" s="885"/>
      <c r="AC41" s="885"/>
      <c r="AD41" s="885"/>
      <c r="AE41" s="885"/>
      <c r="AF41" s="885"/>
      <c r="AG41" s="885"/>
      <c r="AH41" s="885"/>
      <c r="AI41" s="885"/>
      <c r="AJ41" s="885"/>
      <c r="AK41" s="885"/>
      <c r="AL41" s="885"/>
      <c r="AM41" s="885"/>
      <c r="AN41" s="885"/>
      <c r="AO41" s="885"/>
      <c r="AP41" s="885"/>
      <c r="AQ41" s="885"/>
      <c r="AR41" s="885"/>
      <c r="AS41" s="885"/>
      <c r="AT41" s="885"/>
      <c r="AU41" s="885"/>
      <c r="AV41" s="885"/>
      <c r="AW41" s="885"/>
      <c r="AX41" s="885"/>
      <c r="AY41" s="885"/>
      <c r="AZ41" s="885"/>
      <c r="BA41" s="885"/>
      <c r="BB41" s="885"/>
      <c r="BC41" s="885"/>
      <c r="BD41" s="885"/>
      <c r="BE41" s="885"/>
      <c r="BF41" s="885"/>
      <c r="BG41" s="885"/>
      <c r="BH41" s="885"/>
      <c r="BI41" s="886"/>
    </row>
    <row r="42" spans="1:61" ht="21" customHeight="1" thickBot="1">
      <c r="A42" s="906"/>
      <c r="B42" s="906"/>
      <c r="C42" s="906"/>
      <c r="D42" s="906"/>
      <c r="E42" s="906"/>
      <c r="F42" s="906"/>
      <c r="G42" s="906"/>
      <c r="H42" s="906"/>
      <c r="I42" s="906"/>
      <c r="J42" s="906"/>
      <c r="K42" s="906"/>
      <c r="L42" s="906"/>
      <c r="M42" s="906"/>
      <c r="N42" s="906"/>
      <c r="O42" s="906"/>
      <c r="P42" s="907"/>
      <c r="Q42" s="900"/>
      <c r="R42" s="901"/>
      <c r="S42" s="901"/>
      <c r="T42" s="901"/>
      <c r="U42" s="901"/>
      <c r="V42" s="901"/>
      <c r="W42" s="902"/>
      <c r="Y42" s="62"/>
      <c r="Z42" s="887">
        <f>☆入力!X11</f>
        <v>0</v>
      </c>
      <c r="AA42" s="888"/>
      <c r="AB42" s="888"/>
      <c r="AC42" s="888"/>
      <c r="AD42" s="888"/>
      <c r="AE42" s="888"/>
      <c r="AF42" s="888"/>
      <c r="AG42" s="888"/>
      <c r="AH42" s="888"/>
      <c r="AI42" s="888"/>
      <c r="AJ42" s="888"/>
      <c r="AK42" s="888"/>
      <c r="AL42" s="888"/>
      <c r="AM42" s="888"/>
      <c r="AN42" s="888"/>
      <c r="AO42" s="888"/>
      <c r="AP42" s="888"/>
      <c r="AQ42" s="888"/>
      <c r="AR42" s="888"/>
      <c r="AS42" s="888"/>
      <c r="AT42" s="888"/>
      <c r="AU42" s="888"/>
      <c r="AV42" s="888"/>
      <c r="AW42" s="888"/>
      <c r="AX42" s="888"/>
      <c r="AY42" s="888"/>
      <c r="AZ42" s="888"/>
      <c r="BA42" s="888"/>
      <c r="BB42" s="888"/>
      <c r="BC42" s="888"/>
      <c r="BD42" s="888"/>
      <c r="BE42" s="888"/>
      <c r="BF42" s="888"/>
      <c r="BG42" s="888"/>
      <c r="BH42" s="888"/>
      <c r="BI42" s="889"/>
    </row>
    <row r="43" spans="1:61" ht="21" customHeight="1" thickTop="1">
      <c r="Y43" s="3"/>
    </row>
    <row r="44" spans="1:61" ht="21" customHeight="1">
      <c r="A44" s="57" t="s">
        <v>313</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14">
        <v>5</v>
      </c>
    </row>
  </sheetData>
  <mergeCells count="259">
    <mergeCell ref="Z40:BI40"/>
    <mergeCell ref="A41:P42"/>
    <mergeCell ref="Q41:W42"/>
    <mergeCell ref="Z41:BI41"/>
    <mergeCell ref="Z42:BI42"/>
    <mergeCell ref="Z37:BI37"/>
    <mergeCell ref="K38:N39"/>
    <mergeCell ref="O38:P39"/>
    <mergeCell ref="Q38:T39"/>
    <mergeCell ref="U38:W39"/>
    <mergeCell ref="Z38:BI38"/>
    <mergeCell ref="Z39:BI39"/>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K12:N12"/>
    <mergeCell ref="O12:P12"/>
    <mergeCell ref="Q12:T12"/>
    <mergeCell ref="U12:W12"/>
    <mergeCell ref="U10:W10"/>
    <mergeCell ref="A11:B11"/>
    <mergeCell ref="C11:F11"/>
    <mergeCell ref="G11:J11"/>
    <mergeCell ref="K11:N11"/>
    <mergeCell ref="O11:P11"/>
    <mergeCell ref="Q11:T11"/>
    <mergeCell ref="U11:W11"/>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A5:B5"/>
    <mergeCell ref="C5:F5"/>
    <mergeCell ref="G5:J5"/>
    <mergeCell ref="K5:N5"/>
    <mergeCell ref="Q5:T5"/>
    <mergeCell ref="U5:W5"/>
    <mergeCell ref="A1:BI1"/>
    <mergeCell ref="K3:N3"/>
    <mergeCell ref="Q3:W3"/>
    <mergeCell ref="AA3:AI4"/>
    <mergeCell ref="AN3:AV4"/>
    <mergeCell ref="BA3:BI4"/>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topLeftCell="A16" zoomScale="85" zoomScaleNormal="85" zoomScaleSheetLayoutView="85" workbookViewId="0">
      <selection activeCell="G37" sqref="G37"/>
    </sheetView>
  </sheetViews>
  <sheetFormatPr defaultColWidth="9" defaultRowHeight="12"/>
  <cols>
    <col min="1" max="1" width="13.625" style="27" customWidth="1"/>
    <col min="2" max="2" width="24.875" style="27" customWidth="1"/>
    <col min="3" max="3" width="27.375" style="27" customWidth="1"/>
    <col min="4" max="4" width="6.625" style="27" customWidth="1"/>
    <col min="5" max="5" width="21.125" style="27" customWidth="1"/>
    <col min="6" max="6" width="13.5" style="27" customWidth="1"/>
    <col min="7" max="7" width="15.5" style="27" bestFit="1" customWidth="1"/>
    <col min="8" max="8" width="9" style="27"/>
    <col min="9" max="9" width="18.125" style="27" customWidth="1"/>
    <col min="10" max="10" width="13.375" style="27" customWidth="1"/>
    <col min="11" max="16384" width="9" style="27"/>
  </cols>
  <sheetData>
    <row r="1" spans="1:10" ht="15" customHeight="1">
      <c r="A1" s="977" t="s">
        <v>323</v>
      </c>
      <c r="B1" s="977"/>
      <c r="C1" s="977"/>
      <c r="F1" s="28" t="s">
        <v>324</v>
      </c>
      <c r="G1" s="29">
        <f ca="1">TODAY()</f>
        <v>46079</v>
      </c>
    </row>
    <row r="2" spans="1:10" ht="15" customHeight="1">
      <c r="A2" s="977"/>
      <c r="B2" s="977"/>
      <c r="C2" s="977"/>
      <c r="F2" s="28"/>
      <c r="G2" s="36"/>
    </row>
    <row r="3" spans="1:10" ht="15" customHeight="1"/>
    <row r="4" spans="1:10" ht="15" customHeight="1">
      <c r="A4" s="978">
        <f>☆入力!C5</f>
        <v>0</v>
      </c>
      <c r="B4" s="978"/>
      <c r="C4" s="978"/>
    </row>
    <row r="5" spans="1:10" ht="15" customHeight="1">
      <c r="A5" s="979"/>
      <c r="B5" s="979"/>
      <c r="C5" s="979"/>
    </row>
    <row r="6" spans="1:10" ht="15" customHeight="1">
      <c r="E6" s="995" t="str">
        <f>IF(代理店入力用!N3="",'⓪表紙'!I25,代理店入力用!N3)</f>
        <v>株式会社クラスコ</v>
      </c>
      <c r="F6" s="995"/>
      <c r="G6" s="995"/>
    </row>
    <row r="7" spans="1:10" ht="15" customHeight="1">
      <c r="A7" s="27" t="s">
        <v>325</v>
      </c>
      <c r="E7" s="996" t="str">
        <f>IF(代理店入力用!N5="",'⓪表紙'!I26,'⓪表紙'!A26)</f>
        <v>〒920-0024石川県金沢市西念4丁目24-21</v>
      </c>
      <c r="F7" s="996"/>
      <c r="G7" s="996"/>
    </row>
    <row r="8" spans="1:10" ht="15" customHeight="1">
      <c r="A8" s="27" t="s">
        <v>326</v>
      </c>
      <c r="E8" s="996" t="str">
        <f>IF(代理店入力用!N6="",'⓪表紙'!I27,'⓪表紙'!A27)</f>
        <v>TEL：　076-222-1111</v>
      </c>
      <c r="F8" s="996"/>
      <c r="G8" s="996"/>
    </row>
    <row r="9" spans="1:10" ht="15" customHeight="1">
      <c r="A9" s="27" t="s">
        <v>327</v>
      </c>
      <c r="E9" s="209"/>
    </row>
    <row r="10" spans="1:10" ht="15" customHeight="1" thickBot="1">
      <c r="I10" s="384" t="s">
        <v>328</v>
      </c>
      <c r="J10" s="385">
        <f ca="1">ROUNDDOWN((F26/54),0)</f>
        <v>0</v>
      </c>
    </row>
    <row r="11" spans="1:10" ht="15" customHeight="1">
      <c r="A11" s="478" t="s">
        <v>329</v>
      </c>
      <c r="B11" s="30" t="s">
        <v>330</v>
      </c>
      <c r="C11" s="31"/>
      <c r="E11" s="983" t="s">
        <v>328</v>
      </c>
      <c r="F11" s="985">
        <f ca="1">VLOOKUP(E11,I10:J11,2,FALSE)</f>
        <v>0</v>
      </c>
      <c r="G11" s="987" t="s">
        <v>331</v>
      </c>
      <c r="I11" s="384" t="s">
        <v>332</v>
      </c>
      <c r="J11" s="385">
        <f ca="1">J10*1.1</f>
        <v>0</v>
      </c>
    </row>
    <row r="12" spans="1:10" ht="15" customHeight="1" thickBot="1">
      <c r="A12" s="32" t="s">
        <v>333</v>
      </c>
      <c r="B12" s="306" t="s">
        <v>334</v>
      </c>
      <c r="C12" s="33"/>
      <c r="E12" s="984"/>
      <c r="F12" s="986"/>
      <c r="G12" s="988"/>
      <c r="I12" s="27" t="s">
        <v>335</v>
      </c>
      <c r="J12" s="386">
        <f ca="1">F26</f>
        <v>0</v>
      </c>
    </row>
    <row r="13" spans="1:10" ht="15" customHeight="1">
      <c r="A13" s="32"/>
      <c r="B13" s="306"/>
      <c r="C13" s="33"/>
      <c r="E13" s="989" t="s">
        <v>336</v>
      </c>
      <c r="F13" s="991">
        <f ca="1">VLOOKUP(E13,I12:J13,2,FALSE)</f>
        <v>0</v>
      </c>
      <c r="G13" s="992"/>
      <c r="I13" s="27" t="s">
        <v>337</v>
      </c>
      <c r="J13" s="386">
        <f ca="1">J12*1.1</f>
        <v>0</v>
      </c>
    </row>
    <row r="14" spans="1:10" ht="15" customHeight="1" thickBot="1">
      <c r="A14" s="479"/>
      <c r="B14" s="34"/>
      <c r="C14" s="35"/>
      <c r="E14" s="990"/>
      <c r="F14" s="993"/>
      <c r="G14" s="994"/>
    </row>
    <row r="15" spans="1:10" ht="15" customHeight="1">
      <c r="A15" s="28"/>
      <c r="B15" s="306"/>
      <c r="E15" s="232" t="s">
        <v>338</v>
      </c>
      <c r="F15" s="230"/>
      <c r="G15" s="230"/>
      <c r="H15" s="388" t="s">
        <v>339</v>
      </c>
    </row>
    <row r="16" spans="1:10" ht="15" customHeight="1"/>
    <row r="17" spans="1:7" ht="17.45" customHeight="1">
      <c r="A17" s="475" t="s">
        <v>340</v>
      </c>
      <c r="B17" s="974" t="s">
        <v>341</v>
      </c>
      <c r="C17" s="975"/>
      <c r="D17" s="475" t="s">
        <v>161</v>
      </c>
      <c r="E17" s="475" t="s">
        <v>342</v>
      </c>
      <c r="F17" s="976" t="s">
        <v>343</v>
      </c>
      <c r="G17" s="976"/>
    </row>
    <row r="18" spans="1:7" ht="17.45" customHeight="1">
      <c r="A18" s="177">
        <v>1</v>
      </c>
      <c r="B18" s="980" t="s">
        <v>344</v>
      </c>
      <c r="C18" s="981"/>
      <c r="D18" s="178">
        <v>1</v>
      </c>
      <c r="E18" s="178">
        <f ca="1">☆入力!AL14+代理店入力用!D5</f>
        <v>0</v>
      </c>
      <c r="F18" s="982">
        <f ca="1">E18*D18</f>
        <v>0</v>
      </c>
      <c r="G18" s="982"/>
    </row>
    <row r="19" spans="1:7" ht="17.45" customHeight="1">
      <c r="A19" s="164">
        <v>2</v>
      </c>
      <c r="B19" s="1003" t="s">
        <v>345</v>
      </c>
      <c r="C19" s="1004"/>
      <c r="D19" s="165"/>
      <c r="E19" s="165"/>
      <c r="F19" s="1005">
        <f t="shared" ref="F19:F23" si="0">E19*D19</f>
        <v>0</v>
      </c>
      <c r="G19" s="1006"/>
    </row>
    <row r="20" spans="1:7" ht="17.45" customHeight="1">
      <c r="A20" s="164">
        <v>3</v>
      </c>
      <c r="B20" s="1003"/>
      <c r="C20" s="1004"/>
      <c r="D20" s="179"/>
      <c r="E20" s="179"/>
      <c r="F20" s="1007">
        <f t="shared" si="0"/>
        <v>0</v>
      </c>
      <c r="G20" s="1008"/>
    </row>
    <row r="21" spans="1:7" ht="17.45" customHeight="1">
      <c r="A21" s="164">
        <v>4</v>
      </c>
      <c r="B21" s="1003"/>
      <c r="C21" s="1004"/>
      <c r="D21" s="165"/>
      <c r="E21" s="165"/>
      <c r="F21" s="1005">
        <f t="shared" si="0"/>
        <v>0</v>
      </c>
      <c r="G21" s="1006"/>
    </row>
    <row r="22" spans="1:7" ht="17.45" customHeight="1">
      <c r="A22" s="164">
        <v>5</v>
      </c>
      <c r="B22" s="1003"/>
      <c r="C22" s="1004"/>
      <c r="D22" s="165"/>
      <c r="E22" s="165"/>
      <c r="F22" s="1005">
        <f t="shared" si="0"/>
        <v>0</v>
      </c>
      <c r="G22" s="1006"/>
    </row>
    <row r="23" spans="1:7" ht="17.45" customHeight="1">
      <c r="A23" s="164">
        <v>6</v>
      </c>
      <c r="B23" s="1003"/>
      <c r="C23" s="1004"/>
      <c r="D23" s="165"/>
      <c r="E23" s="165"/>
      <c r="F23" s="1005">
        <f t="shared" si="0"/>
        <v>0</v>
      </c>
      <c r="G23" s="1006"/>
    </row>
    <row r="24" spans="1:7" ht="17.45" customHeight="1">
      <c r="A24" s="164">
        <v>7</v>
      </c>
      <c r="B24" s="1003"/>
      <c r="C24" s="1004"/>
      <c r="D24" s="165"/>
      <c r="E24" s="165"/>
      <c r="F24" s="472"/>
      <c r="G24" s="473"/>
    </row>
    <row r="25" spans="1:7" ht="17.45" customHeight="1">
      <c r="A25" s="166">
        <v>8</v>
      </c>
      <c r="B25" s="1010"/>
      <c r="C25" s="1011"/>
      <c r="D25" s="180"/>
      <c r="E25" s="180"/>
      <c r="F25" s="971">
        <f>E25*D25</f>
        <v>0</v>
      </c>
      <c r="G25" s="972"/>
    </row>
    <row r="26" spans="1:7" ht="17.45" customHeight="1" thickBot="1">
      <c r="E26" s="50" t="s">
        <v>343</v>
      </c>
      <c r="F26" s="973">
        <f ca="1">ROUNDDOWN(SUM(F18:G25),0)</f>
        <v>0</v>
      </c>
      <c r="G26" s="973"/>
    </row>
    <row r="27" spans="1:7" ht="18" customHeight="1" thickTop="1">
      <c r="A27" s="27" t="s">
        <v>346</v>
      </c>
    </row>
    <row r="28" spans="1:7" ht="15" customHeight="1">
      <c r="A28" s="1418">
        <f>☆入力!AH4</f>
        <v>0</v>
      </c>
      <c r="B28" s="1419"/>
      <c r="C28" s="1419"/>
      <c r="D28" s="1420"/>
      <c r="E28" s="311"/>
    </row>
    <row r="29" spans="1:7" ht="15" customHeight="1">
      <c r="A29" s="1018">
        <f>☆入力!AH5</f>
        <v>0</v>
      </c>
      <c r="B29" s="1019"/>
      <c r="C29" s="1019"/>
      <c r="D29" s="1020"/>
      <c r="E29" s="111"/>
      <c r="F29" s="306"/>
      <c r="G29" s="306"/>
    </row>
    <row r="30" spans="1:7" ht="15" customHeight="1">
      <c r="A30" s="1021">
        <f>☆入力!AH6</f>
        <v>0</v>
      </c>
      <c r="B30" s="1022"/>
      <c r="C30" s="1022"/>
      <c r="D30" s="1023"/>
      <c r="E30" s="111"/>
      <c r="F30" s="306"/>
      <c r="G30" s="306"/>
    </row>
    <row r="31" spans="1:7" ht="15" customHeight="1"/>
    <row r="32" spans="1:7" ht="15" customHeight="1"/>
    <row r="33" spans="1:7" ht="15" customHeight="1">
      <c r="A33" s="1009" t="s">
        <v>347</v>
      </c>
      <c r="B33" s="1009"/>
      <c r="C33" s="1009"/>
      <c r="D33" s="1009"/>
      <c r="E33" s="1009"/>
      <c r="F33" s="1009"/>
      <c r="G33" s="1009"/>
    </row>
    <row r="34" spans="1:7" ht="15" customHeight="1">
      <c r="A34" s="1009"/>
      <c r="B34" s="1009"/>
      <c r="C34" s="1009"/>
      <c r="D34" s="1009"/>
      <c r="E34" s="1009"/>
      <c r="F34" s="1009"/>
      <c r="G34" s="1009"/>
    </row>
    <row r="35" spans="1:7" ht="15" customHeight="1">
      <c r="A35" s="39"/>
      <c r="B35" s="39"/>
      <c r="C35" s="39"/>
      <c r="D35" s="39"/>
      <c r="E35" s="39"/>
      <c r="F35" s="39"/>
      <c r="G35" s="39"/>
    </row>
    <row r="36" spans="1:7" ht="17.45" customHeight="1">
      <c r="A36" s="40" t="s">
        <v>340</v>
      </c>
      <c r="B36" s="40" t="s">
        <v>52</v>
      </c>
      <c r="C36" s="40" t="s">
        <v>176</v>
      </c>
      <c r="D36" s="1000" t="s">
        <v>61</v>
      </c>
      <c r="E36" s="1001"/>
      <c r="F36" s="1002"/>
      <c r="G36" s="40" t="s">
        <v>161</v>
      </c>
    </row>
    <row r="37" spans="1:7" ht="17.45" customHeight="1">
      <c r="A37" s="41">
        <v>1</v>
      </c>
      <c r="B37" s="42" t="str">
        <f>☆入力!B16</f>
        <v/>
      </c>
      <c r="C37" s="42">
        <f>☆入力!C16</f>
        <v>0</v>
      </c>
      <c r="D37" s="1015">
        <f>☆入力!D16</f>
        <v>0</v>
      </c>
      <c r="E37" s="1016"/>
      <c r="F37" s="1017"/>
      <c r="G37" s="43">
        <f>☆入力!L16</f>
        <v>0</v>
      </c>
    </row>
    <row r="38" spans="1:7" ht="17.45" customHeight="1">
      <c r="A38" s="44">
        <v>2</v>
      </c>
      <c r="B38" s="45" t="str">
        <f>☆入力!B17</f>
        <v/>
      </c>
      <c r="C38" s="45">
        <f>☆入力!C17</f>
        <v>0</v>
      </c>
      <c r="D38" s="997">
        <f>☆入力!D17</f>
        <v>0</v>
      </c>
      <c r="E38" s="998"/>
      <c r="F38" s="999"/>
      <c r="G38" s="46">
        <f>☆入力!L17</f>
        <v>0</v>
      </c>
    </row>
    <row r="39" spans="1:7" ht="17.45" customHeight="1">
      <c r="A39" s="44">
        <v>3</v>
      </c>
      <c r="B39" s="45" t="str">
        <f>☆入力!B18</f>
        <v/>
      </c>
      <c r="C39" s="45">
        <f>☆入力!C18</f>
        <v>0</v>
      </c>
      <c r="D39" s="997">
        <f>☆入力!D18</f>
        <v>0</v>
      </c>
      <c r="E39" s="998"/>
      <c r="F39" s="999"/>
      <c r="G39" s="46">
        <f>☆入力!L18</f>
        <v>0</v>
      </c>
    </row>
    <row r="40" spans="1:7" ht="17.45" customHeight="1">
      <c r="A40" s="44">
        <v>4</v>
      </c>
      <c r="B40" s="45" t="str">
        <f>☆入力!B19</f>
        <v/>
      </c>
      <c r="C40" s="45">
        <f>☆入力!C19</f>
        <v>0</v>
      </c>
      <c r="D40" s="997">
        <f>☆入力!D19</f>
        <v>0</v>
      </c>
      <c r="E40" s="998"/>
      <c r="F40" s="999"/>
      <c r="G40" s="46">
        <f>☆入力!L19</f>
        <v>0</v>
      </c>
    </row>
    <row r="41" spans="1:7" ht="17.45" customHeight="1">
      <c r="A41" s="44">
        <v>5</v>
      </c>
      <c r="B41" s="45" t="str">
        <f>☆入力!B20</f>
        <v/>
      </c>
      <c r="C41" s="45">
        <f>☆入力!C20</f>
        <v>0</v>
      </c>
      <c r="D41" s="997">
        <f>☆入力!D20</f>
        <v>0</v>
      </c>
      <c r="E41" s="998"/>
      <c r="F41" s="999"/>
      <c r="G41" s="46">
        <f>☆入力!L20</f>
        <v>0</v>
      </c>
    </row>
    <row r="42" spans="1:7" ht="17.45" customHeight="1">
      <c r="A42" s="44">
        <v>6</v>
      </c>
      <c r="B42" s="45" t="str">
        <f>☆入力!B21</f>
        <v/>
      </c>
      <c r="C42" s="45">
        <f>☆入力!C21</f>
        <v>0</v>
      </c>
      <c r="D42" s="997">
        <f>☆入力!D21</f>
        <v>0</v>
      </c>
      <c r="E42" s="998"/>
      <c r="F42" s="999"/>
      <c r="G42" s="46">
        <f>☆入力!L21</f>
        <v>0</v>
      </c>
    </row>
    <row r="43" spans="1:7" ht="17.45" customHeight="1">
      <c r="A43" s="44">
        <v>7</v>
      </c>
      <c r="B43" s="45" t="str">
        <f>☆入力!B22</f>
        <v/>
      </c>
      <c r="C43" s="45">
        <f>☆入力!C22</f>
        <v>0</v>
      </c>
      <c r="D43" s="997">
        <f>☆入力!D22</f>
        <v>0</v>
      </c>
      <c r="E43" s="998"/>
      <c r="F43" s="999"/>
      <c r="G43" s="46">
        <f>☆入力!L22</f>
        <v>0</v>
      </c>
    </row>
    <row r="44" spans="1:7" ht="17.45" customHeight="1">
      <c r="A44" s="44">
        <v>8</v>
      </c>
      <c r="B44" s="45" t="str">
        <f>☆入力!B23</f>
        <v/>
      </c>
      <c r="C44" s="45">
        <f>☆入力!C23</f>
        <v>0</v>
      </c>
      <c r="D44" s="997">
        <f>☆入力!D23</f>
        <v>0</v>
      </c>
      <c r="E44" s="998"/>
      <c r="F44" s="999"/>
      <c r="G44" s="46">
        <f>☆入力!L23</f>
        <v>0</v>
      </c>
    </row>
    <row r="45" spans="1:7" ht="17.45" customHeight="1">
      <c r="A45" s="44">
        <v>9</v>
      </c>
      <c r="B45" s="45" t="str">
        <f>☆入力!B24</f>
        <v/>
      </c>
      <c r="C45" s="45">
        <f>☆入力!C24</f>
        <v>0</v>
      </c>
      <c r="D45" s="997">
        <f>☆入力!D24</f>
        <v>0</v>
      </c>
      <c r="E45" s="998"/>
      <c r="F45" s="999"/>
      <c r="G45" s="46">
        <f>☆入力!L24</f>
        <v>0</v>
      </c>
    </row>
    <row r="46" spans="1:7" ht="17.45" customHeight="1">
      <c r="A46" s="44">
        <v>10</v>
      </c>
      <c r="B46" s="45" t="str">
        <f>☆入力!B25</f>
        <v/>
      </c>
      <c r="C46" s="45">
        <f>☆入力!C25</f>
        <v>0</v>
      </c>
      <c r="D46" s="997">
        <f>☆入力!D25</f>
        <v>0</v>
      </c>
      <c r="E46" s="998"/>
      <c r="F46" s="999"/>
      <c r="G46" s="46">
        <f>☆入力!L25</f>
        <v>0</v>
      </c>
    </row>
    <row r="47" spans="1:7" ht="17.45" customHeight="1">
      <c r="A47" s="44">
        <v>11</v>
      </c>
      <c r="B47" s="45" t="str">
        <f>☆入力!B26</f>
        <v/>
      </c>
      <c r="C47" s="45">
        <f>☆入力!C26</f>
        <v>0</v>
      </c>
      <c r="D47" s="997">
        <f>☆入力!D26</f>
        <v>0</v>
      </c>
      <c r="E47" s="998"/>
      <c r="F47" s="999"/>
      <c r="G47" s="46">
        <f>☆入力!L26</f>
        <v>0</v>
      </c>
    </row>
    <row r="48" spans="1:7" ht="17.45" customHeight="1">
      <c r="A48" s="44">
        <v>12</v>
      </c>
      <c r="B48" s="45" t="str">
        <f>☆入力!B27</f>
        <v/>
      </c>
      <c r="C48" s="45">
        <f>☆入力!C27</f>
        <v>0</v>
      </c>
      <c r="D48" s="997">
        <f>☆入力!D27</f>
        <v>0</v>
      </c>
      <c r="E48" s="998"/>
      <c r="F48" s="999"/>
      <c r="G48" s="46">
        <f>☆入力!L27</f>
        <v>0</v>
      </c>
    </row>
    <row r="49" spans="1:7" ht="17.45" customHeight="1">
      <c r="A49" s="44">
        <v>13</v>
      </c>
      <c r="B49" s="45" t="str">
        <f>☆入力!B28</f>
        <v/>
      </c>
      <c r="C49" s="45">
        <f>☆入力!C28</f>
        <v>0</v>
      </c>
      <c r="D49" s="997">
        <f>☆入力!D28</f>
        <v>0</v>
      </c>
      <c r="E49" s="998"/>
      <c r="F49" s="999"/>
      <c r="G49" s="46">
        <f>☆入力!L28</f>
        <v>0</v>
      </c>
    </row>
    <row r="50" spans="1:7" ht="17.45" customHeight="1">
      <c r="A50" s="44">
        <v>14</v>
      </c>
      <c r="B50" s="45" t="str">
        <f>☆入力!B29</f>
        <v/>
      </c>
      <c r="C50" s="45">
        <f>☆入力!C29</f>
        <v>0</v>
      </c>
      <c r="D50" s="997">
        <f>☆入力!D29</f>
        <v>0</v>
      </c>
      <c r="E50" s="998"/>
      <c r="F50" s="999"/>
      <c r="G50" s="46">
        <f>☆入力!L29</f>
        <v>0</v>
      </c>
    </row>
    <row r="51" spans="1:7" ht="17.45" customHeight="1">
      <c r="A51" s="44">
        <v>15</v>
      </c>
      <c r="B51" s="45" t="str">
        <f>☆入力!B30</f>
        <v/>
      </c>
      <c r="C51" s="45">
        <f>☆入力!C30</f>
        <v>0</v>
      </c>
      <c r="D51" s="997">
        <f>☆入力!D30</f>
        <v>0</v>
      </c>
      <c r="E51" s="998"/>
      <c r="F51" s="999"/>
      <c r="G51" s="46">
        <f>☆入力!L30</f>
        <v>0</v>
      </c>
    </row>
    <row r="52" spans="1:7" ht="17.45" customHeight="1">
      <c r="A52" s="44">
        <v>16</v>
      </c>
      <c r="B52" s="45" t="str">
        <f>☆入力!B31</f>
        <v/>
      </c>
      <c r="C52" s="45">
        <f>☆入力!C31</f>
        <v>0</v>
      </c>
      <c r="D52" s="997">
        <f>☆入力!D31</f>
        <v>0</v>
      </c>
      <c r="E52" s="998"/>
      <c r="F52" s="999"/>
      <c r="G52" s="46">
        <f>☆入力!L31</f>
        <v>0</v>
      </c>
    </row>
    <row r="53" spans="1:7" ht="17.45" customHeight="1">
      <c r="A53" s="44">
        <v>17</v>
      </c>
      <c r="B53" s="45" t="str">
        <f>☆入力!B32</f>
        <v/>
      </c>
      <c r="C53" s="45">
        <f>☆入力!C32</f>
        <v>0</v>
      </c>
      <c r="D53" s="997">
        <f>☆入力!D32</f>
        <v>0</v>
      </c>
      <c r="E53" s="998"/>
      <c r="F53" s="999"/>
      <c r="G53" s="46">
        <f>☆入力!L32</f>
        <v>0</v>
      </c>
    </row>
    <row r="54" spans="1:7" ht="17.45" customHeight="1">
      <c r="A54" s="44">
        <v>18</v>
      </c>
      <c r="B54" s="45" t="str">
        <f>☆入力!B33</f>
        <v/>
      </c>
      <c r="C54" s="45">
        <f>☆入力!C33</f>
        <v>0</v>
      </c>
      <c r="D54" s="997">
        <f>☆入力!D33</f>
        <v>0</v>
      </c>
      <c r="E54" s="998"/>
      <c r="F54" s="999"/>
      <c r="G54" s="46">
        <f>☆入力!L33</f>
        <v>0</v>
      </c>
    </row>
    <row r="55" spans="1:7" ht="17.45" customHeight="1">
      <c r="A55" s="44">
        <v>19</v>
      </c>
      <c r="B55" s="45" t="str">
        <f>☆入力!B34</f>
        <v/>
      </c>
      <c r="C55" s="45">
        <f>☆入力!C34</f>
        <v>0</v>
      </c>
      <c r="D55" s="997">
        <f>☆入力!D34</f>
        <v>0</v>
      </c>
      <c r="E55" s="998"/>
      <c r="F55" s="999"/>
      <c r="G55" s="46">
        <f>☆入力!L34</f>
        <v>0</v>
      </c>
    </row>
    <row r="56" spans="1:7" ht="17.45" customHeight="1">
      <c r="A56" s="44">
        <v>20</v>
      </c>
      <c r="B56" s="45" t="str">
        <f>☆入力!B35</f>
        <v/>
      </c>
      <c r="C56" s="45">
        <f>☆入力!C35</f>
        <v>0</v>
      </c>
      <c r="D56" s="997">
        <f>☆入力!D35</f>
        <v>0</v>
      </c>
      <c r="E56" s="998"/>
      <c r="F56" s="999"/>
      <c r="G56" s="46">
        <f>☆入力!L35</f>
        <v>0</v>
      </c>
    </row>
    <row r="57" spans="1:7" ht="17.45" customHeight="1">
      <c r="A57" s="44">
        <v>21</v>
      </c>
      <c r="B57" s="45" t="str">
        <f>☆入力!B36</f>
        <v/>
      </c>
      <c r="C57" s="45">
        <f>☆入力!C36</f>
        <v>0</v>
      </c>
      <c r="D57" s="997">
        <f>☆入力!D36</f>
        <v>0</v>
      </c>
      <c r="E57" s="998"/>
      <c r="F57" s="999"/>
      <c r="G57" s="46">
        <f>☆入力!L36</f>
        <v>0</v>
      </c>
    </row>
    <row r="58" spans="1:7" ht="17.45" customHeight="1">
      <c r="A58" s="44">
        <v>22</v>
      </c>
      <c r="B58" s="45" t="str">
        <f>☆入力!B37</f>
        <v/>
      </c>
      <c r="C58" s="45">
        <f>☆入力!C37</f>
        <v>0</v>
      </c>
      <c r="D58" s="997">
        <f>☆入力!D37</f>
        <v>0</v>
      </c>
      <c r="E58" s="998"/>
      <c r="F58" s="999"/>
      <c r="G58" s="46">
        <f>☆入力!L37</f>
        <v>0</v>
      </c>
    </row>
    <row r="59" spans="1:7" ht="17.45" customHeight="1">
      <c r="A59" s="44">
        <v>23</v>
      </c>
      <c r="B59" s="45" t="str">
        <f>☆入力!B38</f>
        <v/>
      </c>
      <c r="C59" s="45">
        <f>☆入力!C38</f>
        <v>0</v>
      </c>
      <c r="D59" s="997">
        <f>☆入力!D38</f>
        <v>0</v>
      </c>
      <c r="E59" s="998"/>
      <c r="F59" s="999"/>
      <c r="G59" s="46">
        <f>☆入力!L38</f>
        <v>0</v>
      </c>
    </row>
    <row r="60" spans="1:7" ht="17.45" customHeight="1">
      <c r="A60" s="44">
        <v>24</v>
      </c>
      <c r="B60" s="45" t="str">
        <f>☆入力!B39</f>
        <v/>
      </c>
      <c r="C60" s="45">
        <f>☆入力!C39</f>
        <v>0</v>
      </c>
      <c r="D60" s="997">
        <f>☆入力!D39</f>
        <v>0</v>
      </c>
      <c r="E60" s="998"/>
      <c r="F60" s="999"/>
      <c r="G60" s="46">
        <f>☆入力!L39</f>
        <v>0</v>
      </c>
    </row>
    <row r="61" spans="1:7" ht="17.45" customHeight="1">
      <c r="A61" s="47">
        <v>25</v>
      </c>
      <c r="B61" s="48" t="str">
        <f>☆入力!B40</f>
        <v/>
      </c>
      <c r="C61" s="48">
        <f>☆入力!C40</f>
        <v>0</v>
      </c>
      <c r="D61" s="1012">
        <f>☆入力!D40</f>
        <v>0</v>
      </c>
      <c r="E61" s="1013"/>
      <c r="F61" s="1014"/>
      <c r="G61" s="49">
        <f>☆入力!L40</f>
        <v>0</v>
      </c>
    </row>
    <row r="62" spans="1:7" ht="15" customHeight="1"/>
    <row r="63" spans="1:7" ht="15" customHeight="1">
      <c r="A63" s="1009" t="s">
        <v>348</v>
      </c>
      <c r="B63" s="1009"/>
      <c r="C63" s="1009"/>
      <c r="D63" s="1009"/>
      <c r="E63" s="1009"/>
      <c r="F63" s="1009"/>
      <c r="G63" s="1009"/>
    </row>
    <row r="64" spans="1:7" ht="15" customHeight="1">
      <c r="A64" s="1009"/>
      <c r="B64" s="1009"/>
      <c r="C64" s="1009"/>
      <c r="D64" s="1009"/>
      <c r="E64" s="1009"/>
      <c r="F64" s="1009"/>
      <c r="G64" s="1009"/>
    </row>
    <row r="65" spans="1:7" ht="14.45" customHeight="1">
      <c r="A65" s="39"/>
      <c r="B65" s="39"/>
      <c r="C65" s="39"/>
      <c r="D65" s="39"/>
      <c r="E65" s="39"/>
      <c r="F65" s="39"/>
      <c r="G65" s="39"/>
    </row>
    <row r="66" spans="1:7" ht="17.45" customHeight="1">
      <c r="A66" s="40" t="s">
        <v>340</v>
      </c>
      <c r="B66" s="40" t="s">
        <v>349</v>
      </c>
      <c r="C66" s="40" t="s">
        <v>176</v>
      </c>
      <c r="D66" s="1000" t="s">
        <v>61</v>
      </c>
      <c r="E66" s="1001"/>
      <c r="F66" s="1002"/>
      <c r="G66" s="40" t="s">
        <v>161</v>
      </c>
    </row>
    <row r="67" spans="1:7" ht="17.45" customHeight="1">
      <c r="A67" s="41">
        <v>26</v>
      </c>
      <c r="B67" s="42"/>
      <c r="C67" s="42"/>
      <c r="D67" s="1015"/>
      <c r="E67" s="1016"/>
      <c r="F67" s="1017"/>
      <c r="G67" s="43"/>
    </row>
    <row r="68" spans="1:7" ht="17.45" customHeight="1">
      <c r="A68" s="44">
        <v>27</v>
      </c>
      <c r="B68" s="45"/>
      <c r="C68" s="45"/>
      <c r="D68" s="997"/>
      <c r="E68" s="998"/>
      <c r="F68" s="999"/>
      <c r="G68" s="46"/>
    </row>
    <row r="69" spans="1:7" ht="17.45" customHeight="1">
      <c r="A69" s="44">
        <v>28</v>
      </c>
      <c r="B69" s="45"/>
      <c r="C69" s="45"/>
      <c r="D69" s="997"/>
      <c r="E69" s="998"/>
      <c r="F69" s="999"/>
      <c r="G69" s="46"/>
    </row>
    <row r="70" spans="1:7" ht="17.45" customHeight="1">
      <c r="A70" s="44">
        <v>29</v>
      </c>
      <c r="B70" s="45"/>
      <c r="C70" s="45"/>
      <c r="D70" s="997"/>
      <c r="E70" s="998"/>
      <c r="F70" s="999"/>
      <c r="G70" s="46"/>
    </row>
    <row r="71" spans="1:7" ht="17.45" customHeight="1">
      <c r="A71" s="44">
        <v>30</v>
      </c>
      <c r="B71" s="45"/>
      <c r="D71" s="997"/>
      <c r="E71" s="998"/>
      <c r="F71" s="999"/>
      <c r="G71" s="46"/>
    </row>
    <row r="72" spans="1:7" ht="17.45" customHeight="1">
      <c r="A72" s="44">
        <v>31</v>
      </c>
      <c r="B72" s="45"/>
      <c r="C72" s="45"/>
      <c r="D72" s="997"/>
      <c r="E72" s="998"/>
      <c r="F72" s="999"/>
      <c r="G72" s="46"/>
    </row>
    <row r="73" spans="1:7" ht="17.45" customHeight="1">
      <c r="A73" s="44">
        <v>32</v>
      </c>
      <c r="B73" s="45"/>
      <c r="C73" s="45"/>
      <c r="D73" s="997"/>
      <c r="E73" s="998"/>
      <c r="F73" s="999"/>
      <c r="G73" s="46"/>
    </row>
    <row r="74" spans="1:7" ht="17.45" customHeight="1">
      <c r="A74" s="44">
        <v>33</v>
      </c>
      <c r="B74" s="45"/>
      <c r="C74" s="45"/>
      <c r="D74" s="997"/>
      <c r="E74" s="998"/>
      <c r="F74" s="999"/>
      <c r="G74" s="46"/>
    </row>
    <row r="75" spans="1:7" ht="17.45" customHeight="1">
      <c r="A75" s="44">
        <v>34</v>
      </c>
      <c r="B75" s="45"/>
      <c r="C75" s="45"/>
      <c r="D75" s="997"/>
      <c r="E75" s="998"/>
      <c r="F75" s="999"/>
      <c r="G75" s="46"/>
    </row>
    <row r="76" spans="1:7" ht="17.45" customHeight="1">
      <c r="A76" s="44">
        <v>35</v>
      </c>
      <c r="B76" s="45"/>
      <c r="C76" s="45"/>
      <c r="D76" s="997"/>
      <c r="E76" s="998"/>
      <c r="F76" s="999"/>
      <c r="G76" s="46"/>
    </row>
    <row r="77" spans="1:7" ht="17.45" customHeight="1">
      <c r="A77" s="44">
        <v>36</v>
      </c>
      <c r="B77" s="45"/>
      <c r="C77" s="45"/>
      <c r="D77" s="997"/>
      <c r="E77" s="998"/>
      <c r="F77" s="999"/>
      <c r="G77" s="46"/>
    </row>
    <row r="78" spans="1:7" ht="17.45" customHeight="1">
      <c r="A78" s="44">
        <v>37</v>
      </c>
      <c r="B78" s="45"/>
      <c r="C78" s="45"/>
      <c r="D78" s="997"/>
      <c r="E78" s="998"/>
      <c r="F78" s="999"/>
      <c r="G78" s="46"/>
    </row>
    <row r="79" spans="1:7" ht="17.45" customHeight="1">
      <c r="A79" s="44">
        <v>38</v>
      </c>
      <c r="B79" s="45"/>
      <c r="C79" s="45"/>
      <c r="D79" s="997"/>
      <c r="E79" s="998"/>
      <c r="F79" s="999"/>
      <c r="G79" s="46"/>
    </row>
    <row r="80" spans="1:7" ht="17.45" customHeight="1">
      <c r="A80" s="44">
        <v>39</v>
      </c>
      <c r="B80" s="45"/>
      <c r="C80" s="45"/>
      <c r="D80" s="997"/>
      <c r="E80" s="998"/>
      <c r="F80" s="999"/>
      <c r="G80" s="46"/>
    </row>
    <row r="81" spans="1:7" ht="17.45" customHeight="1">
      <c r="A81" s="44">
        <v>40</v>
      </c>
      <c r="B81" s="45"/>
      <c r="C81" s="45"/>
      <c r="D81" s="997"/>
      <c r="E81" s="998"/>
      <c r="F81" s="999"/>
      <c r="G81" s="46"/>
    </row>
    <row r="82" spans="1:7" ht="17.45" customHeight="1">
      <c r="A82" s="44">
        <v>41</v>
      </c>
      <c r="B82" s="45"/>
      <c r="C82" s="45"/>
      <c r="D82" s="997"/>
      <c r="E82" s="998"/>
      <c r="F82" s="999"/>
      <c r="G82" s="46"/>
    </row>
    <row r="83" spans="1:7" ht="17.45" customHeight="1">
      <c r="A83" s="44">
        <v>42</v>
      </c>
      <c r="B83" s="45"/>
      <c r="C83" s="45"/>
      <c r="D83" s="997"/>
      <c r="E83" s="998"/>
      <c r="F83" s="999"/>
      <c r="G83" s="46"/>
    </row>
    <row r="84" spans="1:7" ht="17.45" customHeight="1">
      <c r="A84" s="44">
        <v>43</v>
      </c>
      <c r="B84" s="45"/>
      <c r="C84" s="45"/>
      <c r="D84" s="997"/>
      <c r="E84" s="998"/>
      <c r="F84" s="999"/>
      <c r="G84" s="46"/>
    </row>
    <row r="85" spans="1:7" ht="17.45" customHeight="1">
      <c r="A85" s="44">
        <v>44</v>
      </c>
      <c r="B85" s="45"/>
      <c r="C85" s="45"/>
      <c r="D85" s="997"/>
      <c r="E85" s="998"/>
      <c r="F85" s="999"/>
      <c r="G85" s="46"/>
    </row>
    <row r="86" spans="1:7" ht="17.45" customHeight="1">
      <c r="A86" s="44">
        <v>45</v>
      </c>
      <c r="B86" s="45"/>
      <c r="C86" s="45"/>
      <c r="D86" s="997"/>
      <c r="E86" s="998"/>
      <c r="F86" s="999"/>
      <c r="G86" s="46"/>
    </row>
    <row r="87" spans="1:7" ht="17.45" customHeight="1">
      <c r="A87" s="44">
        <v>46</v>
      </c>
      <c r="B87" s="45"/>
      <c r="C87" s="45"/>
      <c r="D87" s="997"/>
      <c r="E87" s="998"/>
      <c r="F87" s="999"/>
      <c r="G87" s="46"/>
    </row>
    <row r="88" spans="1:7" ht="17.45" customHeight="1">
      <c r="A88" s="44">
        <v>47</v>
      </c>
      <c r="B88" s="45"/>
      <c r="C88" s="45"/>
      <c r="D88" s="997"/>
      <c r="E88" s="998"/>
      <c r="F88" s="999"/>
      <c r="G88" s="46"/>
    </row>
    <row r="89" spans="1:7" ht="17.45" customHeight="1">
      <c r="A89" s="44">
        <v>48</v>
      </c>
      <c r="B89" s="45"/>
      <c r="C89" s="45"/>
      <c r="D89" s="997"/>
      <c r="E89" s="998"/>
      <c r="F89" s="999"/>
      <c r="G89" s="46"/>
    </row>
    <row r="90" spans="1:7" ht="17.45" customHeight="1">
      <c r="A90" s="44">
        <v>49</v>
      </c>
      <c r="B90" s="45"/>
      <c r="C90" s="45"/>
      <c r="D90" s="997"/>
      <c r="E90" s="998"/>
      <c r="F90" s="999"/>
      <c r="G90" s="46"/>
    </row>
    <row r="91" spans="1:7" ht="17.45" customHeight="1">
      <c r="A91" s="47">
        <v>50</v>
      </c>
      <c r="B91" s="48"/>
      <c r="C91" s="48"/>
      <c r="D91" s="1012"/>
      <c r="E91" s="1013"/>
      <c r="F91" s="1014"/>
      <c r="G91" s="49"/>
    </row>
  </sheetData>
  <mergeCells count="85">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 ref="D90:F90"/>
    <mergeCell ref="D91:F91"/>
    <mergeCell ref="D83:F83"/>
    <mergeCell ref="D84:F84"/>
    <mergeCell ref="D85:F85"/>
    <mergeCell ref="D86:F86"/>
    <mergeCell ref="D87:F87"/>
    <mergeCell ref="D70:F70"/>
    <mergeCell ref="D71:F71"/>
    <mergeCell ref="D76:F76"/>
    <mergeCell ref="D72:F72"/>
    <mergeCell ref="D73:F73"/>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36:F36"/>
    <mergeCell ref="D37:F37"/>
    <mergeCell ref="D38:F38"/>
    <mergeCell ref="D39:F39"/>
    <mergeCell ref="D40:F40"/>
    <mergeCell ref="A63:G64"/>
    <mergeCell ref="D59:F59"/>
    <mergeCell ref="D60:F60"/>
    <mergeCell ref="D61:F61"/>
    <mergeCell ref="D58:F5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33" sqref="H33"/>
    </sheetView>
  </sheetViews>
  <sheetFormatPr defaultColWidth="9" defaultRowHeight="12"/>
  <cols>
    <col min="1" max="1" width="13.625" style="75" customWidth="1"/>
    <col min="2" max="3" width="25.875" style="75" customWidth="1"/>
    <col min="4" max="4" width="8.875" style="75" customWidth="1"/>
    <col min="5" max="5" width="22.375" style="75" customWidth="1"/>
    <col min="6" max="6" width="1" style="75" customWidth="1"/>
    <col min="7" max="7" width="18.625" style="75" customWidth="1"/>
    <col min="8" max="8" width="9" style="75"/>
    <col min="9" max="9" width="19.125" style="75" customWidth="1"/>
    <col min="10" max="10" width="10.625" style="75" bestFit="1" customWidth="1"/>
    <col min="11" max="16384" width="9" style="75"/>
  </cols>
  <sheetData>
    <row r="1" spans="1:10" ht="15" customHeight="1">
      <c r="A1" s="977" t="s">
        <v>323</v>
      </c>
      <c r="B1" s="977"/>
      <c r="C1" s="977"/>
      <c r="F1" s="76" t="s">
        <v>324</v>
      </c>
      <c r="G1" s="77">
        <f ca="1">TODAY()</f>
        <v>46079</v>
      </c>
    </row>
    <row r="2" spans="1:10" ht="15" customHeight="1">
      <c r="A2" s="977"/>
      <c r="B2" s="977"/>
      <c r="C2" s="977"/>
      <c r="F2" s="76"/>
      <c r="G2" s="78"/>
    </row>
    <row r="3" spans="1:10" ht="15" customHeight="1">
      <c r="A3" s="1033">
        <f>☆入力!C5</f>
        <v>0</v>
      </c>
      <c r="B3" s="1033"/>
      <c r="C3" s="1033"/>
      <c r="E3" s="995" t="str">
        <f>IF(代理店入力用!N3="",'⓪表紙'!I25,代理店入力用!N3)</f>
        <v>株式会社クラスコ</v>
      </c>
      <c r="F3" s="995"/>
      <c r="G3" s="995"/>
    </row>
    <row r="4" spans="1:10" ht="15" customHeight="1">
      <c r="A4" s="1034"/>
      <c r="B4" s="1034"/>
      <c r="C4" s="1034"/>
      <c r="E4" s="1032" t="str">
        <f>IF(代理店入力用!N5="",'⓪表紙'!I26,'⓪表紙'!A26)</f>
        <v>〒920-0024石川県金沢市西念4丁目24-21</v>
      </c>
      <c r="F4" s="1032"/>
      <c r="G4" s="1032"/>
    </row>
    <row r="5" spans="1:10" ht="15" customHeight="1">
      <c r="E5" s="1032" t="str">
        <f>IF(代理店入力用!N6="",'⓪表紙'!I27,'⓪表紙'!A27)</f>
        <v>TEL：　076-222-1111</v>
      </c>
      <c r="F5" s="1032"/>
      <c r="G5" s="1032"/>
      <c r="I5" s="384" t="s">
        <v>328</v>
      </c>
      <c r="J5" s="385">
        <f ca="1">G35</f>
        <v>0</v>
      </c>
    </row>
    <row r="6" spans="1:10" ht="15" customHeight="1" thickBot="1">
      <c r="A6" s="75" t="s">
        <v>325</v>
      </c>
      <c r="I6" s="384" t="s">
        <v>332</v>
      </c>
      <c r="J6" s="385">
        <f ca="1">J5*1.1</f>
        <v>0</v>
      </c>
    </row>
    <row r="7" spans="1:10" ht="15" customHeight="1">
      <c r="A7" s="75" t="s">
        <v>326</v>
      </c>
      <c r="E7" s="90" t="s">
        <v>336</v>
      </c>
      <c r="F7" s="91"/>
      <c r="G7" s="90" t="s">
        <v>328</v>
      </c>
      <c r="I7" s="27" t="s">
        <v>335</v>
      </c>
      <c r="J7" s="386">
        <f ca="1">E35</f>
        <v>0</v>
      </c>
    </row>
    <row r="8" spans="1:10" ht="15" customHeight="1">
      <c r="E8" s="1041">
        <f ca="1">VLOOKUP(E7,I7:J8,2,FALSE)</f>
        <v>0</v>
      </c>
      <c r="F8" s="92"/>
      <c r="G8" s="1039">
        <f ca="1">VLOOKUP(G7,I5:J6,2,FALSE)</f>
        <v>0</v>
      </c>
      <c r="I8" s="27" t="s">
        <v>337</v>
      </c>
      <c r="J8" s="386">
        <f ca="1">J7*1.1</f>
        <v>0</v>
      </c>
    </row>
    <row r="9" spans="1:10" ht="15" customHeight="1" thickBot="1">
      <c r="A9" s="93" t="s">
        <v>350</v>
      </c>
      <c r="E9" s="1042"/>
      <c r="F9" s="92"/>
      <c r="G9" s="1040"/>
    </row>
    <row r="10" spans="1:10" ht="15" customHeight="1">
      <c r="E10" s="1024" t="s">
        <v>351</v>
      </c>
      <c r="F10" s="1024"/>
      <c r="G10" s="1024"/>
      <c r="H10" s="388" t="s">
        <v>339</v>
      </c>
    </row>
    <row r="11" spans="1:10">
      <c r="A11" s="167" t="s">
        <v>340</v>
      </c>
      <c r="B11" s="1035" t="s">
        <v>352</v>
      </c>
      <c r="C11" s="1036"/>
      <c r="D11" s="167" t="s">
        <v>16</v>
      </c>
      <c r="E11" s="167" t="s">
        <v>353</v>
      </c>
      <c r="F11" s="168"/>
      <c r="G11" s="167" t="s">
        <v>354</v>
      </c>
    </row>
    <row r="12" spans="1:10" ht="13.5" customHeight="1">
      <c r="A12" s="313">
        <v>1</v>
      </c>
      <c r="B12" s="1037">
        <f>☆入力!AG16</f>
        <v>0</v>
      </c>
      <c r="C12" s="1038"/>
      <c r="D12" s="181">
        <f>☆入力!AH16</f>
        <v>0</v>
      </c>
      <c r="E12" s="169">
        <f ca="1">☆入力!AL16+LED計算式!X4</f>
        <v>0</v>
      </c>
      <c r="F12" s="170"/>
      <c r="G12" s="171">
        <f ca="1">ROUNDDOWN(☆入力!AK16+LED計算式!Y4,0)</f>
        <v>0</v>
      </c>
    </row>
    <row r="13" spans="1:10" ht="13.5" customHeight="1">
      <c r="A13" s="476">
        <v>2</v>
      </c>
      <c r="B13" s="1028">
        <f>☆入力!AG17</f>
        <v>0</v>
      </c>
      <c r="C13" s="1030"/>
      <c r="D13" s="182">
        <f>☆入力!AH17</f>
        <v>0</v>
      </c>
      <c r="E13" s="172">
        <f ca="1">☆入力!AL17+LED計算式!X5</f>
        <v>0</v>
      </c>
      <c r="F13" s="170"/>
      <c r="G13" s="173">
        <f ca="1">ROUNDDOWN(☆入力!AK17+LED計算式!Y5,0)</f>
        <v>0</v>
      </c>
    </row>
    <row r="14" spans="1:10" ht="13.5" customHeight="1">
      <c r="A14" s="476">
        <v>3</v>
      </c>
      <c r="B14" s="1028">
        <f>☆入力!AG18</f>
        <v>0</v>
      </c>
      <c r="C14" s="1030"/>
      <c r="D14" s="182">
        <f>☆入力!AH18</f>
        <v>0</v>
      </c>
      <c r="E14" s="172">
        <f ca="1">☆入力!AL18+LED計算式!X6</f>
        <v>0</v>
      </c>
      <c r="F14" s="170"/>
      <c r="G14" s="173">
        <f ca="1">ROUNDDOWN(☆入力!AK18+LED計算式!Y6,0)</f>
        <v>0</v>
      </c>
    </row>
    <row r="15" spans="1:10" ht="13.5" customHeight="1">
      <c r="A15" s="476">
        <v>4</v>
      </c>
      <c r="B15" s="1028">
        <f>☆入力!AG19</f>
        <v>0</v>
      </c>
      <c r="C15" s="1030"/>
      <c r="D15" s="182">
        <f>☆入力!AH19</f>
        <v>0</v>
      </c>
      <c r="E15" s="172">
        <f ca="1">☆入力!AL19+LED計算式!X7</f>
        <v>0</v>
      </c>
      <c r="F15" s="170"/>
      <c r="G15" s="173">
        <f ca="1">ROUNDDOWN(☆入力!AK19+LED計算式!Y7,0)</f>
        <v>0</v>
      </c>
    </row>
    <row r="16" spans="1:10" ht="13.5" customHeight="1">
      <c r="A16" s="476">
        <v>5</v>
      </c>
      <c r="B16" s="1028">
        <f>☆入力!AG20</f>
        <v>0</v>
      </c>
      <c r="C16" s="1030"/>
      <c r="D16" s="182">
        <f>☆入力!AH20</f>
        <v>0</v>
      </c>
      <c r="E16" s="172">
        <f ca="1">☆入力!AL20+LED計算式!X8</f>
        <v>0</v>
      </c>
      <c r="F16" s="170"/>
      <c r="G16" s="173">
        <f ca="1">ROUNDDOWN(☆入力!AK20+LED計算式!Y8,0)</f>
        <v>0</v>
      </c>
    </row>
    <row r="17" spans="1:7" ht="13.5" customHeight="1">
      <c r="A17" s="476">
        <v>6</v>
      </c>
      <c r="B17" s="1028">
        <f>☆入力!AG21</f>
        <v>0</v>
      </c>
      <c r="C17" s="1030"/>
      <c r="D17" s="182">
        <f>☆入力!AH21</f>
        <v>0</v>
      </c>
      <c r="E17" s="172">
        <f ca="1">☆入力!AL21+LED計算式!X9</f>
        <v>0</v>
      </c>
      <c r="F17" s="170"/>
      <c r="G17" s="173">
        <f ca="1">ROUNDDOWN(☆入力!AK21+LED計算式!Y9,0)</f>
        <v>0</v>
      </c>
    </row>
    <row r="18" spans="1:7" ht="13.5" customHeight="1">
      <c r="A18" s="476">
        <v>7</v>
      </c>
      <c r="B18" s="1028">
        <f>☆入力!AG22</f>
        <v>0</v>
      </c>
      <c r="C18" s="1030"/>
      <c r="D18" s="182">
        <f>☆入力!AH22</f>
        <v>0</v>
      </c>
      <c r="E18" s="172">
        <f ca="1">☆入力!AL22+LED計算式!X10</f>
        <v>0</v>
      </c>
      <c r="F18" s="170"/>
      <c r="G18" s="173">
        <f ca="1">ROUNDDOWN(☆入力!AK22+LED計算式!Y10,0)</f>
        <v>0</v>
      </c>
    </row>
    <row r="19" spans="1:7" ht="13.5" customHeight="1">
      <c r="A19" s="476">
        <v>8</v>
      </c>
      <c r="B19" s="1028">
        <f>☆入力!AG23</f>
        <v>0</v>
      </c>
      <c r="C19" s="1030"/>
      <c r="D19" s="182">
        <f>☆入力!AH23</f>
        <v>0</v>
      </c>
      <c r="E19" s="172">
        <f ca="1">☆入力!AL23+LED計算式!X11</f>
        <v>0</v>
      </c>
      <c r="F19" s="170"/>
      <c r="G19" s="173">
        <f ca="1">ROUNDDOWN(☆入力!AK23+LED計算式!Y11,0)</f>
        <v>0</v>
      </c>
    </row>
    <row r="20" spans="1:7" ht="13.5" customHeight="1">
      <c r="A20" s="476">
        <v>9</v>
      </c>
      <c r="B20" s="1028">
        <f>☆入力!AG24</f>
        <v>0</v>
      </c>
      <c r="C20" s="1030"/>
      <c r="D20" s="182">
        <f>☆入力!AH24</f>
        <v>0</v>
      </c>
      <c r="E20" s="172">
        <f ca="1">☆入力!AL24+LED計算式!X12</f>
        <v>0</v>
      </c>
      <c r="F20" s="170"/>
      <c r="G20" s="173">
        <f ca="1">ROUNDDOWN(☆入力!AK24+LED計算式!Y12,0)</f>
        <v>0</v>
      </c>
    </row>
    <row r="21" spans="1:7" ht="13.5" customHeight="1">
      <c r="A21" s="476">
        <v>10</v>
      </c>
      <c r="B21" s="1028">
        <f>☆入力!AG25</f>
        <v>0</v>
      </c>
      <c r="C21" s="1030"/>
      <c r="D21" s="182">
        <f>☆入力!AH25</f>
        <v>0</v>
      </c>
      <c r="E21" s="172">
        <f ca="1">☆入力!AL25+LED計算式!X13</f>
        <v>0</v>
      </c>
      <c r="F21" s="170"/>
      <c r="G21" s="173">
        <f ca="1">ROUNDDOWN(☆入力!AK25+LED計算式!Y13,0)</f>
        <v>0</v>
      </c>
    </row>
    <row r="22" spans="1:7" ht="13.5" customHeight="1">
      <c r="A22" s="476">
        <v>11</v>
      </c>
      <c r="B22" s="1028">
        <f>☆入力!AG26</f>
        <v>0</v>
      </c>
      <c r="C22" s="1030"/>
      <c r="D22" s="182">
        <f>☆入力!AH26</f>
        <v>0</v>
      </c>
      <c r="E22" s="172">
        <f ca="1">☆入力!AL26+LED計算式!X14</f>
        <v>0</v>
      </c>
      <c r="F22" s="170"/>
      <c r="G22" s="173">
        <f ca="1">ROUNDDOWN(☆入力!AK26+LED計算式!Y14,0)</f>
        <v>0</v>
      </c>
    </row>
    <row r="23" spans="1:7" ht="13.5" customHeight="1">
      <c r="A23" s="476">
        <v>12</v>
      </c>
      <c r="B23" s="1028">
        <f>☆入力!AG27</f>
        <v>0</v>
      </c>
      <c r="C23" s="1030"/>
      <c r="D23" s="182">
        <f>☆入力!AH27</f>
        <v>0</v>
      </c>
      <c r="E23" s="172">
        <f ca="1">☆入力!AL27+LED計算式!X15</f>
        <v>0</v>
      </c>
      <c r="F23" s="170"/>
      <c r="G23" s="173">
        <f ca="1">ROUNDDOWN(☆入力!AK27+LED計算式!Y15,0)</f>
        <v>0</v>
      </c>
    </row>
    <row r="24" spans="1:7" ht="13.5" customHeight="1">
      <c r="A24" s="476">
        <v>13</v>
      </c>
      <c r="B24" s="1028">
        <f>☆入力!AG28</f>
        <v>0</v>
      </c>
      <c r="C24" s="1030"/>
      <c r="D24" s="182">
        <f>☆入力!AH28</f>
        <v>0</v>
      </c>
      <c r="E24" s="172">
        <f ca="1">☆入力!AL28+LED計算式!X16</f>
        <v>0</v>
      </c>
      <c r="F24" s="170"/>
      <c r="G24" s="173">
        <f ca="1">ROUNDDOWN(☆入力!AK28+LED計算式!Y16,0)</f>
        <v>0</v>
      </c>
    </row>
    <row r="25" spans="1:7" ht="13.5" customHeight="1">
      <c r="A25" s="476">
        <v>14</v>
      </c>
      <c r="B25" s="1028">
        <f>☆入力!AG29</f>
        <v>0</v>
      </c>
      <c r="C25" s="1030"/>
      <c r="D25" s="182">
        <f>☆入力!AH29</f>
        <v>0</v>
      </c>
      <c r="E25" s="172">
        <f ca="1">☆入力!AL29+LED計算式!X17</f>
        <v>0</v>
      </c>
      <c r="F25" s="170"/>
      <c r="G25" s="173">
        <f ca="1">ROUNDDOWN(☆入力!AK29+LED計算式!Y17,0)</f>
        <v>0</v>
      </c>
    </row>
    <row r="26" spans="1:7" ht="13.5" customHeight="1">
      <c r="A26" s="476">
        <v>15</v>
      </c>
      <c r="B26" s="1028">
        <f>☆入力!AG30</f>
        <v>0</v>
      </c>
      <c r="C26" s="1030"/>
      <c r="D26" s="182">
        <f>☆入力!AH30</f>
        <v>0</v>
      </c>
      <c r="E26" s="172">
        <f ca="1">☆入力!AL30+LED計算式!X18</f>
        <v>0</v>
      </c>
      <c r="F26" s="170"/>
      <c r="G26" s="173">
        <f ca="1">ROUNDDOWN(☆入力!AK30+LED計算式!Y18,0)</f>
        <v>0</v>
      </c>
    </row>
    <row r="27" spans="1:7" ht="13.5" hidden="1" customHeight="1">
      <c r="A27" s="476">
        <v>16</v>
      </c>
      <c r="B27" s="1031">
        <f>☆入力!AG31</f>
        <v>0</v>
      </c>
      <c r="C27" s="1031"/>
      <c r="D27" s="182">
        <f>☆入力!AH31</f>
        <v>0</v>
      </c>
      <c r="E27" s="172">
        <f ca="1">☆入力!AL31+LED計算式!X19</f>
        <v>0</v>
      </c>
      <c r="F27" s="170"/>
      <c r="G27" s="173">
        <f ca="1">ROUNDDOWN(☆入力!AK31+LED計算式!Y19,0)</f>
        <v>0</v>
      </c>
    </row>
    <row r="28" spans="1:7" ht="13.5" hidden="1" customHeight="1">
      <c r="A28" s="476">
        <v>17</v>
      </c>
      <c r="B28" s="1031">
        <f>☆入力!AG32</f>
        <v>0</v>
      </c>
      <c r="C28" s="1031"/>
      <c r="D28" s="182">
        <f>☆入力!AH32</f>
        <v>0</v>
      </c>
      <c r="E28" s="172">
        <f ca="1">☆入力!AL32+LED計算式!X20</f>
        <v>0</v>
      </c>
      <c r="F28" s="170"/>
      <c r="G28" s="173">
        <f ca="1">ROUNDDOWN(☆入力!AK32+LED計算式!Y20,0)</f>
        <v>0</v>
      </c>
    </row>
    <row r="29" spans="1:7" ht="13.5" hidden="1" customHeight="1">
      <c r="A29" s="476">
        <v>18</v>
      </c>
      <c r="B29" s="1031">
        <f>☆入力!AG33</f>
        <v>0</v>
      </c>
      <c r="C29" s="1031"/>
      <c r="D29" s="182">
        <f>☆入力!AH33</f>
        <v>0</v>
      </c>
      <c r="E29" s="172">
        <f ca="1">☆入力!AL33+LED計算式!X21</f>
        <v>0</v>
      </c>
      <c r="F29" s="170"/>
      <c r="G29" s="173">
        <f ca="1">ROUNDDOWN(☆入力!AK33+LED計算式!Y21,0)</f>
        <v>0</v>
      </c>
    </row>
    <row r="30" spans="1:7" ht="13.5" hidden="1" customHeight="1">
      <c r="A30" s="476">
        <v>19</v>
      </c>
      <c r="B30" s="1031">
        <f>☆入力!AG34</f>
        <v>0</v>
      </c>
      <c r="C30" s="1031"/>
      <c r="D30" s="182">
        <f>☆入力!AH34</f>
        <v>0</v>
      </c>
      <c r="E30" s="172">
        <f ca="1">☆入力!AL34+LED計算式!X22</f>
        <v>0</v>
      </c>
      <c r="F30" s="170"/>
      <c r="G30" s="173">
        <f ca="1">ROUNDDOWN(☆入力!AK34+LED計算式!Y22,0)</f>
        <v>0</v>
      </c>
    </row>
    <row r="31" spans="1:7" ht="13.5" hidden="1" customHeight="1">
      <c r="A31" s="476">
        <v>20</v>
      </c>
      <c r="B31" s="1031">
        <f>☆入力!AG35</f>
        <v>0</v>
      </c>
      <c r="C31" s="1031"/>
      <c r="D31" s="182">
        <f>☆入力!AH35</f>
        <v>0</v>
      </c>
      <c r="E31" s="172">
        <f ca="1">☆入力!AL35+LED計算式!X23</f>
        <v>0</v>
      </c>
      <c r="F31" s="170"/>
      <c r="G31" s="173">
        <f ca="1">ROUNDDOWN(☆入力!AK35+LED計算式!Y23,0)</f>
        <v>0</v>
      </c>
    </row>
    <row r="32" spans="1:7" ht="13.5" customHeight="1">
      <c r="A32" s="1028">
        <f>☆入力!AH12</f>
        <v>0</v>
      </c>
      <c r="B32" s="1029"/>
      <c r="C32" s="1030"/>
      <c r="D32" s="182" t="str">
        <f>IF(☆入力!AH12&lt;&gt;"","1","")</f>
        <v/>
      </c>
      <c r="E32" s="172">
        <f>☆入力!AJ12</f>
        <v>0</v>
      </c>
      <c r="F32" s="170"/>
      <c r="G32" s="173">
        <f ca="1">ROUNDDOWN(☆入力!AK36+LED計算式!Y24,0)</f>
        <v>0</v>
      </c>
    </row>
    <row r="33" spans="1:7" ht="13.5" customHeight="1">
      <c r="A33" s="1025" t="str">
        <f>"複数棟キャンペーン割引（ "&amp;TEXT(☆入力!AR11,"0%")&amp;" OFF ）"</f>
        <v>複数棟キャンペーン割引（ 0% OFF ）</v>
      </c>
      <c r="B33" s="1026"/>
      <c r="C33" s="1027"/>
      <c r="D33" s="183">
        <v>1</v>
      </c>
      <c r="E33" s="174">
        <f ca="1">-(☆入力!AL14*☆入力!AR11)</f>
        <v>0</v>
      </c>
      <c r="F33" s="175"/>
      <c r="G33" s="176">
        <f ca="1">E33/54</f>
        <v>0</v>
      </c>
    </row>
    <row r="34" spans="1:7" ht="13.5">
      <c r="F34" s="95"/>
    </row>
    <row r="35" spans="1:7" ht="18.600000000000001" customHeight="1" thickBot="1">
      <c r="D35" s="76" t="s">
        <v>355</v>
      </c>
      <c r="E35" s="94">
        <f ca="1">ROUNDDOWN(SUM(E12:E33),0)</f>
        <v>0</v>
      </c>
      <c r="F35" s="95"/>
      <c r="G35" s="96">
        <f ca="1">ROUNDDOWN(SUM(G12:G33),0)</f>
        <v>0</v>
      </c>
    </row>
    <row r="36" spans="1:7" ht="12.75" thickTop="1">
      <c r="A36" s="105" t="s">
        <v>356</v>
      </c>
    </row>
  </sheetData>
  <mergeCells count="31">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J52" sqref="J52"/>
    </sheetView>
  </sheetViews>
  <sheetFormatPr defaultColWidth="9" defaultRowHeight="12" outlineLevelRow="1"/>
  <cols>
    <col min="1" max="3" width="12.625" style="75" customWidth="1"/>
    <col min="4" max="4" width="33.125" style="75" customWidth="1"/>
    <col min="5" max="5" width="6.125" style="75" customWidth="1"/>
    <col min="6" max="6" width="17" style="75" customWidth="1"/>
    <col min="7" max="7" width="15.25" style="75" customWidth="1"/>
    <col min="8" max="8" width="12.5" style="75" customWidth="1"/>
    <col min="9" max="9" width="9" style="75"/>
    <col min="10" max="10" width="20.625" style="75" bestFit="1" customWidth="1"/>
    <col min="11" max="11" width="10.625" style="75" bestFit="1" customWidth="1"/>
    <col min="12" max="16384" width="9" style="75"/>
  </cols>
  <sheetData>
    <row r="1" spans="1:11" ht="15" customHeight="1">
      <c r="A1" s="977" t="s">
        <v>323</v>
      </c>
      <c r="B1" s="977"/>
      <c r="C1" s="977"/>
      <c r="D1" s="977"/>
      <c r="G1" s="76" t="s">
        <v>324</v>
      </c>
      <c r="H1" s="186">
        <f ca="1">TODAY()</f>
        <v>46079</v>
      </c>
    </row>
    <row r="2" spans="1:11" ht="15" customHeight="1">
      <c r="A2" s="977"/>
      <c r="B2" s="977"/>
      <c r="C2" s="977"/>
      <c r="D2" s="977"/>
      <c r="G2" s="76"/>
      <c r="H2" s="78"/>
    </row>
    <row r="3" spans="1:11" ht="15" customHeight="1">
      <c r="A3" s="1033">
        <f>☆入力!C5</f>
        <v>0</v>
      </c>
      <c r="B3" s="1033"/>
      <c r="C3" s="1033"/>
      <c r="D3" s="1033"/>
    </row>
    <row r="4" spans="1:11" ht="15" customHeight="1">
      <c r="A4" s="1034"/>
      <c r="B4" s="1034"/>
      <c r="C4" s="1034"/>
      <c r="D4" s="1034"/>
      <c r="F4" s="995" t="str">
        <f>IF(代理店入力用!N3="",'⓪表紙'!I25,代理店入力用!N3)</f>
        <v>株式会社クラスコ</v>
      </c>
      <c r="G4" s="995"/>
      <c r="H4" s="995"/>
    </row>
    <row r="5" spans="1:11" ht="15" customHeight="1">
      <c r="F5" s="1032" t="str">
        <f>IF(代理店入力用!N5="",'⓪表紙'!I26,'⓪表紙'!A26)</f>
        <v>〒920-0024石川県金沢市西念4丁目24-21</v>
      </c>
      <c r="G5" s="1032"/>
      <c r="H5" s="1032"/>
    </row>
    <row r="6" spans="1:11" ht="15" customHeight="1">
      <c r="A6" s="298" t="s">
        <v>325</v>
      </c>
      <c r="B6" s="105"/>
      <c r="F6" s="1032" t="str">
        <f>IF(代理店入力用!N6="",'⓪表紙'!I27,'⓪表紙'!A27)</f>
        <v>TEL：　076-222-1111</v>
      </c>
      <c r="G6" s="1032"/>
      <c r="H6" s="1032"/>
    </row>
    <row r="7" spans="1:11" ht="15" customHeight="1">
      <c r="A7" s="298" t="s">
        <v>357</v>
      </c>
      <c r="B7" s="105"/>
    </row>
    <row r="8" spans="1:11" ht="6" customHeight="1"/>
    <row r="9" spans="1:11" ht="10.5" customHeight="1">
      <c r="A9" s="477" t="s">
        <v>52</v>
      </c>
      <c r="B9" s="477" t="s">
        <v>176</v>
      </c>
      <c r="C9" s="477" t="s">
        <v>70</v>
      </c>
      <c r="D9" s="477" t="s">
        <v>268</v>
      </c>
      <c r="E9" s="477" t="s">
        <v>16</v>
      </c>
      <c r="F9" s="477" t="s">
        <v>358</v>
      </c>
      <c r="G9" s="1044" t="s">
        <v>343</v>
      </c>
      <c r="H9" s="1044"/>
      <c r="J9" s="384" t="s">
        <v>328</v>
      </c>
      <c r="K9" s="385">
        <f ca="1">ROUNDDOWN(G57/54,0)</f>
        <v>0</v>
      </c>
    </row>
    <row r="10" spans="1:11" ht="10.5" customHeight="1">
      <c r="A10" s="148" t="str">
        <f>☆入力!B16</f>
        <v/>
      </c>
      <c r="B10" s="148">
        <f>☆入力!C16</f>
        <v>0</v>
      </c>
      <c r="C10" s="149" t="str">
        <f>IFERROR(VLOOKUP(☆入力!G16,選定!$C$3:$AG$100,11,FALSE),"")</f>
        <v/>
      </c>
      <c r="D10" s="320" t="str">
        <f>IFERROR(VLOOKUP(☆入力!G16,選定!$C$3:$AG$100,1,FALSE),"")</f>
        <v/>
      </c>
      <c r="E10" s="150">
        <f>☆入力!L16</f>
        <v>0</v>
      </c>
      <c r="F10" s="150" t="str">
        <f>IFERROR(VLOOKUP(☆入力!G16,選定!$C$3:$AG$100,7,FALSE),"")</f>
        <v/>
      </c>
      <c r="G10" s="1043" t="str">
        <f>IFERROR(F10*E10,"")</f>
        <v/>
      </c>
      <c r="H10" s="1043"/>
      <c r="J10" s="384" t="s">
        <v>332</v>
      </c>
      <c r="K10" s="385">
        <f ca="1">K9*1.1</f>
        <v>0</v>
      </c>
    </row>
    <row r="11" spans="1:11" ht="10.5" customHeight="1">
      <c r="A11" s="151" t="str">
        <f>☆入力!B17</f>
        <v/>
      </c>
      <c r="B11" s="151">
        <f>☆入力!C17</f>
        <v>0</v>
      </c>
      <c r="C11" s="151" t="str">
        <f>IFERROR(VLOOKUP(☆入力!G17,選定!$C$3:$AG$100,11,FALSE),"")</f>
        <v/>
      </c>
      <c r="D11" s="320" t="str">
        <f>IFERROR(VLOOKUP(☆入力!G17,選定!$C$3:$AG$100,1,FALSE),"")</f>
        <v/>
      </c>
      <c r="E11" s="152">
        <f>☆入力!L17</f>
        <v>0</v>
      </c>
      <c r="F11" s="150" t="str">
        <f>IFERROR(VLOOKUP(☆入力!G17,選定!$C$3:$AG$100,7,FALSE),"")</f>
        <v/>
      </c>
      <c r="G11" s="1043" t="str">
        <f t="shared" ref="G11:G39" si="0">IFERROR(F11*E11,"")</f>
        <v/>
      </c>
      <c r="H11" s="1043"/>
      <c r="J11" s="27" t="s">
        <v>335</v>
      </c>
      <c r="K11" s="386">
        <f ca="1">G57</f>
        <v>0</v>
      </c>
    </row>
    <row r="12" spans="1:11" ht="10.5" customHeight="1">
      <c r="A12" s="151" t="str">
        <f>☆入力!B18</f>
        <v/>
      </c>
      <c r="B12" s="151">
        <f>☆入力!C18</f>
        <v>0</v>
      </c>
      <c r="C12" s="151" t="str">
        <f>IFERROR(VLOOKUP(☆入力!G18,選定!$C$3:$AG$100,11,FALSE),"")</f>
        <v/>
      </c>
      <c r="D12" s="320" t="str">
        <f>IFERROR(VLOOKUP(☆入力!G18,選定!$C$3:$AG$100,1,FALSE),"")</f>
        <v/>
      </c>
      <c r="E12" s="152">
        <f>☆入力!L18</f>
        <v>0</v>
      </c>
      <c r="F12" s="150" t="str">
        <f>IFERROR(VLOOKUP(☆入力!G18,選定!$C$3:$AG$100,7,FALSE),"")</f>
        <v/>
      </c>
      <c r="G12" s="1043" t="str">
        <f t="shared" si="0"/>
        <v/>
      </c>
      <c r="H12" s="1043"/>
      <c r="J12" s="27" t="s">
        <v>337</v>
      </c>
      <c r="K12" s="386">
        <f ca="1">K11*1.1</f>
        <v>0</v>
      </c>
    </row>
    <row r="13" spans="1:11" ht="10.5" customHeight="1">
      <c r="A13" s="151" t="str">
        <f>☆入力!B19</f>
        <v/>
      </c>
      <c r="B13" s="151">
        <f>☆入力!C19</f>
        <v>0</v>
      </c>
      <c r="C13" s="151" t="str">
        <f>IFERROR(VLOOKUP(☆入力!G19,選定!$C$3:$AG$100,11,FALSE),"")</f>
        <v/>
      </c>
      <c r="D13" s="320" t="str">
        <f>IFERROR(VLOOKUP(☆入力!G19,選定!$C$3:$AG$100,1,FALSE),"")</f>
        <v/>
      </c>
      <c r="E13" s="152">
        <f>☆入力!L19</f>
        <v>0</v>
      </c>
      <c r="F13" s="150" t="str">
        <f>IFERROR(VLOOKUP(☆入力!G19,選定!$C$3:$AG$100,7,FALSE),"")</f>
        <v/>
      </c>
      <c r="G13" s="1043" t="str">
        <f t="shared" si="0"/>
        <v/>
      </c>
      <c r="H13" s="1043"/>
    </row>
    <row r="14" spans="1:11" ht="10.5" customHeight="1">
      <c r="A14" s="151" t="str">
        <f>☆入力!B20</f>
        <v/>
      </c>
      <c r="B14" s="151">
        <f>☆入力!C20</f>
        <v>0</v>
      </c>
      <c r="C14" s="151" t="str">
        <f>IFERROR(VLOOKUP(☆入力!G20,選定!$C$3:$AG$100,11,FALSE),"")</f>
        <v/>
      </c>
      <c r="D14" s="320" t="str">
        <f>IFERROR(VLOOKUP(☆入力!G20,選定!$C$3:$AG$100,1,FALSE),"")</f>
        <v/>
      </c>
      <c r="E14" s="152">
        <f>☆入力!L20</f>
        <v>0</v>
      </c>
      <c r="F14" s="150" t="str">
        <f>IFERROR(VLOOKUP(☆入力!G20,選定!$C$3:$AG$100,7,FALSE),"")</f>
        <v/>
      </c>
      <c r="G14" s="1043" t="str">
        <f t="shared" si="0"/>
        <v/>
      </c>
      <c r="H14" s="1043"/>
    </row>
    <row r="15" spans="1:11" ht="10.5" customHeight="1">
      <c r="A15" s="151" t="str">
        <f>☆入力!B21</f>
        <v/>
      </c>
      <c r="B15" s="151">
        <f>☆入力!C21</f>
        <v>0</v>
      </c>
      <c r="C15" s="151" t="str">
        <f>IFERROR(VLOOKUP(☆入力!G21,選定!$C$3:$AG$100,11,FALSE),"")</f>
        <v/>
      </c>
      <c r="D15" s="320" t="str">
        <f>IFERROR(VLOOKUP(☆入力!G21,選定!$C$3:$AG$100,1,FALSE),"")</f>
        <v/>
      </c>
      <c r="E15" s="152">
        <f>☆入力!L21</f>
        <v>0</v>
      </c>
      <c r="F15" s="150" t="str">
        <f>IFERROR(VLOOKUP(☆入力!G21,選定!$C$3:$AG$100,7,FALSE),"")</f>
        <v/>
      </c>
      <c r="G15" s="1043" t="str">
        <f t="shared" si="0"/>
        <v/>
      </c>
      <c r="H15" s="1043"/>
    </row>
    <row r="16" spans="1:11" ht="10.5" customHeight="1">
      <c r="A16" s="151" t="str">
        <f>☆入力!B22</f>
        <v/>
      </c>
      <c r="B16" s="151">
        <f>☆入力!C22</f>
        <v>0</v>
      </c>
      <c r="C16" s="151" t="str">
        <f>IFERROR(VLOOKUP(☆入力!G22,選定!$C$3:$AG$100,11,FALSE),"")</f>
        <v/>
      </c>
      <c r="D16" s="320" t="str">
        <f>IFERROR(VLOOKUP(☆入力!G22,選定!$C$3:$AG$100,1,FALSE),"")</f>
        <v/>
      </c>
      <c r="E16" s="152">
        <f>☆入力!L22</f>
        <v>0</v>
      </c>
      <c r="F16" s="150" t="str">
        <f>IFERROR(VLOOKUP(☆入力!G22,選定!$C$3:$AG$100,7,FALSE),"")</f>
        <v/>
      </c>
      <c r="G16" s="1043" t="str">
        <f t="shared" si="0"/>
        <v/>
      </c>
      <c r="H16" s="1043"/>
    </row>
    <row r="17" spans="1:8" ht="10.5" customHeight="1">
      <c r="A17" s="151" t="str">
        <f>☆入力!B23</f>
        <v/>
      </c>
      <c r="B17" s="151">
        <f>☆入力!C23</f>
        <v>0</v>
      </c>
      <c r="C17" s="151" t="str">
        <f>IFERROR(VLOOKUP(☆入力!G23,選定!$C$3:$AG$100,11,FALSE),"")</f>
        <v/>
      </c>
      <c r="D17" s="320" t="str">
        <f>IFERROR(VLOOKUP(☆入力!G23,選定!$C$3:$AG$100,1,FALSE),"")</f>
        <v/>
      </c>
      <c r="E17" s="152">
        <f>☆入力!L23</f>
        <v>0</v>
      </c>
      <c r="F17" s="150" t="str">
        <f>IFERROR(VLOOKUP(☆入力!G23,選定!$C$3:$AG$100,7,FALSE),"")</f>
        <v/>
      </c>
      <c r="G17" s="1043" t="str">
        <f t="shared" si="0"/>
        <v/>
      </c>
      <c r="H17" s="1043"/>
    </row>
    <row r="18" spans="1:8" ht="10.5" customHeight="1">
      <c r="A18" s="151" t="str">
        <f>☆入力!B24</f>
        <v/>
      </c>
      <c r="B18" s="151">
        <f>☆入力!C24</f>
        <v>0</v>
      </c>
      <c r="C18" s="151" t="str">
        <f>IFERROR(VLOOKUP(☆入力!G24,選定!$C$3:$AG$100,11,FALSE),"")</f>
        <v/>
      </c>
      <c r="D18" s="320" t="str">
        <f>IFERROR(VLOOKUP(☆入力!G24,選定!$C$3:$AG$100,1,FALSE),"")</f>
        <v/>
      </c>
      <c r="E18" s="152">
        <f>☆入力!L24</f>
        <v>0</v>
      </c>
      <c r="F18" s="150" t="str">
        <f>IFERROR(VLOOKUP(☆入力!G24,選定!$C$3:$AG$100,7,FALSE),"")</f>
        <v/>
      </c>
      <c r="G18" s="1043" t="str">
        <f t="shared" si="0"/>
        <v/>
      </c>
      <c r="H18" s="1043"/>
    </row>
    <row r="19" spans="1:8" ht="10.5" customHeight="1">
      <c r="A19" s="151" t="str">
        <f>☆入力!B25</f>
        <v/>
      </c>
      <c r="B19" s="151">
        <f>☆入力!C25</f>
        <v>0</v>
      </c>
      <c r="C19" s="151" t="str">
        <f>IFERROR(VLOOKUP(☆入力!G25,選定!$C$3:$AG$100,11,FALSE),"")</f>
        <v/>
      </c>
      <c r="D19" s="320" t="str">
        <f>IFERROR(VLOOKUP(☆入力!G25,選定!$C$3:$AG$100,1,FALSE),"")</f>
        <v/>
      </c>
      <c r="E19" s="152">
        <f>☆入力!L25</f>
        <v>0</v>
      </c>
      <c r="F19" s="150" t="str">
        <f>IFERROR(VLOOKUP(☆入力!G25,選定!$C$3:$AG$100,7,FALSE),"")</f>
        <v/>
      </c>
      <c r="G19" s="1043" t="str">
        <f t="shared" si="0"/>
        <v/>
      </c>
      <c r="H19" s="1043"/>
    </row>
    <row r="20" spans="1:8" ht="10.5" customHeight="1">
      <c r="A20" s="151" t="str">
        <f>☆入力!B26</f>
        <v/>
      </c>
      <c r="B20" s="151">
        <f>☆入力!C26</f>
        <v>0</v>
      </c>
      <c r="C20" s="151" t="str">
        <f>IFERROR(VLOOKUP(☆入力!G26,選定!$C$3:$AG$100,11,FALSE),"")</f>
        <v/>
      </c>
      <c r="D20" s="320" t="str">
        <f>IFERROR(VLOOKUP(☆入力!G26,選定!$C$3:$AG$100,1,FALSE),"")</f>
        <v/>
      </c>
      <c r="E20" s="152">
        <f>☆入力!L26</f>
        <v>0</v>
      </c>
      <c r="F20" s="150" t="str">
        <f>IFERROR(VLOOKUP(☆入力!G26,選定!$C$3:$AG$100,7,FALSE),"")</f>
        <v/>
      </c>
      <c r="G20" s="1043" t="str">
        <f t="shared" si="0"/>
        <v/>
      </c>
      <c r="H20" s="1043"/>
    </row>
    <row r="21" spans="1:8" ht="10.5" customHeight="1">
      <c r="A21" s="151" t="str">
        <f>☆入力!B27</f>
        <v/>
      </c>
      <c r="B21" s="151">
        <f>☆入力!C27</f>
        <v>0</v>
      </c>
      <c r="C21" s="151" t="str">
        <f>IFERROR(VLOOKUP(☆入力!G27,選定!$C$3:$AG$100,11,FALSE),"")</f>
        <v/>
      </c>
      <c r="D21" s="320" t="str">
        <f>IFERROR(VLOOKUP(☆入力!G27,選定!$C$3:$AG$100,1,FALSE),"")</f>
        <v/>
      </c>
      <c r="E21" s="152">
        <f>☆入力!L27</f>
        <v>0</v>
      </c>
      <c r="F21" s="150" t="str">
        <f>IFERROR(VLOOKUP(☆入力!G27,選定!$C$3:$AG$100,7,FALSE),"")</f>
        <v/>
      </c>
      <c r="G21" s="1043" t="str">
        <f t="shared" si="0"/>
        <v/>
      </c>
      <c r="H21" s="1043"/>
    </row>
    <row r="22" spans="1:8" ht="10.5" customHeight="1">
      <c r="A22" s="151" t="str">
        <f>☆入力!B28</f>
        <v/>
      </c>
      <c r="B22" s="151">
        <f>☆入力!C28</f>
        <v>0</v>
      </c>
      <c r="C22" s="151" t="str">
        <f>IFERROR(VLOOKUP(☆入力!G28,選定!$C$3:$AG$100,11,FALSE),"")</f>
        <v/>
      </c>
      <c r="D22" s="320" t="str">
        <f>IFERROR(VLOOKUP(☆入力!G28,選定!$C$3:$AG$100,1,FALSE),"")</f>
        <v/>
      </c>
      <c r="E22" s="152">
        <f>☆入力!L28</f>
        <v>0</v>
      </c>
      <c r="F22" s="150" t="str">
        <f>IFERROR(VLOOKUP(☆入力!G28,選定!$C$3:$AG$100,7,FALSE),"")</f>
        <v/>
      </c>
      <c r="G22" s="1043" t="str">
        <f t="shared" si="0"/>
        <v/>
      </c>
      <c r="H22" s="1043"/>
    </row>
    <row r="23" spans="1:8" ht="10.5" customHeight="1">
      <c r="A23" s="151" t="str">
        <f>☆入力!B29</f>
        <v/>
      </c>
      <c r="B23" s="151">
        <f>☆入力!C29</f>
        <v>0</v>
      </c>
      <c r="C23" s="151" t="str">
        <f>IFERROR(VLOOKUP(☆入力!G29,選定!$C$3:$AG$100,11,FALSE),"")</f>
        <v/>
      </c>
      <c r="D23" s="320" t="str">
        <f>IFERROR(VLOOKUP(☆入力!G29,選定!$C$3:$AG$100,1,FALSE),"")</f>
        <v/>
      </c>
      <c r="E23" s="152">
        <f>☆入力!L29</f>
        <v>0</v>
      </c>
      <c r="F23" s="150" t="str">
        <f>IFERROR(VLOOKUP(☆入力!G29,選定!$C$3:$AG$100,7,FALSE),"")</f>
        <v/>
      </c>
      <c r="G23" s="1043" t="str">
        <f t="shared" si="0"/>
        <v/>
      </c>
      <c r="H23" s="1043"/>
    </row>
    <row r="24" spans="1:8" ht="10.5" customHeight="1">
      <c r="A24" s="151" t="str">
        <f>☆入力!B30</f>
        <v/>
      </c>
      <c r="B24" s="151">
        <f>☆入力!C30</f>
        <v>0</v>
      </c>
      <c r="C24" s="151" t="str">
        <f>IFERROR(VLOOKUP(☆入力!G30,選定!$C$3:$AG$100,11,FALSE),"")</f>
        <v/>
      </c>
      <c r="D24" s="320" t="str">
        <f>IFERROR(VLOOKUP(☆入力!G30,選定!$C$3:$AG$100,1,FALSE),"")</f>
        <v/>
      </c>
      <c r="E24" s="152">
        <f>☆入力!L30</f>
        <v>0</v>
      </c>
      <c r="F24" s="150" t="str">
        <f>IFERROR(VLOOKUP(☆入力!G30,選定!$C$3:$AG$100,7,FALSE),"")</f>
        <v/>
      </c>
      <c r="G24" s="1043" t="str">
        <f t="shared" si="0"/>
        <v/>
      </c>
      <c r="H24" s="1043"/>
    </row>
    <row r="25" spans="1:8" ht="10.5" hidden="1" customHeight="1" outlineLevel="1">
      <c r="A25" s="151" t="str">
        <f>☆入力!B31</f>
        <v/>
      </c>
      <c r="B25" s="151">
        <f>☆入力!C31</f>
        <v>0</v>
      </c>
      <c r="C25" s="151" t="str">
        <f>IFERROR(VLOOKUP(☆入力!G31,選定!$C$3:$AG$100,11,FALSE),"")</f>
        <v/>
      </c>
      <c r="D25" s="320" t="str">
        <f>IFERROR(VLOOKUP(☆入力!G31,選定!$C$3:$AG$100,1,FALSE),"")</f>
        <v/>
      </c>
      <c r="E25" s="152">
        <f>☆入力!L31</f>
        <v>0</v>
      </c>
      <c r="F25" s="150" t="str">
        <f>IFERROR(VLOOKUP(☆入力!G31,選定!$C$3:$AG$100,7,FALSE),"")</f>
        <v/>
      </c>
      <c r="G25" s="1043" t="str">
        <f t="shared" si="0"/>
        <v/>
      </c>
      <c r="H25" s="1043"/>
    </row>
    <row r="26" spans="1:8" ht="10.5" hidden="1" customHeight="1" outlineLevel="1">
      <c r="A26" s="151" t="str">
        <f>☆入力!B32</f>
        <v/>
      </c>
      <c r="B26" s="151">
        <f>☆入力!C32</f>
        <v>0</v>
      </c>
      <c r="C26" s="151" t="str">
        <f>IFERROR(VLOOKUP(☆入力!G32,選定!$C$3:$AG$100,11,FALSE),"")</f>
        <v/>
      </c>
      <c r="D26" s="320" t="str">
        <f>IFERROR(VLOOKUP(☆入力!G32,選定!$C$3:$AG$100,1,FALSE),"")</f>
        <v/>
      </c>
      <c r="E26" s="152">
        <f>☆入力!L32</f>
        <v>0</v>
      </c>
      <c r="F26" s="150" t="str">
        <f>IFERROR(VLOOKUP(☆入力!G32,選定!$C$3:$AG$100,7,FALSE),"")</f>
        <v/>
      </c>
      <c r="G26" s="1043" t="str">
        <f t="shared" si="0"/>
        <v/>
      </c>
      <c r="H26" s="1043"/>
    </row>
    <row r="27" spans="1:8" ht="10.5" hidden="1" customHeight="1" outlineLevel="1">
      <c r="A27" s="151" t="str">
        <f>☆入力!B33</f>
        <v/>
      </c>
      <c r="B27" s="151">
        <f>☆入力!C33</f>
        <v>0</v>
      </c>
      <c r="C27" s="151" t="str">
        <f>IFERROR(VLOOKUP(☆入力!G33,選定!$C$3:$AG$100,11,FALSE),"")</f>
        <v/>
      </c>
      <c r="D27" s="320" t="str">
        <f>IFERROR(VLOOKUP(☆入力!G33,選定!$C$3:$AG$100,1,FALSE),"")</f>
        <v/>
      </c>
      <c r="E27" s="152">
        <f>☆入力!L33</f>
        <v>0</v>
      </c>
      <c r="F27" s="150" t="str">
        <f>IFERROR(VLOOKUP(☆入力!G33,選定!$C$3:$AG$100,7,FALSE),"")</f>
        <v/>
      </c>
      <c r="G27" s="1043" t="str">
        <f t="shared" si="0"/>
        <v/>
      </c>
      <c r="H27" s="1043"/>
    </row>
    <row r="28" spans="1:8" ht="10.35" hidden="1" customHeight="1" outlineLevel="1">
      <c r="A28" s="151" t="str">
        <f>☆入力!B34</f>
        <v/>
      </c>
      <c r="B28" s="151">
        <f>☆入力!C34</f>
        <v>0</v>
      </c>
      <c r="C28" s="151" t="str">
        <f>IFERROR(VLOOKUP(☆入力!G34,選定!$C$3:$AG$100,11,FALSE),"")</f>
        <v/>
      </c>
      <c r="D28" s="320" t="str">
        <f>IFERROR(VLOOKUP(☆入力!G34,選定!$C$3:$AG$100,1,FALSE),"")</f>
        <v/>
      </c>
      <c r="E28" s="152">
        <f>☆入力!L34</f>
        <v>0</v>
      </c>
      <c r="F28" s="150" t="str">
        <f>IFERROR(VLOOKUP(☆入力!G34,選定!$C$3:$AG$100,7,FALSE),"")</f>
        <v/>
      </c>
      <c r="G28" s="1043" t="str">
        <f t="shared" si="0"/>
        <v/>
      </c>
      <c r="H28" s="1043"/>
    </row>
    <row r="29" spans="1:8" ht="10.5" hidden="1" customHeight="1" outlineLevel="1">
      <c r="A29" s="151" t="str">
        <f>☆入力!B35</f>
        <v/>
      </c>
      <c r="B29" s="151">
        <f>☆入力!C35</f>
        <v>0</v>
      </c>
      <c r="C29" s="151" t="str">
        <f>IFERROR(VLOOKUP(☆入力!G35,選定!$C$3:$AG$100,11,FALSE),"")</f>
        <v/>
      </c>
      <c r="D29" s="320" t="str">
        <f>IFERROR(VLOOKUP(☆入力!G35,選定!$C$3:$AG$100,1,FALSE),"")</f>
        <v/>
      </c>
      <c r="E29" s="152">
        <f>☆入力!L35</f>
        <v>0</v>
      </c>
      <c r="F29" s="150" t="str">
        <f>IFERROR(VLOOKUP(☆入力!G35,選定!$C$3:$AG$100,7,FALSE),"")</f>
        <v/>
      </c>
      <c r="G29" s="1043" t="str">
        <f t="shared" si="0"/>
        <v/>
      </c>
      <c r="H29" s="1043"/>
    </row>
    <row r="30" spans="1:8" ht="10.5" hidden="1" customHeight="1" outlineLevel="1">
      <c r="A30" s="151" t="str">
        <f>☆入力!B36</f>
        <v/>
      </c>
      <c r="B30" s="151">
        <f>☆入力!C36</f>
        <v>0</v>
      </c>
      <c r="C30" s="151" t="str">
        <f>IFERROR(VLOOKUP(☆入力!G36,選定!$C$3:$AG$100,11,FALSE),"")</f>
        <v/>
      </c>
      <c r="D30" s="320" t="str">
        <f>IFERROR(VLOOKUP(☆入力!G36,選定!$C$3:$AG$100,1,FALSE),"")</f>
        <v/>
      </c>
      <c r="E30" s="152">
        <f>☆入力!L36</f>
        <v>0</v>
      </c>
      <c r="F30" s="150" t="str">
        <f>IFERROR(VLOOKUP(☆入力!G36,選定!$C$3:$AG$100,7,FALSE),"")</f>
        <v/>
      </c>
      <c r="G30" s="1043" t="str">
        <f t="shared" si="0"/>
        <v/>
      </c>
      <c r="H30" s="1043"/>
    </row>
    <row r="31" spans="1:8" ht="10.5" hidden="1" customHeight="1" outlineLevel="1">
      <c r="A31" s="151" t="str">
        <f>☆入力!B37</f>
        <v/>
      </c>
      <c r="B31" s="151">
        <f>☆入力!C37</f>
        <v>0</v>
      </c>
      <c r="C31" s="151" t="str">
        <f>IFERROR(VLOOKUP(☆入力!G37,選定!$C$3:$AG$100,11,FALSE),"")</f>
        <v/>
      </c>
      <c r="D31" s="320" t="str">
        <f>IFERROR(VLOOKUP(☆入力!G37,選定!$C$3:$AG$100,1,FALSE),"")</f>
        <v/>
      </c>
      <c r="E31" s="152">
        <f>☆入力!L37</f>
        <v>0</v>
      </c>
      <c r="F31" s="150" t="str">
        <f>IFERROR(VLOOKUP(☆入力!G37,選定!$C$3:$AG$100,7,FALSE),"")</f>
        <v/>
      </c>
      <c r="G31" s="1043" t="str">
        <f t="shared" si="0"/>
        <v/>
      </c>
      <c r="H31" s="1043"/>
    </row>
    <row r="32" spans="1:8" ht="10.5" hidden="1" customHeight="1" outlineLevel="1">
      <c r="A32" s="151" t="str">
        <f>☆入力!B38</f>
        <v/>
      </c>
      <c r="B32" s="151">
        <f>☆入力!C38</f>
        <v>0</v>
      </c>
      <c r="C32" s="151" t="str">
        <f>IFERROR(VLOOKUP(☆入力!G38,選定!$C$3:$AG$100,11,FALSE),"")</f>
        <v/>
      </c>
      <c r="D32" s="320" t="str">
        <f>IFERROR(VLOOKUP(☆入力!G38,選定!$C$3:$AG$100,1,FALSE),"")</f>
        <v/>
      </c>
      <c r="E32" s="152">
        <f>☆入力!L38</f>
        <v>0</v>
      </c>
      <c r="F32" s="150" t="str">
        <f>IFERROR(VLOOKUP(☆入力!G38,選定!$C$3:$AG$100,7,FALSE),"")</f>
        <v/>
      </c>
      <c r="G32" s="1043" t="str">
        <f t="shared" si="0"/>
        <v/>
      </c>
      <c r="H32" s="1043"/>
    </row>
    <row r="33" spans="1:8" ht="10.5" hidden="1" customHeight="1" outlineLevel="1">
      <c r="A33" s="151" t="str">
        <f>☆入力!B39</f>
        <v/>
      </c>
      <c r="B33" s="151">
        <f>☆入力!C39</f>
        <v>0</v>
      </c>
      <c r="C33" s="151" t="str">
        <f>IFERROR(VLOOKUP(☆入力!G39,選定!$C$3:$AG$100,11,FALSE),"")</f>
        <v/>
      </c>
      <c r="D33" s="320" t="str">
        <f>IFERROR(VLOOKUP(☆入力!G39,選定!$C$3:$AG$100,1,FALSE),"")</f>
        <v/>
      </c>
      <c r="E33" s="152">
        <f>☆入力!L39</f>
        <v>0</v>
      </c>
      <c r="F33" s="150" t="str">
        <f>IFERROR(VLOOKUP(☆入力!G39,選定!$C$3:$AG$100,7,FALSE),"")</f>
        <v/>
      </c>
      <c r="G33" s="1043" t="str">
        <f t="shared" si="0"/>
        <v/>
      </c>
      <c r="H33" s="1043"/>
    </row>
    <row r="34" spans="1:8" ht="10.5" hidden="1" customHeight="1" outlineLevel="1">
      <c r="A34" s="153" t="str">
        <f>☆入力!B40</f>
        <v/>
      </c>
      <c r="B34" s="153">
        <f>☆入力!C40</f>
        <v>0</v>
      </c>
      <c r="C34" s="151" t="str">
        <f>IFERROR(VLOOKUP(☆入力!G40,選定!$C$3:$AG$100,11,FALSE),"")</f>
        <v/>
      </c>
      <c r="D34" s="320" t="str">
        <f>IFERROR(VLOOKUP(☆入力!G40,選定!$C$3:$AG$100,1,FALSE),"")</f>
        <v/>
      </c>
      <c r="E34" s="154">
        <f>☆入力!L40</f>
        <v>0</v>
      </c>
      <c r="F34" s="150" t="str">
        <f>IFERROR(VLOOKUP(☆入力!G40,選定!$C$3:$AG$100,7,FALSE),"")</f>
        <v/>
      </c>
      <c r="G34" s="1043" t="str">
        <f t="shared" si="0"/>
        <v/>
      </c>
      <c r="H34" s="1043"/>
    </row>
    <row r="35" spans="1:8" ht="10.5" hidden="1" customHeight="1" outlineLevel="1">
      <c r="A35" s="153" t="str">
        <f>☆入力!B41</f>
        <v/>
      </c>
      <c r="B35" s="153">
        <f>☆入力!C41</f>
        <v>0</v>
      </c>
      <c r="C35" s="151" t="str">
        <f>IFERROR(VLOOKUP(☆入力!G41,選定!$C$3:$AG$100,11,FALSE),"")</f>
        <v/>
      </c>
      <c r="D35" s="320" t="str">
        <f>IFERROR(VLOOKUP(☆入力!G41,選定!$C$3:$AG$100,1,FALSE),"")</f>
        <v/>
      </c>
      <c r="E35" s="154">
        <f>☆入力!L41</f>
        <v>0</v>
      </c>
      <c r="F35" s="150" t="str">
        <f>IFERROR(VLOOKUP(☆入力!G41,選定!$C$3:$AG$100,7,FALSE),"")</f>
        <v/>
      </c>
      <c r="G35" s="1043" t="str">
        <f t="shared" si="0"/>
        <v/>
      </c>
      <c r="H35" s="1043"/>
    </row>
    <row r="36" spans="1:8" ht="10.5" hidden="1" customHeight="1" outlineLevel="1">
      <c r="A36" s="153" t="str">
        <f>☆入力!B42</f>
        <v/>
      </c>
      <c r="B36" s="153">
        <f>☆入力!C42</f>
        <v>0</v>
      </c>
      <c r="C36" s="151" t="str">
        <f>IFERROR(VLOOKUP(☆入力!G42,選定!$C$3:$AG$100,11,FALSE),"")</f>
        <v/>
      </c>
      <c r="D36" s="320" t="str">
        <f>IFERROR(VLOOKUP(☆入力!G42,選定!$C$3:$AG$100,1,FALSE),"")</f>
        <v/>
      </c>
      <c r="E36" s="154">
        <f>☆入力!L42</f>
        <v>0</v>
      </c>
      <c r="F36" s="150" t="str">
        <f>IFERROR(VLOOKUP(☆入力!G42,選定!$C$3:$AG$100,7,FALSE),"")</f>
        <v/>
      </c>
      <c r="G36" s="1043" t="str">
        <f t="shared" si="0"/>
        <v/>
      </c>
      <c r="H36" s="1043"/>
    </row>
    <row r="37" spans="1:8" ht="10.5" hidden="1" customHeight="1" outlineLevel="1">
      <c r="A37" s="153" t="str">
        <f>☆入力!B43</f>
        <v/>
      </c>
      <c r="B37" s="153">
        <f>☆入力!C43</f>
        <v>0</v>
      </c>
      <c r="C37" s="151" t="str">
        <f>IFERROR(VLOOKUP(☆入力!G43,選定!$C$3:$AG$100,11,FALSE),"")</f>
        <v/>
      </c>
      <c r="D37" s="320" t="str">
        <f>IFERROR(VLOOKUP(☆入力!G43,選定!$C$3:$AG$100,1,FALSE),"")</f>
        <v/>
      </c>
      <c r="E37" s="154">
        <f>☆入力!L43</f>
        <v>0</v>
      </c>
      <c r="F37" s="150" t="str">
        <f>IFERROR(VLOOKUP(☆入力!G43,選定!$C$3:$AG$100,7,FALSE),"")</f>
        <v/>
      </c>
      <c r="G37" s="1043" t="str">
        <f t="shared" si="0"/>
        <v/>
      </c>
      <c r="H37" s="1043"/>
    </row>
    <row r="38" spans="1:8" ht="10.5" hidden="1" customHeight="1" outlineLevel="1">
      <c r="A38" s="153" t="str">
        <f>☆入力!B44</f>
        <v/>
      </c>
      <c r="B38" s="153">
        <f>☆入力!C44</f>
        <v>0</v>
      </c>
      <c r="C38" s="151" t="str">
        <f>IFERROR(VLOOKUP(☆入力!G44,選定!$C$3:$AG$100,11,FALSE),"")</f>
        <v/>
      </c>
      <c r="D38" s="320" t="str">
        <f>IFERROR(VLOOKUP(☆入力!G44,選定!$C$3:$AG$100,1,FALSE),"")</f>
        <v/>
      </c>
      <c r="E38" s="154">
        <f>☆入力!L44</f>
        <v>0</v>
      </c>
      <c r="F38" s="150" t="str">
        <f>IFERROR(VLOOKUP(☆入力!G44,選定!$C$3:$AG$100,7,FALSE),"")</f>
        <v/>
      </c>
      <c r="G38" s="1043" t="str">
        <f t="shared" si="0"/>
        <v/>
      </c>
      <c r="H38" s="1043"/>
    </row>
    <row r="39" spans="1:8" ht="10.5" hidden="1" customHeight="1" outlineLevel="1">
      <c r="A39" s="153" t="str">
        <f>☆入力!B45</f>
        <v/>
      </c>
      <c r="B39" s="153">
        <f>☆入力!C45</f>
        <v>0</v>
      </c>
      <c r="C39" s="159" t="str">
        <f>IFERROR(VLOOKUP(☆入力!G45,選定!$C$3:$AG$100,11,FALSE),"")</f>
        <v/>
      </c>
      <c r="D39" s="320" t="str">
        <f>IFERROR(VLOOKUP(☆入力!G45,選定!$C$3:$AG$100,1,FALSE),"")</f>
        <v/>
      </c>
      <c r="E39" s="154">
        <f>☆入力!L45</f>
        <v>0</v>
      </c>
      <c r="F39" s="150" t="str">
        <f>IFERROR(VLOOKUP(☆入力!G45,選定!$C$3:$AG$100,7,FALSE),"")</f>
        <v/>
      </c>
      <c r="G39" s="1043" t="str">
        <f t="shared" si="0"/>
        <v/>
      </c>
      <c r="H39" s="1043"/>
    </row>
    <row r="40" spans="1:8" ht="10.5" customHeight="1" collapsed="1">
      <c r="A40" s="1045" t="s">
        <v>343</v>
      </c>
      <c r="B40" s="1046"/>
      <c r="C40" s="1046"/>
      <c r="D40" s="1047"/>
      <c r="E40" s="155">
        <v>1</v>
      </c>
      <c r="F40" s="156"/>
      <c r="G40" s="1048">
        <f>SUM(G10:H39)</f>
        <v>0</v>
      </c>
      <c r="H40" s="1049"/>
    </row>
    <row r="41" spans="1:8" ht="10.5" customHeight="1">
      <c r="A41" s="1050" t="s">
        <v>359</v>
      </c>
      <c r="B41" s="1051"/>
      <c r="C41" s="1051"/>
      <c r="D41" s="1052"/>
      <c r="E41" s="157">
        <v>1</v>
      </c>
      <c r="F41" s="158"/>
      <c r="G41" s="1053">
        <f ca="1">(☆入力!AL14+代理店入力用!D5)-SUM(G40,G46:H54)</f>
        <v>-28000</v>
      </c>
      <c r="H41" s="1054"/>
    </row>
    <row r="42" spans="1:8" ht="10.5" customHeight="1">
      <c r="A42" s="1050" t="str">
        <f>"複数棟キャンペーン割引（ "&amp;TEXT(☆入力!AR11,"0%")&amp;" ＯＦＦ）"</f>
        <v>複数棟キャンペーン割引（ 0% ＯＦＦ）</v>
      </c>
      <c r="B42" s="1051"/>
      <c r="C42" s="1051"/>
      <c r="D42" s="1052"/>
      <c r="E42" s="157">
        <v>1</v>
      </c>
      <c r="F42" s="158"/>
      <c r="G42" s="1053">
        <f ca="1">-(☆入力!AL14*☆入力!AR11)</f>
        <v>0</v>
      </c>
      <c r="H42" s="1054"/>
    </row>
    <row r="43" spans="1:8" ht="10.5" customHeight="1" thickBot="1">
      <c r="A43" s="116"/>
      <c r="B43" s="116"/>
      <c r="C43" s="116"/>
      <c r="D43" s="117"/>
      <c r="E43" s="118"/>
      <c r="F43" s="122" t="s">
        <v>360</v>
      </c>
      <c r="G43" s="1055">
        <f ca="1">SUM(G40:H42)</f>
        <v>-28000</v>
      </c>
      <c r="H43" s="1055"/>
    </row>
    <row r="44" spans="1:8" ht="10.5" customHeight="1" thickTop="1">
      <c r="A44" s="112"/>
      <c r="B44" s="112"/>
      <c r="C44" s="112"/>
      <c r="D44" s="113"/>
      <c r="E44" s="114"/>
      <c r="F44" s="114"/>
      <c r="G44" s="115"/>
      <c r="H44" s="115"/>
    </row>
    <row r="45" spans="1:8" ht="10.5" customHeight="1">
      <c r="A45" s="1056" t="s">
        <v>361</v>
      </c>
      <c r="B45" s="1057"/>
      <c r="C45" s="1057"/>
      <c r="D45" s="1058"/>
      <c r="E45" s="477" t="s">
        <v>161</v>
      </c>
      <c r="F45" s="477" t="s">
        <v>342</v>
      </c>
      <c r="G45" s="1044" t="s">
        <v>343</v>
      </c>
      <c r="H45" s="1044"/>
    </row>
    <row r="46" spans="1:8" ht="10.5" customHeight="1">
      <c r="A46" s="1059" t="s">
        <v>362</v>
      </c>
      <c r="B46" s="1060"/>
      <c r="C46" s="1060"/>
      <c r="D46" s="1061"/>
      <c r="E46" s="150">
        <f>VLOOKUP(☆入力!L14,LED計算式!M21:N26,2,TRUE)</f>
        <v>1</v>
      </c>
      <c r="F46" s="150">
        <v>20000</v>
      </c>
      <c r="G46" s="1043">
        <f t="shared" ref="G46:G47" si="1">IFERROR(F46*E46,"")</f>
        <v>20000</v>
      </c>
      <c r="H46" s="1043"/>
    </row>
    <row r="47" spans="1:8" ht="10.35" customHeight="1">
      <c r="A47" s="1063" t="s">
        <v>363</v>
      </c>
      <c r="B47" s="1064"/>
      <c r="C47" s="1064"/>
      <c r="D47" s="1065"/>
      <c r="E47" s="152">
        <f>LED計算式!O36</f>
        <v>0</v>
      </c>
      <c r="F47" s="152">
        <v>3000</v>
      </c>
      <c r="G47" s="1071">
        <f t="shared" si="1"/>
        <v>0</v>
      </c>
      <c r="H47" s="1071"/>
    </row>
    <row r="48" spans="1:8" ht="10.35" hidden="1" customHeight="1" outlineLevel="1">
      <c r="A48" s="1063" t="s">
        <v>364</v>
      </c>
      <c r="B48" s="1064"/>
      <c r="C48" s="1064"/>
      <c r="D48" s="1065"/>
      <c r="E48" s="152">
        <f>LED計算式!O37</f>
        <v>0</v>
      </c>
      <c r="F48" s="152">
        <v>4500</v>
      </c>
      <c r="G48" s="1071">
        <f t="shared" ref="G48:G54" si="2">IFERROR(F48*E48,"")</f>
        <v>0</v>
      </c>
      <c r="H48" s="1071"/>
    </row>
    <row r="49" spans="1:9" ht="10.35" hidden="1" customHeight="1" outlineLevel="1">
      <c r="A49" s="1063" t="s">
        <v>365</v>
      </c>
      <c r="B49" s="1064"/>
      <c r="C49" s="1064"/>
      <c r="D49" s="1065"/>
      <c r="E49" s="152">
        <f>LED計算式!O38</f>
        <v>0</v>
      </c>
      <c r="F49" s="152">
        <v>2000</v>
      </c>
      <c r="G49" s="1071">
        <f t="shared" si="2"/>
        <v>0</v>
      </c>
      <c r="H49" s="1071"/>
    </row>
    <row r="50" spans="1:9" ht="10.35" hidden="1" customHeight="1" outlineLevel="1">
      <c r="A50" s="1063" t="s">
        <v>366</v>
      </c>
      <c r="B50" s="1064"/>
      <c r="C50" s="1064"/>
      <c r="D50" s="1065"/>
      <c r="E50" s="152">
        <f>LED計算式!O39</f>
        <v>0</v>
      </c>
      <c r="F50" s="152">
        <v>600</v>
      </c>
      <c r="G50" s="1071">
        <f t="shared" si="2"/>
        <v>0</v>
      </c>
      <c r="H50" s="1071"/>
    </row>
    <row r="51" spans="1:9" ht="10.5" customHeight="1" collapsed="1">
      <c r="A51" s="1063" t="s">
        <v>367</v>
      </c>
      <c r="B51" s="1064"/>
      <c r="C51" s="1064"/>
      <c r="D51" s="1065"/>
      <c r="E51" s="152">
        <f>COUNTA(☆入力!AG16:AG45)</f>
        <v>1</v>
      </c>
      <c r="F51" s="152">
        <v>3000</v>
      </c>
      <c r="G51" s="1071">
        <f t="shared" si="2"/>
        <v>3000</v>
      </c>
      <c r="H51" s="1071"/>
    </row>
    <row r="52" spans="1:9" ht="10.5" customHeight="1">
      <c r="A52" s="1063" t="s">
        <v>368</v>
      </c>
      <c r="B52" s="1064"/>
      <c r="C52" s="1064"/>
      <c r="D52" s="1065"/>
      <c r="E52" s="152">
        <f>SUM(E47:E49)</f>
        <v>0</v>
      </c>
      <c r="F52" s="152">
        <v>1000</v>
      </c>
      <c r="G52" s="1071">
        <f t="shared" si="2"/>
        <v>0</v>
      </c>
      <c r="H52" s="1071"/>
    </row>
    <row r="53" spans="1:9" ht="10.5" customHeight="1">
      <c r="A53" s="1063" t="s">
        <v>369</v>
      </c>
      <c r="B53" s="1064"/>
      <c r="C53" s="1064"/>
      <c r="D53" s="1065"/>
      <c r="E53" s="152">
        <f>COUNTA(☆入力!AG16:AG45)</f>
        <v>1</v>
      </c>
      <c r="F53" s="152">
        <v>5000</v>
      </c>
      <c r="G53" s="1071">
        <f t="shared" si="2"/>
        <v>5000</v>
      </c>
      <c r="H53" s="1071"/>
    </row>
    <row r="54" spans="1:9" ht="10.5" customHeight="1">
      <c r="A54" s="1066">
        <f>☆入力!AH12</f>
        <v>0</v>
      </c>
      <c r="B54" s="1067"/>
      <c r="C54" s="1067"/>
      <c r="D54" s="1068"/>
      <c r="E54" s="160" t="str">
        <f>IF(☆入力!AH12&lt;&gt;"","1","")</f>
        <v/>
      </c>
      <c r="F54" s="161">
        <f>☆入力!AJ12</f>
        <v>0</v>
      </c>
      <c r="G54" s="1071" t="str">
        <f t="shared" si="2"/>
        <v/>
      </c>
      <c r="H54" s="1071"/>
    </row>
    <row r="55" spans="1:9" ht="10.5" customHeight="1" thickBot="1">
      <c r="A55" s="1421"/>
      <c r="B55" s="1421"/>
      <c r="C55" s="1421"/>
      <c r="D55" s="1421"/>
      <c r="E55" s="105"/>
      <c r="F55" s="122" t="s">
        <v>370</v>
      </c>
      <c r="G55" s="1055">
        <f>SUM(G46:H54)</f>
        <v>28000</v>
      </c>
      <c r="H55" s="1055"/>
    </row>
    <row r="56" spans="1:9" ht="12.75" thickTop="1">
      <c r="A56" s="1062" t="s">
        <v>346</v>
      </c>
      <c r="B56" s="1062"/>
      <c r="C56" s="1062"/>
      <c r="D56" s="1062"/>
      <c r="E56" s="105"/>
      <c r="F56" s="105"/>
      <c r="G56" s="105"/>
      <c r="H56" s="105"/>
    </row>
    <row r="57" spans="1:9" ht="10.35" customHeight="1" thickBot="1">
      <c r="A57" s="1083">
        <f>☆入力!AH4</f>
        <v>0</v>
      </c>
      <c r="B57" s="1084"/>
      <c r="C57" s="1084"/>
      <c r="D57" s="1085"/>
      <c r="E57" s="105"/>
      <c r="F57" s="119" t="s">
        <v>371</v>
      </c>
      <c r="G57" s="1072">
        <f ca="1">ROUNDDOWN(G43+G55,0)</f>
        <v>0</v>
      </c>
      <c r="H57" s="1072"/>
    </row>
    <row r="58" spans="1:9" ht="10.35" customHeight="1" thickTop="1" thickBot="1">
      <c r="A58" s="1086"/>
      <c r="B58" s="1087"/>
      <c r="C58" s="1087"/>
      <c r="D58" s="1088"/>
    </row>
    <row r="59" spans="1:9" ht="10.35" customHeight="1">
      <c r="A59" s="1086">
        <f>☆入力!AH5</f>
        <v>0</v>
      </c>
      <c r="B59" s="1087"/>
      <c r="C59" s="1087"/>
      <c r="D59" s="1088"/>
      <c r="F59" s="1081" t="s">
        <v>336</v>
      </c>
      <c r="G59" s="1073">
        <f ca="1">VLOOKUP(F59,J11:K12,2,FALSE)</f>
        <v>0</v>
      </c>
      <c r="H59" s="1074"/>
    </row>
    <row r="60" spans="1:9" ht="10.35" customHeight="1" thickBot="1">
      <c r="A60" s="1086"/>
      <c r="B60" s="1087"/>
      <c r="C60" s="1087"/>
      <c r="D60" s="1088"/>
      <c r="F60" s="1082"/>
      <c r="G60" s="1075"/>
      <c r="H60" s="1076"/>
    </row>
    <row r="61" spans="1:9" ht="10.35" customHeight="1">
      <c r="A61" s="1086">
        <f>☆入力!AH6</f>
        <v>0</v>
      </c>
      <c r="B61" s="1087"/>
      <c r="C61" s="1087"/>
      <c r="D61" s="1088"/>
      <c r="F61" s="1077" t="s">
        <v>328</v>
      </c>
      <c r="G61" s="1079">
        <f ca="1">VLOOKUP(F61,J9:K10,2,FALSE)</f>
        <v>0</v>
      </c>
      <c r="H61" s="1069" t="s">
        <v>331</v>
      </c>
    </row>
    <row r="62" spans="1:9" ht="10.35" customHeight="1" thickBot="1">
      <c r="A62" s="1089"/>
      <c r="B62" s="1090"/>
      <c r="C62" s="1090"/>
      <c r="D62" s="1091"/>
      <c r="F62" s="1078"/>
      <c r="G62" s="1080"/>
      <c r="H62" s="1070"/>
    </row>
    <row r="63" spans="1:9" ht="18" customHeight="1">
      <c r="F63" s="231" t="s">
        <v>351</v>
      </c>
      <c r="I63" s="388" t="s">
        <v>339</v>
      </c>
    </row>
    <row r="64" spans="1:9" ht="9.9499999999999993" customHeight="1"/>
    <row r="65" ht="9.9499999999999993" customHeight="1"/>
    <row r="66" ht="9.9499999999999993" customHeight="1"/>
    <row r="67" ht="9.9499999999999993" customHeight="1"/>
  </sheetData>
  <mergeCells count="75">
    <mergeCell ref="G47:H47"/>
    <mergeCell ref="G51:H51"/>
    <mergeCell ref="G52:H52"/>
    <mergeCell ref="A47:D47"/>
    <mergeCell ref="A51:D51"/>
    <mergeCell ref="A52:D52"/>
    <mergeCell ref="G48:H48"/>
    <mergeCell ref="G49:H49"/>
    <mergeCell ref="G50:H50"/>
    <mergeCell ref="A48:D48"/>
    <mergeCell ref="A49:D49"/>
    <mergeCell ref="A50:D50"/>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5:H45"/>
    <mergeCell ref="G46:H46"/>
    <mergeCell ref="A42:D42"/>
    <mergeCell ref="G42:H42"/>
    <mergeCell ref="A45:D45"/>
    <mergeCell ref="A46:D46"/>
    <mergeCell ref="A40:D40"/>
    <mergeCell ref="G40:H40"/>
    <mergeCell ref="A41:D41"/>
    <mergeCell ref="G41:H41"/>
    <mergeCell ref="G43:H43"/>
    <mergeCell ref="G29:H29"/>
    <mergeCell ref="G31:H31"/>
    <mergeCell ref="G32:H32"/>
    <mergeCell ref="G33:H33"/>
    <mergeCell ref="G34:H34"/>
    <mergeCell ref="G30:H30"/>
    <mergeCell ref="G24:H24"/>
    <mergeCell ref="G25:H25"/>
    <mergeCell ref="G26:H26"/>
    <mergeCell ref="G27:H27"/>
    <mergeCell ref="G28:H28"/>
    <mergeCell ref="G19:H19"/>
    <mergeCell ref="G20:H20"/>
    <mergeCell ref="G21:H21"/>
    <mergeCell ref="G22:H22"/>
    <mergeCell ref="G23:H23"/>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35:H35"/>
    <mergeCell ref="G36:H36"/>
    <mergeCell ref="G37:H37"/>
    <mergeCell ref="G38:H38"/>
    <mergeCell ref="G39:H39"/>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A60" sqref="A60:C61"/>
    </sheetView>
  </sheetViews>
  <sheetFormatPr defaultColWidth="9" defaultRowHeight="12" outlineLevelRow="1"/>
  <cols>
    <col min="1" max="1" width="13.625" style="75" customWidth="1"/>
    <col min="2" max="2" width="20.375" style="75" customWidth="1"/>
    <col min="3" max="3" width="37.125" style="75" customWidth="1"/>
    <col min="4" max="4" width="8.875" style="75" customWidth="1"/>
    <col min="5" max="5" width="18" style="75" customWidth="1"/>
    <col min="6" max="6" width="13.5" style="75" customWidth="1"/>
    <col min="7" max="7" width="15.5" style="75" bestFit="1" customWidth="1"/>
    <col min="8" max="8" width="9" style="75"/>
    <col min="9" max="9" width="18.75" style="75" customWidth="1"/>
    <col min="10" max="10" width="11.375" style="75" customWidth="1"/>
    <col min="11" max="11" width="10.625" style="75" bestFit="1" customWidth="1"/>
    <col min="12" max="16384" width="9" style="75"/>
  </cols>
  <sheetData>
    <row r="1" spans="1:10" ht="15" customHeight="1">
      <c r="A1" s="977" t="s">
        <v>323</v>
      </c>
      <c r="B1" s="977"/>
      <c r="C1" s="977"/>
      <c r="F1" s="76" t="s">
        <v>324</v>
      </c>
      <c r="G1" s="77">
        <f ca="1">TODAY()</f>
        <v>46079</v>
      </c>
    </row>
    <row r="2" spans="1:10" ht="15" customHeight="1">
      <c r="A2" s="977"/>
      <c r="B2" s="977"/>
      <c r="C2" s="977"/>
      <c r="F2" s="76"/>
      <c r="G2" s="78"/>
    </row>
    <row r="3" spans="1:10" ht="15" customHeight="1">
      <c r="A3" s="1033">
        <f>☆入力!C5</f>
        <v>0</v>
      </c>
      <c r="B3" s="1033"/>
      <c r="C3" s="1033"/>
    </row>
    <row r="4" spans="1:10" ht="15" customHeight="1">
      <c r="A4" s="1034"/>
      <c r="B4" s="1034"/>
      <c r="C4" s="1034"/>
      <c r="E4" s="995" t="str">
        <f>IF(代理店入力用!N3="",'⓪表紙'!I25,代理店入力用!N3)</f>
        <v>株式会社クラスコ</v>
      </c>
      <c r="F4" s="995"/>
      <c r="G4" s="995"/>
    </row>
    <row r="5" spans="1:10" ht="15" customHeight="1">
      <c r="E5" s="996" t="str">
        <f>IF(代理店入力用!N5="",'⓪表紙'!I26,'⓪表紙'!A26)</f>
        <v>〒920-0024石川県金沢市西念4丁目24-21</v>
      </c>
      <c r="F5" s="996"/>
      <c r="G5" s="996"/>
    </row>
    <row r="6" spans="1:10" ht="15" customHeight="1">
      <c r="A6" s="105" t="s">
        <v>325</v>
      </c>
      <c r="E6" s="996" t="str">
        <f>IF(代理店入力用!N6="",'⓪表紙'!I27,'⓪表紙'!A27)</f>
        <v>TEL：　076-222-1111</v>
      </c>
      <c r="F6" s="996"/>
      <c r="G6" s="996"/>
    </row>
    <row r="7" spans="1:10" ht="15" customHeight="1">
      <c r="A7" s="105" t="s">
        <v>357</v>
      </c>
    </row>
    <row r="8" spans="1:10" ht="6" customHeight="1"/>
    <row r="9" spans="1:10" ht="10.5" customHeight="1">
      <c r="A9" s="477" t="s">
        <v>340</v>
      </c>
      <c r="B9" s="477" t="s">
        <v>70</v>
      </c>
      <c r="C9" s="477" t="s">
        <v>268</v>
      </c>
      <c r="D9" s="477" t="s">
        <v>16</v>
      </c>
      <c r="E9" s="477" t="s">
        <v>358</v>
      </c>
      <c r="F9" s="1044" t="s">
        <v>343</v>
      </c>
      <c r="G9" s="1044"/>
      <c r="I9" s="384" t="s">
        <v>328</v>
      </c>
      <c r="J9" s="387">
        <f ca="1">ROUNDDOWN(F56/54,0)</f>
        <v>0</v>
      </c>
    </row>
    <row r="10" spans="1:10" ht="10.5" customHeight="1">
      <c r="A10" s="148">
        <v>1</v>
      </c>
      <c r="B10" s="149" t="str">
        <f>IFERROR(VLOOKUP(☆入力!G16,選定!$C$3:$AG$100,11,FALSE),"")</f>
        <v/>
      </c>
      <c r="C10" s="320" t="str">
        <f>IFERROR(VLOOKUP(☆入力!G16,選定!$C$3:$AG$100,1,FALSE),"")</f>
        <v/>
      </c>
      <c r="D10" s="150">
        <f>☆入力!L16</f>
        <v>0</v>
      </c>
      <c r="E10" s="150" t="str">
        <f>IFERROR(VLOOKUP(☆入力!G16,選定!$C$3:$AG$100,7,FALSE),"")</f>
        <v/>
      </c>
      <c r="F10" s="1043" t="str">
        <f>IFERROR(E10*D10,"")</f>
        <v/>
      </c>
      <c r="G10" s="1043"/>
      <c r="I10" s="384" t="s">
        <v>332</v>
      </c>
      <c r="J10" s="387">
        <f ca="1">J9*1.1</f>
        <v>0</v>
      </c>
    </row>
    <row r="11" spans="1:10" ht="10.5" customHeight="1">
      <c r="A11" s="151">
        <v>2</v>
      </c>
      <c r="B11" s="151" t="str">
        <f>IFERROR(VLOOKUP(☆入力!G17,選定!$C$3:$AG$100,11,FALSE),"")</f>
        <v/>
      </c>
      <c r="C11" s="320" t="str">
        <f>IFERROR(VLOOKUP(☆入力!G17,選定!$C$3:$AG$100,1,FALSE),"")</f>
        <v/>
      </c>
      <c r="D11" s="152">
        <f>☆入力!L17</f>
        <v>0</v>
      </c>
      <c r="E11" s="150" t="str">
        <f>IFERROR(VLOOKUP(☆入力!G17,選定!$C$3:$AG$100,7,FALSE),"")</f>
        <v/>
      </c>
      <c r="F11" s="1109" t="str">
        <f t="shared" ref="F11:F39" si="0">IFERROR(E11*D11,"")</f>
        <v/>
      </c>
      <c r="G11" s="1110"/>
      <c r="I11" s="27" t="s">
        <v>335</v>
      </c>
      <c r="J11" s="387">
        <f ca="1">F56</f>
        <v>0</v>
      </c>
    </row>
    <row r="12" spans="1:10" ht="10.5" customHeight="1">
      <c r="A12" s="151">
        <v>3</v>
      </c>
      <c r="B12" s="151" t="str">
        <f>IFERROR(VLOOKUP(☆入力!G18,選定!$C$3:$AG$100,11,FALSE),"")</f>
        <v/>
      </c>
      <c r="C12" s="320" t="str">
        <f>IFERROR(VLOOKUP(☆入力!G18,選定!$C$3:$AG$100,1,FALSE),"")</f>
        <v/>
      </c>
      <c r="D12" s="152">
        <f>☆入力!L18</f>
        <v>0</v>
      </c>
      <c r="E12" s="150" t="str">
        <f>IFERROR(VLOOKUP(☆入力!G18,選定!$C$3:$AG$100,7,FALSE),"")</f>
        <v/>
      </c>
      <c r="F12" s="1109" t="str">
        <f t="shared" si="0"/>
        <v/>
      </c>
      <c r="G12" s="1110"/>
      <c r="I12" s="27" t="s">
        <v>337</v>
      </c>
      <c r="J12" s="387">
        <f ca="1">J11*1.1</f>
        <v>0</v>
      </c>
    </row>
    <row r="13" spans="1:10" ht="10.5" customHeight="1">
      <c r="A13" s="151">
        <v>4</v>
      </c>
      <c r="B13" s="151" t="str">
        <f>IFERROR(VLOOKUP(☆入力!G19,選定!$C$3:$AG$100,11,FALSE),"")</f>
        <v/>
      </c>
      <c r="C13" s="321" t="str">
        <f>IFERROR(VLOOKUP(☆入力!G19,選定!$C$3:$AG$100,1,FALSE),"")</f>
        <v/>
      </c>
      <c r="D13" s="152">
        <f>☆入力!L19</f>
        <v>0</v>
      </c>
      <c r="E13" s="150" t="str">
        <f>IFERROR(VLOOKUP(☆入力!G19,選定!$C$3:$AG$100,7,FALSE),"")</f>
        <v/>
      </c>
      <c r="F13" s="1107" t="str">
        <f t="shared" si="0"/>
        <v/>
      </c>
      <c r="G13" s="1108"/>
    </row>
    <row r="14" spans="1:10" ht="10.5" customHeight="1">
      <c r="A14" s="151">
        <v>5</v>
      </c>
      <c r="B14" s="151" t="str">
        <f>IFERROR(VLOOKUP(☆入力!G20,選定!$C$3:$AG$100,11,FALSE),"")</f>
        <v/>
      </c>
      <c r="C14" s="321" t="str">
        <f>IFERROR(VLOOKUP(☆入力!G20,選定!$C$3:$AG$100,1,FALSE),"")</f>
        <v/>
      </c>
      <c r="D14" s="152">
        <f>☆入力!L20</f>
        <v>0</v>
      </c>
      <c r="E14" s="150" t="str">
        <f>IFERROR(VLOOKUP(☆入力!G20,選定!$C$3:$AG$100,7,FALSE),"")</f>
        <v/>
      </c>
      <c r="F14" s="1107" t="str">
        <f t="shared" si="0"/>
        <v/>
      </c>
      <c r="G14" s="1108"/>
    </row>
    <row r="15" spans="1:10" ht="10.5" customHeight="1">
      <c r="A15" s="151">
        <v>6</v>
      </c>
      <c r="B15" s="151" t="str">
        <f>IFERROR(VLOOKUP(☆入力!G21,選定!$C$3:$AG$100,11,FALSE),"")</f>
        <v/>
      </c>
      <c r="C15" s="321" t="str">
        <f>IFERROR(VLOOKUP(☆入力!G21,選定!$C$3:$AG$100,1,FALSE),"")</f>
        <v/>
      </c>
      <c r="D15" s="152">
        <f>☆入力!L21</f>
        <v>0</v>
      </c>
      <c r="E15" s="150" t="str">
        <f>IFERROR(VLOOKUP(☆入力!G21,選定!$C$3:$AG$100,7,FALSE),"")</f>
        <v/>
      </c>
      <c r="F15" s="1107" t="str">
        <f t="shared" si="0"/>
        <v/>
      </c>
      <c r="G15" s="1108"/>
    </row>
    <row r="16" spans="1:10" ht="10.5" customHeight="1">
      <c r="A16" s="151">
        <v>7</v>
      </c>
      <c r="B16" s="151" t="str">
        <f>IFERROR(VLOOKUP(☆入力!G22,選定!$C$3:$AG$100,11,FALSE),"")</f>
        <v/>
      </c>
      <c r="C16" s="321" t="str">
        <f>IFERROR(VLOOKUP(☆入力!G22,選定!$C$3:$AG$100,1,FALSE),"")</f>
        <v/>
      </c>
      <c r="D16" s="152">
        <f>☆入力!L22</f>
        <v>0</v>
      </c>
      <c r="E16" s="150" t="str">
        <f>IFERROR(VLOOKUP(☆入力!G22,選定!$C$3:$AG$100,7,FALSE),"")</f>
        <v/>
      </c>
      <c r="F16" s="1107" t="str">
        <f t="shared" si="0"/>
        <v/>
      </c>
      <c r="G16" s="1108"/>
    </row>
    <row r="17" spans="1:7" ht="10.5" customHeight="1">
      <c r="A17" s="151">
        <v>8</v>
      </c>
      <c r="B17" s="151" t="str">
        <f>IFERROR(VLOOKUP(☆入力!G23,選定!$C$3:$AG$100,11,FALSE),"")</f>
        <v/>
      </c>
      <c r="C17" s="321" t="str">
        <f>IFERROR(VLOOKUP(☆入力!G23,選定!$C$3:$AG$100,1,FALSE),"")</f>
        <v/>
      </c>
      <c r="D17" s="152">
        <f>☆入力!L23</f>
        <v>0</v>
      </c>
      <c r="E17" s="150" t="str">
        <f>IFERROR(VLOOKUP(☆入力!G23,選定!$C$3:$AG$100,7,FALSE),"")</f>
        <v/>
      </c>
      <c r="F17" s="1107" t="str">
        <f t="shared" si="0"/>
        <v/>
      </c>
      <c r="G17" s="1108"/>
    </row>
    <row r="18" spans="1:7" ht="10.5" customHeight="1">
      <c r="A18" s="151">
        <v>9</v>
      </c>
      <c r="B18" s="151" t="str">
        <f>IFERROR(VLOOKUP(☆入力!G24,選定!$C$3:$AG$100,11,FALSE),"")</f>
        <v/>
      </c>
      <c r="C18" s="321" t="str">
        <f>IFERROR(VLOOKUP(☆入力!G24,選定!$C$3:$AG$100,1,FALSE),"")</f>
        <v/>
      </c>
      <c r="D18" s="152">
        <f>☆入力!L24</f>
        <v>0</v>
      </c>
      <c r="E18" s="150" t="str">
        <f>IFERROR(VLOOKUP(☆入力!G24,選定!$C$3:$AG$100,7,FALSE),"")</f>
        <v/>
      </c>
      <c r="F18" s="1107" t="str">
        <f t="shared" si="0"/>
        <v/>
      </c>
      <c r="G18" s="1108"/>
    </row>
    <row r="19" spans="1:7" ht="10.5" customHeight="1">
      <c r="A19" s="151">
        <v>10</v>
      </c>
      <c r="B19" s="151" t="str">
        <f>IFERROR(VLOOKUP(☆入力!G25,選定!$C$3:$AG$100,11,FALSE),"")</f>
        <v/>
      </c>
      <c r="C19" s="321" t="str">
        <f>IFERROR(VLOOKUP(☆入力!G25,選定!$C$3:$AG$100,1,FALSE),"")</f>
        <v/>
      </c>
      <c r="D19" s="152">
        <f>☆入力!L25</f>
        <v>0</v>
      </c>
      <c r="E19" s="150" t="str">
        <f>IFERROR(VLOOKUP(☆入力!G25,選定!$C$3:$AG$100,7,FALSE),"")</f>
        <v/>
      </c>
      <c r="F19" s="1107" t="str">
        <f t="shared" si="0"/>
        <v/>
      </c>
      <c r="G19" s="1108"/>
    </row>
    <row r="20" spans="1:7" ht="10.5" customHeight="1">
      <c r="A20" s="151">
        <v>11</v>
      </c>
      <c r="B20" s="151" t="str">
        <f>IFERROR(VLOOKUP(☆入力!G26,選定!$C$3:$AG$100,11,FALSE),"")</f>
        <v/>
      </c>
      <c r="C20" s="321" t="str">
        <f>IFERROR(VLOOKUP(☆入力!G26,選定!$C$3:$AG$100,1,FALSE),"")</f>
        <v/>
      </c>
      <c r="D20" s="152">
        <f>☆入力!L26</f>
        <v>0</v>
      </c>
      <c r="E20" s="150" t="str">
        <f>IFERROR(VLOOKUP(☆入力!G26,選定!$C$3:$AG$100,7,FALSE),"")</f>
        <v/>
      </c>
      <c r="F20" s="1107" t="str">
        <f t="shared" si="0"/>
        <v/>
      </c>
      <c r="G20" s="1108"/>
    </row>
    <row r="21" spans="1:7" ht="10.5" customHeight="1">
      <c r="A21" s="151">
        <v>12</v>
      </c>
      <c r="B21" s="151" t="str">
        <f>IFERROR(VLOOKUP(☆入力!G27,選定!$C$3:$AG$100,11,FALSE),"")</f>
        <v/>
      </c>
      <c r="C21" s="321" t="str">
        <f>IFERROR(VLOOKUP(☆入力!G27,選定!$C$3:$AG$100,1,FALSE),"")</f>
        <v/>
      </c>
      <c r="D21" s="152">
        <f>☆入力!L27</f>
        <v>0</v>
      </c>
      <c r="E21" s="150" t="str">
        <f>IFERROR(VLOOKUP(☆入力!G27,選定!$C$3:$AG$100,7,FALSE),"")</f>
        <v/>
      </c>
      <c r="F21" s="1107" t="str">
        <f t="shared" si="0"/>
        <v/>
      </c>
      <c r="G21" s="1108"/>
    </row>
    <row r="22" spans="1:7" ht="10.5" customHeight="1">
      <c r="A22" s="151">
        <v>13</v>
      </c>
      <c r="B22" s="151" t="str">
        <f>IFERROR(VLOOKUP(☆入力!G28,選定!$C$3:$AG$100,11,FALSE),"")</f>
        <v/>
      </c>
      <c r="C22" s="321" t="str">
        <f>IFERROR(VLOOKUP(☆入力!G28,選定!$C$3:$AG$100,1,FALSE),"")</f>
        <v/>
      </c>
      <c r="D22" s="152">
        <f>☆入力!L28</f>
        <v>0</v>
      </c>
      <c r="E22" s="150" t="str">
        <f>IFERROR(VLOOKUP(☆入力!G28,選定!$C$3:$AG$100,7,FALSE),"")</f>
        <v/>
      </c>
      <c r="F22" s="1107" t="str">
        <f t="shared" si="0"/>
        <v/>
      </c>
      <c r="G22" s="1108"/>
    </row>
    <row r="23" spans="1:7" ht="10.5" customHeight="1">
      <c r="A23" s="151">
        <v>14</v>
      </c>
      <c r="B23" s="151" t="str">
        <f>IFERROR(VLOOKUP(☆入力!G29,選定!$C$3:$AG$100,11,FALSE),"")</f>
        <v/>
      </c>
      <c r="C23" s="321" t="str">
        <f>IFERROR(VLOOKUP(☆入力!G29,選定!$C$3:$AG$100,1,FALSE),"")</f>
        <v/>
      </c>
      <c r="D23" s="152">
        <f>☆入力!L29</f>
        <v>0</v>
      </c>
      <c r="E23" s="150" t="str">
        <f>IFERROR(VLOOKUP(☆入力!G29,選定!$C$3:$AG$100,7,FALSE),"")</f>
        <v/>
      </c>
      <c r="F23" s="1107" t="str">
        <f t="shared" si="0"/>
        <v/>
      </c>
      <c r="G23" s="1108"/>
    </row>
    <row r="24" spans="1:7" ht="10.5" customHeight="1">
      <c r="A24" s="151">
        <v>15</v>
      </c>
      <c r="B24" s="151" t="str">
        <f>IFERROR(VLOOKUP(☆入力!G30,選定!$C$3:$AG$100,11,FALSE),"")</f>
        <v/>
      </c>
      <c r="C24" s="321" t="str">
        <f>IFERROR(VLOOKUP(☆入力!G30,選定!$C$3:$AG$100,1,FALSE),"")</f>
        <v/>
      </c>
      <c r="D24" s="152">
        <f>☆入力!L30</f>
        <v>0</v>
      </c>
      <c r="E24" s="150" t="str">
        <f>IFERROR(VLOOKUP(☆入力!G30,選定!$C$3:$AG$100,7,FALSE),"")</f>
        <v/>
      </c>
      <c r="F24" s="1107" t="str">
        <f t="shared" si="0"/>
        <v/>
      </c>
      <c r="G24" s="1108"/>
    </row>
    <row r="25" spans="1:7" ht="10.5" hidden="1" customHeight="1" outlineLevel="1">
      <c r="A25" s="151">
        <v>16</v>
      </c>
      <c r="B25" s="151" t="str">
        <f>IFERROR(VLOOKUP(☆入力!G31,選定!$C$3:$AG$100,11,FALSE),"")</f>
        <v/>
      </c>
      <c r="C25" s="321" t="str">
        <f>IFERROR(VLOOKUP(☆入力!G31,選定!$C$3:$AG$100,1,FALSE),"")</f>
        <v/>
      </c>
      <c r="D25" s="152">
        <f>☆入力!L31</f>
        <v>0</v>
      </c>
      <c r="E25" s="150" t="str">
        <f>IFERROR(VLOOKUP(☆入力!G31,選定!$C$3:$AG$100,7,FALSE),"")</f>
        <v/>
      </c>
      <c r="F25" s="1107" t="str">
        <f t="shared" si="0"/>
        <v/>
      </c>
      <c r="G25" s="1108"/>
    </row>
    <row r="26" spans="1:7" ht="10.5" hidden="1" customHeight="1" outlineLevel="1">
      <c r="A26" s="151">
        <v>17</v>
      </c>
      <c r="B26" s="151" t="str">
        <f>IFERROR(VLOOKUP(☆入力!G32,選定!$C$3:$AG$100,11,FALSE),"")</f>
        <v/>
      </c>
      <c r="C26" s="321" t="str">
        <f>IFERROR(VLOOKUP(☆入力!G32,選定!$C$3:$AG$100,1,FALSE),"")</f>
        <v/>
      </c>
      <c r="D26" s="152">
        <f>☆入力!L32</f>
        <v>0</v>
      </c>
      <c r="E26" s="150" t="str">
        <f>IFERROR(VLOOKUP(☆入力!G32,選定!$C$3:$AG$100,7,FALSE),"")</f>
        <v/>
      </c>
      <c r="F26" s="1107" t="str">
        <f t="shared" si="0"/>
        <v/>
      </c>
      <c r="G26" s="1108"/>
    </row>
    <row r="27" spans="1:7" ht="10.5" hidden="1" customHeight="1" outlineLevel="1">
      <c r="A27" s="151">
        <v>18</v>
      </c>
      <c r="B27" s="151" t="str">
        <f>IFERROR(VLOOKUP(☆入力!G33,選定!$C$3:$AG$100,11,FALSE),"")</f>
        <v/>
      </c>
      <c r="C27" s="321" t="str">
        <f>IFERROR(VLOOKUP(☆入力!G33,選定!$C$3:$AG$100,1,FALSE),"")</f>
        <v/>
      </c>
      <c r="D27" s="152">
        <f>☆入力!L33</f>
        <v>0</v>
      </c>
      <c r="E27" s="150" t="str">
        <f>IFERROR(VLOOKUP(☆入力!G33,選定!$C$3:$AG$100,7,FALSE),"")</f>
        <v/>
      </c>
      <c r="F27" s="1107" t="str">
        <f t="shared" si="0"/>
        <v/>
      </c>
      <c r="G27" s="1108"/>
    </row>
    <row r="28" spans="1:7" ht="10.5" hidden="1" customHeight="1" outlineLevel="1">
      <c r="A28" s="151">
        <v>19</v>
      </c>
      <c r="B28" s="151" t="str">
        <f>IFERROR(VLOOKUP(☆入力!G34,選定!$C$3:$AG$100,11,FALSE),"")</f>
        <v/>
      </c>
      <c r="C28" s="321" t="str">
        <f>IFERROR(VLOOKUP(☆入力!G34,選定!$C$3:$AG$100,1,FALSE),"")</f>
        <v/>
      </c>
      <c r="D28" s="152">
        <f>☆入力!L34</f>
        <v>0</v>
      </c>
      <c r="E28" s="150" t="str">
        <f>IFERROR(VLOOKUP(☆入力!G34,選定!$C$3:$AG$100,7,FALSE),"")</f>
        <v/>
      </c>
      <c r="F28" s="1107" t="str">
        <f t="shared" si="0"/>
        <v/>
      </c>
      <c r="G28" s="1108"/>
    </row>
    <row r="29" spans="1:7" ht="10.5" hidden="1" customHeight="1" outlineLevel="1">
      <c r="A29" s="151">
        <v>20</v>
      </c>
      <c r="B29" s="151" t="str">
        <f>IFERROR(VLOOKUP(☆入力!G35,選定!$C$3:$AG$100,11,FALSE),"")</f>
        <v/>
      </c>
      <c r="C29" s="321" t="str">
        <f>IFERROR(VLOOKUP(☆入力!G35,選定!$C$3:$AG$100,1,FALSE),"")</f>
        <v/>
      </c>
      <c r="D29" s="152">
        <f>☆入力!L35</f>
        <v>0</v>
      </c>
      <c r="E29" s="150" t="str">
        <f>IFERROR(VLOOKUP(☆入力!G35,選定!$C$3:$AG$100,7,FALSE),"")</f>
        <v/>
      </c>
      <c r="F29" s="1107" t="str">
        <f t="shared" si="0"/>
        <v/>
      </c>
      <c r="G29" s="1108"/>
    </row>
    <row r="30" spans="1:7" ht="10.5" hidden="1" customHeight="1" outlineLevel="1">
      <c r="A30" s="151">
        <v>21</v>
      </c>
      <c r="B30" s="151" t="str">
        <f>IFERROR(VLOOKUP(☆入力!G36,選定!$C$3:$AG$100,11,FALSE),"")</f>
        <v/>
      </c>
      <c r="C30" s="320" t="str">
        <f>IFERROR(VLOOKUP(☆入力!G36,選定!$C$3:$AG$100,1,FALSE),"")</f>
        <v/>
      </c>
      <c r="D30" s="152">
        <f>☆入力!L36</f>
        <v>0</v>
      </c>
      <c r="E30" s="150" t="str">
        <f>IFERROR(VLOOKUP(☆入力!G36,選定!$C$3:$AG$100,7,FALSE),"")</f>
        <v/>
      </c>
      <c r="F30" s="1109" t="str">
        <f t="shared" si="0"/>
        <v/>
      </c>
      <c r="G30" s="1110"/>
    </row>
    <row r="31" spans="1:7" ht="10.5" hidden="1" customHeight="1" outlineLevel="1">
      <c r="A31" s="151">
        <v>22</v>
      </c>
      <c r="B31" s="151" t="str">
        <f>IFERROR(VLOOKUP(☆入力!G37,選定!$C$3:$AG$100,11,FALSE),"")</f>
        <v/>
      </c>
      <c r="C31" s="320" t="str">
        <f>IFERROR(VLOOKUP(☆入力!G37,選定!$C$3:$AG$100,1,FALSE),"")</f>
        <v/>
      </c>
      <c r="D31" s="152">
        <f>☆入力!L37</f>
        <v>0</v>
      </c>
      <c r="E31" s="150" t="str">
        <f>IFERROR(VLOOKUP(☆入力!G37,選定!$C$3:$AG$100,7,FALSE),"")</f>
        <v/>
      </c>
      <c r="F31" s="1109" t="str">
        <f t="shared" si="0"/>
        <v/>
      </c>
      <c r="G31" s="1110"/>
    </row>
    <row r="32" spans="1:7" ht="10.5" hidden="1" customHeight="1" outlineLevel="1">
      <c r="A32" s="151">
        <v>23</v>
      </c>
      <c r="B32" s="151" t="str">
        <f>IFERROR(VLOOKUP(☆入力!G38,選定!$C$3:$AG$100,11,FALSE),"")</f>
        <v/>
      </c>
      <c r="C32" s="320" t="str">
        <f>IFERROR(VLOOKUP(☆入力!G38,選定!$C$3:$AG$100,1,FALSE),"")</f>
        <v/>
      </c>
      <c r="D32" s="152">
        <f>☆入力!L38</f>
        <v>0</v>
      </c>
      <c r="E32" s="150" t="str">
        <f>IFERROR(VLOOKUP(☆入力!G38,選定!$C$3:$AG$100,7,FALSE),"")</f>
        <v/>
      </c>
      <c r="F32" s="1109" t="str">
        <f t="shared" si="0"/>
        <v/>
      </c>
      <c r="G32" s="1110"/>
    </row>
    <row r="33" spans="1:7" ht="10.5" hidden="1" customHeight="1" outlineLevel="1">
      <c r="A33" s="151">
        <v>24</v>
      </c>
      <c r="B33" s="151" t="str">
        <f>IFERROR(VLOOKUP(☆入力!G39,選定!$C$3:$AG$100,11,FALSE),"")</f>
        <v/>
      </c>
      <c r="C33" s="312" t="str">
        <f>IFERROR(VLOOKUP(☆入力!G39,選定!$C$3:$AG$100,1,FALSE),"")</f>
        <v/>
      </c>
      <c r="D33" s="152">
        <f>☆入力!L39</f>
        <v>0</v>
      </c>
      <c r="E33" s="150" t="str">
        <f>IFERROR(VLOOKUP(☆入力!G39,選定!$C$3:$AG$100,7,FALSE),"")</f>
        <v/>
      </c>
      <c r="F33" s="1109" t="str">
        <f t="shared" si="0"/>
        <v/>
      </c>
      <c r="G33" s="1110"/>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09" t="str">
        <f t="shared" si="0"/>
        <v/>
      </c>
      <c r="G34" s="1110"/>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09" t="str">
        <f t="shared" si="0"/>
        <v/>
      </c>
      <c r="G35" s="1110"/>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09" t="str">
        <f t="shared" si="0"/>
        <v/>
      </c>
      <c r="G36" s="1110"/>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09" t="str">
        <f t="shared" si="0"/>
        <v/>
      </c>
      <c r="G37" s="1110"/>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09" t="str">
        <f t="shared" si="0"/>
        <v/>
      </c>
      <c r="G38" s="1110"/>
    </row>
    <row r="39" spans="1:7" ht="10.5" hidden="1" customHeight="1" outlineLevel="1">
      <c r="A39" s="153">
        <v>30</v>
      </c>
      <c r="B39" s="153" t="str">
        <f>IFERROR(VLOOKUP(☆入力!G45,選定!$C$3:$AG$100,11,FALSE),"")</f>
        <v/>
      </c>
      <c r="C39" s="121" t="str">
        <f>IFERROR(VLOOKUP(☆入力!G45,選定!$C$3:$AG$100,1,FALSE),"")</f>
        <v/>
      </c>
      <c r="D39" s="154">
        <f>☆入力!L45</f>
        <v>0</v>
      </c>
      <c r="E39" s="150" t="str">
        <f>IFERROR(VLOOKUP(☆入力!G45,選定!$C$3:$AG$100,7,FALSE),"")</f>
        <v/>
      </c>
      <c r="F39" s="1111" t="str">
        <f t="shared" si="0"/>
        <v/>
      </c>
      <c r="G39" s="1112"/>
    </row>
    <row r="40" spans="1:7" ht="10.5" customHeight="1" collapsed="1">
      <c r="A40" s="1045" t="s">
        <v>343</v>
      </c>
      <c r="B40" s="1046"/>
      <c r="C40" s="1047"/>
      <c r="D40" s="155">
        <v>1</v>
      </c>
      <c r="E40" s="155"/>
      <c r="F40" s="1105">
        <f>SUM(F10:G39)</f>
        <v>0</v>
      </c>
      <c r="G40" s="1105"/>
    </row>
    <row r="41" spans="1:7" ht="10.5" customHeight="1">
      <c r="A41" s="1050" t="s">
        <v>359</v>
      </c>
      <c r="B41" s="1051"/>
      <c r="C41" s="1052"/>
      <c r="D41" s="157">
        <v>1</v>
      </c>
      <c r="E41" s="157"/>
      <c r="F41" s="1106">
        <f ca="1">(☆入力!AL14+代理店入力用!D5)-SUM(F40,F45:G53)</f>
        <v>-28000</v>
      </c>
      <c r="G41" s="1106"/>
    </row>
    <row r="42" spans="1:7" ht="10.5" customHeight="1" thickBot="1">
      <c r="A42" s="116"/>
      <c r="B42" s="116"/>
      <c r="C42" s="117"/>
      <c r="D42" s="118"/>
      <c r="E42" s="122" t="s">
        <v>360</v>
      </c>
      <c r="F42" s="1055">
        <f ca="1">SUM(F40:G41)</f>
        <v>-28000</v>
      </c>
      <c r="G42" s="1055"/>
    </row>
    <row r="43" spans="1:7" ht="10.5" customHeight="1" thickTop="1">
      <c r="A43" s="112"/>
      <c r="B43" s="112"/>
      <c r="C43" s="113"/>
      <c r="D43" s="114"/>
      <c r="E43" s="114"/>
      <c r="F43" s="115"/>
      <c r="G43" s="115"/>
    </row>
    <row r="44" spans="1:7" ht="10.5" customHeight="1">
      <c r="A44" s="1056" t="s">
        <v>361</v>
      </c>
      <c r="B44" s="1057"/>
      <c r="C44" s="1058"/>
      <c r="D44" s="477" t="s">
        <v>161</v>
      </c>
      <c r="E44" s="477" t="s">
        <v>342</v>
      </c>
      <c r="F44" s="1044" t="s">
        <v>343</v>
      </c>
      <c r="G44" s="1044"/>
    </row>
    <row r="45" spans="1:7" ht="10.5" customHeight="1">
      <c r="A45" s="1059" t="s">
        <v>362</v>
      </c>
      <c r="B45" s="1060"/>
      <c r="C45" s="1061"/>
      <c r="D45" s="210">
        <f>VLOOKUP(☆入力!L14,LED計算式!M21:N27,2,TRUE)</f>
        <v>1</v>
      </c>
      <c r="E45" s="150">
        <v>20000</v>
      </c>
      <c r="F45" s="1113">
        <f t="shared" ref="F45" si="1">IFERROR(E45*D45,"")</f>
        <v>20000</v>
      </c>
      <c r="G45" s="1113"/>
    </row>
    <row r="46" spans="1:7" ht="10.5" customHeight="1">
      <c r="A46" s="1063" t="s">
        <v>363</v>
      </c>
      <c r="B46" s="1064"/>
      <c r="C46" s="1065"/>
      <c r="D46" s="152">
        <f>LED計算式!O36</f>
        <v>0</v>
      </c>
      <c r="E46" s="152">
        <v>3000</v>
      </c>
      <c r="F46" s="1043">
        <f t="shared" ref="F46:F53" si="2">IFERROR(E46*D46,"")</f>
        <v>0</v>
      </c>
      <c r="G46" s="1043"/>
    </row>
    <row r="47" spans="1:7" ht="10.5" hidden="1" customHeight="1" outlineLevel="1">
      <c r="A47" s="1102" t="s">
        <v>372</v>
      </c>
      <c r="B47" s="1103"/>
      <c r="C47" s="1104"/>
      <c r="D47" s="152">
        <f>LED計算式!O37</f>
        <v>0</v>
      </c>
      <c r="E47" s="152">
        <v>4500</v>
      </c>
      <c r="F47" s="1043">
        <f t="shared" si="2"/>
        <v>0</v>
      </c>
      <c r="G47" s="1043"/>
    </row>
    <row r="48" spans="1:7" ht="10.5" hidden="1" customHeight="1" outlineLevel="1">
      <c r="A48" s="1102" t="s">
        <v>373</v>
      </c>
      <c r="B48" s="1103"/>
      <c r="C48" s="1104"/>
      <c r="D48" s="152">
        <f>LED計算式!O38</f>
        <v>0</v>
      </c>
      <c r="E48" s="152">
        <v>2000</v>
      </c>
      <c r="F48" s="1043">
        <f t="shared" si="2"/>
        <v>0</v>
      </c>
      <c r="G48" s="1043"/>
    </row>
    <row r="49" spans="1:8" ht="10.5" hidden="1" customHeight="1" outlineLevel="1">
      <c r="A49" s="1102" t="s">
        <v>374</v>
      </c>
      <c r="B49" s="1103"/>
      <c r="C49" s="1104"/>
      <c r="D49" s="152">
        <f>LED計算式!O39</f>
        <v>0</v>
      </c>
      <c r="E49" s="152">
        <v>600</v>
      </c>
      <c r="F49" s="1043">
        <f t="shared" si="2"/>
        <v>0</v>
      </c>
      <c r="G49" s="1043"/>
    </row>
    <row r="50" spans="1:8" ht="10.5" customHeight="1" collapsed="1">
      <c r="A50" s="1063" t="s">
        <v>367</v>
      </c>
      <c r="B50" s="1064"/>
      <c r="C50" s="1065"/>
      <c r="D50" s="152">
        <f>COUNTA(☆入力!AG16:AG45)</f>
        <v>1</v>
      </c>
      <c r="E50" s="152">
        <v>3000</v>
      </c>
      <c r="F50" s="1043">
        <f t="shared" si="2"/>
        <v>3000</v>
      </c>
      <c r="G50" s="1043"/>
    </row>
    <row r="51" spans="1:8" ht="10.5" customHeight="1">
      <c r="A51" s="1063" t="s">
        <v>368</v>
      </c>
      <c r="B51" s="1064"/>
      <c r="C51" s="1065"/>
      <c r="D51" s="152">
        <f>☆入力!L14</f>
        <v>0</v>
      </c>
      <c r="E51" s="152">
        <v>1000</v>
      </c>
      <c r="F51" s="1043">
        <f t="shared" si="2"/>
        <v>0</v>
      </c>
      <c r="G51" s="1043"/>
    </row>
    <row r="52" spans="1:8" ht="10.5" customHeight="1">
      <c r="A52" s="1063" t="s">
        <v>369</v>
      </c>
      <c r="B52" s="1064"/>
      <c r="C52" s="1065"/>
      <c r="D52" s="152">
        <f>COUNTA(☆入力!AG16:AG45)</f>
        <v>1</v>
      </c>
      <c r="E52" s="152">
        <v>5000</v>
      </c>
      <c r="F52" s="1043">
        <f t="shared" si="2"/>
        <v>5000</v>
      </c>
      <c r="G52" s="1043"/>
    </row>
    <row r="53" spans="1:8" ht="10.5" customHeight="1">
      <c r="A53" s="1066">
        <f>☆入力!AH12</f>
        <v>0</v>
      </c>
      <c r="B53" s="1067"/>
      <c r="C53" s="1068"/>
      <c r="D53" s="160" t="str">
        <f>IF(☆入力!AH12&lt;&gt;"","1","")</f>
        <v/>
      </c>
      <c r="E53" s="161">
        <f>☆入力!AJ12</f>
        <v>0</v>
      </c>
      <c r="F53" s="1098" t="str">
        <f t="shared" si="2"/>
        <v/>
      </c>
      <c r="G53" s="1098"/>
    </row>
    <row r="54" spans="1:8" ht="10.5" customHeight="1" thickBot="1">
      <c r="A54" s="105"/>
      <c r="B54" s="105"/>
      <c r="C54" s="105"/>
      <c r="D54" s="105"/>
      <c r="E54" s="122" t="s">
        <v>370</v>
      </c>
      <c r="F54" s="1055">
        <f>SUM(F45:G53)</f>
        <v>28000</v>
      </c>
      <c r="G54" s="1055"/>
    </row>
    <row r="55" spans="1:8" ht="10.5" customHeight="1" thickTop="1">
      <c r="A55" s="1062" t="s">
        <v>346</v>
      </c>
      <c r="B55" s="1062"/>
      <c r="C55" s="1062"/>
      <c r="D55" s="105"/>
      <c r="E55" s="105"/>
      <c r="F55" s="105"/>
      <c r="G55" s="105"/>
    </row>
    <row r="56" spans="1:8" ht="10.5" customHeight="1" thickBot="1">
      <c r="A56" s="1099">
        <f>☆入力!AH4</f>
        <v>0</v>
      </c>
      <c r="B56" s="1100"/>
      <c r="C56" s="1101"/>
      <c r="D56" s="105"/>
      <c r="E56" s="119" t="s">
        <v>371</v>
      </c>
      <c r="F56" s="1072">
        <f ca="1">ROUNDDOWN(F42+F54,0)</f>
        <v>0</v>
      </c>
      <c r="G56" s="1072"/>
    </row>
    <row r="57" spans="1:8" ht="9.9499999999999993" customHeight="1" thickTop="1" thickBot="1">
      <c r="A57" s="1092"/>
      <c r="B57" s="1093"/>
      <c r="C57" s="1094"/>
      <c r="D57" s="105"/>
    </row>
    <row r="58" spans="1:8" ht="9.9499999999999993" customHeight="1">
      <c r="A58" s="1092">
        <f>☆入力!AH5</f>
        <v>0</v>
      </c>
      <c r="B58" s="1093"/>
      <c r="C58" s="1094"/>
      <c r="E58" s="1081" t="s">
        <v>336</v>
      </c>
      <c r="F58" s="1073">
        <f ca="1">VLOOKUP(E58,I11:J12,2,FALSE)</f>
        <v>0</v>
      </c>
      <c r="G58" s="1074"/>
    </row>
    <row r="59" spans="1:8" ht="9.9499999999999993" customHeight="1" thickBot="1">
      <c r="A59" s="1092"/>
      <c r="B59" s="1093"/>
      <c r="C59" s="1094"/>
      <c r="E59" s="1082"/>
      <c r="F59" s="1075"/>
      <c r="G59" s="1076"/>
    </row>
    <row r="60" spans="1:8" ht="9.9499999999999993" customHeight="1">
      <c r="A60" s="1092">
        <f>☆入力!AH6</f>
        <v>0</v>
      </c>
      <c r="B60" s="1093"/>
      <c r="C60" s="1094"/>
      <c r="E60" s="1077" t="s">
        <v>328</v>
      </c>
      <c r="F60" s="1079">
        <f ca="1">VLOOKUP(E60,I9:J10,2,FALSE)</f>
        <v>0</v>
      </c>
      <c r="G60" s="1069" t="s">
        <v>331</v>
      </c>
    </row>
    <row r="61" spans="1:8" ht="9.9499999999999993" customHeight="1" thickBot="1">
      <c r="A61" s="1095"/>
      <c r="B61" s="1096"/>
      <c r="C61" s="1097"/>
      <c r="E61" s="1078"/>
      <c r="F61" s="1080"/>
      <c r="G61" s="1070"/>
    </row>
    <row r="62" spans="1:8">
      <c r="E62" s="231" t="s">
        <v>351</v>
      </c>
      <c r="H62" s="388" t="s">
        <v>339</v>
      </c>
    </row>
  </sheetData>
  <mergeCells count="72">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 ref="A1:C2"/>
    <mergeCell ref="A3:C4"/>
    <mergeCell ref="F9:G9"/>
    <mergeCell ref="F10:G10"/>
    <mergeCell ref="F11:G11"/>
    <mergeCell ref="E4:G4"/>
    <mergeCell ref="E5:G5"/>
    <mergeCell ref="E6:G6"/>
    <mergeCell ref="F12:G12"/>
    <mergeCell ref="F13:G13"/>
    <mergeCell ref="F14:G14"/>
    <mergeCell ref="F15:G15"/>
    <mergeCell ref="F16:G16"/>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A40:C40"/>
    <mergeCell ref="F40:G40"/>
    <mergeCell ref="A41:C41"/>
    <mergeCell ref="F41:G41"/>
    <mergeCell ref="F42:G42"/>
    <mergeCell ref="A44:C44"/>
    <mergeCell ref="A45:C45"/>
    <mergeCell ref="A46:C46"/>
    <mergeCell ref="F50:G50"/>
    <mergeCell ref="F51:G51"/>
    <mergeCell ref="F52:G52"/>
    <mergeCell ref="A50:C50"/>
    <mergeCell ref="A51:C51"/>
    <mergeCell ref="A52:C52"/>
    <mergeCell ref="A47:C47"/>
    <mergeCell ref="A48:C48"/>
    <mergeCell ref="A49:C49"/>
    <mergeCell ref="A58:C59"/>
    <mergeCell ref="A60:C61"/>
    <mergeCell ref="F53:G53"/>
    <mergeCell ref="F54:G54"/>
    <mergeCell ref="F56:G56"/>
    <mergeCell ref="A56:C57"/>
    <mergeCell ref="F58:G59"/>
    <mergeCell ref="E60:E61"/>
    <mergeCell ref="F60:F61"/>
    <mergeCell ref="G60:G61"/>
    <mergeCell ref="A55:C55"/>
    <mergeCell ref="A53:C53"/>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K48" sqref="K48"/>
    </sheetView>
  </sheetViews>
  <sheetFormatPr defaultColWidth="9" defaultRowHeight="12" outlineLevelRow="1"/>
  <cols>
    <col min="1" max="3" width="12.625" style="75" customWidth="1"/>
    <col min="4" max="4" width="33.125" style="75" customWidth="1"/>
    <col min="5" max="5" width="2.625" style="75" bestFit="1" customWidth="1"/>
    <col min="6" max="6" width="6.125" style="75" customWidth="1"/>
    <col min="7" max="7" width="17" style="75" customWidth="1"/>
    <col min="8" max="8" width="15.25" style="75" customWidth="1"/>
    <col min="9" max="9" width="18.375" style="75" customWidth="1"/>
    <col min="10" max="10" width="9" style="75"/>
    <col min="11" max="11" width="20.625" style="75" bestFit="1" customWidth="1"/>
    <col min="12" max="12" width="10.625" style="75" bestFit="1" customWidth="1"/>
    <col min="13" max="16384" width="9" style="75"/>
  </cols>
  <sheetData>
    <row r="1" spans="1:12" ht="15" customHeight="1">
      <c r="A1" s="977" t="s">
        <v>323</v>
      </c>
      <c r="B1" s="977"/>
      <c r="C1" s="977"/>
      <c r="D1" s="977"/>
      <c r="E1" s="676"/>
      <c r="H1" s="76" t="s">
        <v>324</v>
      </c>
      <c r="I1" s="186">
        <f ca="1">TODAY()</f>
        <v>46079</v>
      </c>
    </row>
    <row r="2" spans="1:12" ht="15" customHeight="1">
      <c r="A2" s="977"/>
      <c r="B2" s="977"/>
      <c r="C2" s="977"/>
      <c r="D2" s="977"/>
      <c r="E2" s="676"/>
      <c r="H2" s="76"/>
      <c r="I2" s="78"/>
    </row>
    <row r="3" spans="1:12" ht="15" customHeight="1">
      <c r="A3" s="1033">
        <f>☆入力!C5</f>
        <v>0</v>
      </c>
      <c r="B3" s="1033"/>
      <c r="C3" s="1033"/>
      <c r="D3" s="1033"/>
      <c r="E3" s="677"/>
    </row>
    <row r="4" spans="1:12" ht="15" customHeight="1">
      <c r="A4" s="1034"/>
      <c r="B4" s="1034"/>
      <c r="C4" s="1034"/>
      <c r="D4" s="1034"/>
      <c r="E4" s="677"/>
      <c r="G4" s="995" t="str">
        <f>IF(代理店入力用!N3="",'⓪表紙'!I25,代理店入力用!N3)</f>
        <v>株式会社クラスコ</v>
      </c>
      <c r="H4" s="995"/>
      <c r="I4" s="995"/>
    </row>
    <row r="5" spans="1:12" ht="15" customHeight="1">
      <c r="G5" s="1032" t="str">
        <f>IF(代理店入力用!N5="",'⓪表紙'!I26,'⓪表紙'!A26)</f>
        <v>〒920-0024石川県金沢市西念4丁目24-21</v>
      </c>
      <c r="H5" s="1032"/>
      <c r="I5" s="1032"/>
    </row>
    <row r="6" spans="1:12" ht="15" customHeight="1">
      <c r="A6" s="298" t="s">
        <v>325</v>
      </c>
      <c r="B6" s="105"/>
      <c r="G6" s="1032" t="str">
        <f>IF(代理店入力用!N6="",'⓪表紙'!I27,'⓪表紙'!A27)</f>
        <v>TEL：　076-222-1111</v>
      </c>
      <c r="H6" s="1032"/>
      <c r="I6" s="1032"/>
    </row>
    <row r="7" spans="1:12" ht="15" customHeight="1">
      <c r="A7" s="298" t="s">
        <v>357</v>
      </c>
      <c r="B7" s="105"/>
    </row>
    <row r="8" spans="1:12" ht="6" customHeight="1"/>
    <row r="9" spans="1:12" ht="10.5" customHeight="1">
      <c r="A9" s="477" t="s">
        <v>52</v>
      </c>
      <c r="B9" s="477" t="s">
        <v>176</v>
      </c>
      <c r="C9" s="477" t="s">
        <v>70</v>
      </c>
      <c r="D9" s="1056" t="s">
        <v>268</v>
      </c>
      <c r="E9" s="1058"/>
      <c r="F9" s="477" t="s">
        <v>16</v>
      </c>
      <c r="G9" s="477" t="s">
        <v>358</v>
      </c>
      <c r="H9" s="1044" t="s">
        <v>343</v>
      </c>
      <c r="I9" s="1044"/>
      <c r="K9" s="384" t="s">
        <v>328</v>
      </c>
      <c r="L9" s="385">
        <f ca="1">ROUNDDOWN(H57/54,0)</f>
        <v>0</v>
      </c>
    </row>
    <row r="10" spans="1:12" ht="10.5" customHeight="1">
      <c r="A10" s="148" t="str">
        <f>☆入力!B16</f>
        <v/>
      </c>
      <c r="B10" s="148">
        <f>☆入力!C16</f>
        <v>0</v>
      </c>
      <c r="C10" s="149" t="str">
        <f>IFERROR(VLOOKUP(☆入力!G16,選定!$C$3:$AG$100,11,FALSE),"")</f>
        <v/>
      </c>
      <c r="D10" s="683" t="str">
        <f>IFERROR(VLOOKUP(☆入力!G16,選定!$C$3:$AG$100,1,FALSE),"")</f>
        <v/>
      </c>
      <c r="E10" s="684"/>
      <c r="F10" s="150">
        <f>☆入力!L16</f>
        <v>0</v>
      </c>
      <c r="G10" s="150" t="str">
        <f>IFERROR(VLOOKUP(☆入力!G16,選定!$C$3:$AG$100,7,FALSE),"")</f>
        <v/>
      </c>
      <c r="H10" s="1043" t="str">
        <f>IFERROR(G10*F10,"")</f>
        <v/>
      </c>
      <c r="I10" s="1043"/>
      <c r="K10" s="384" t="s">
        <v>332</v>
      </c>
      <c r="L10" s="385">
        <f ca="1">L9*1.1</f>
        <v>0</v>
      </c>
    </row>
    <row r="11" spans="1:12" ht="10.5" customHeight="1">
      <c r="A11" s="151" t="str">
        <f>☆入力!B17</f>
        <v/>
      </c>
      <c r="B11" s="151">
        <f>☆入力!C17</f>
        <v>0</v>
      </c>
      <c r="C11" s="151" t="str">
        <f>IFERROR(VLOOKUP(☆入力!G17,選定!$C$3:$AG$100,11,FALSE),"")</f>
        <v/>
      </c>
      <c r="D11" s="678" t="str">
        <f>IFERROR(VLOOKUP(☆入力!G17,選定!$C$3:$AG$100,1,FALSE),"")</f>
        <v/>
      </c>
      <c r="E11" s="679"/>
      <c r="F11" s="152">
        <f>☆入力!L17</f>
        <v>0</v>
      </c>
      <c r="G11" s="150" t="str">
        <f>IFERROR(VLOOKUP(☆入力!G17,選定!$C$3:$AG$100,7,FALSE),"")</f>
        <v/>
      </c>
      <c r="H11" s="1043" t="str">
        <f t="shared" ref="H11:H39" si="0">IFERROR(G11*F11,"")</f>
        <v/>
      </c>
      <c r="I11" s="1043"/>
      <c r="K11" s="27" t="s">
        <v>335</v>
      </c>
      <c r="L11" s="386">
        <f ca="1">H57</f>
        <v>0</v>
      </c>
    </row>
    <row r="12" spans="1:12" ht="10.5" customHeight="1">
      <c r="A12" s="151" t="str">
        <f>☆入力!B18</f>
        <v/>
      </c>
      <c r="B12" s="151">
        <f>☆入力!C18</f>
        <v>0</v>
      </c>
      <c r="C12" s="151" t="str">
        <f>IFERROR(VLOOKUP(☆入力!G18,選定!$C$3:$AG$100,11,FALSE),"")</f>
        <v/>
      </c>
      <c r="D12" s="678" t="str">
        <f>IFERROR(VLOOKUP(☆入力!G18,選定!$C$3:$AG$100,1,FALSE),"")</f>
        <v/>
      </c>
      <c r="E12" s="679"/>
      <c r="F12" s="152">
        <f>☆入力!L18</f>
        <v>0</v>
      </c>
      <c r="G12" s="150" t="str">
        <f>IFERROR(VLOOKUP(☆入力!G18,選定!$C$3:$AG$100,7,FALSE),"")</f>
        <v/>
      </c>
      <c r="H12" s="1043" t="str">
        <f t="shared" si="0"/>
        <v/>
      </c>
      <c r="I12" s="1043"/>
      <c r="K12" s="27" t="s">
        <v>337</v>
      </c>
      <c r="L12" s="386">
        <f ca="1">L11*1.1</f>
        <v>0</v>
      </c>
    </row>
    <row r="13" spans="1:12" ht="10.5" customHeight="1">
      <c r="A13" s="151" t="str">
        <f>☆入力!B19</f>
        <v/>
      </c>
      <c r="B13" s="151">
        <f>☆入力!C19</f>
        <v>0</v>
      </c>
      <c r="C13" s="151" t="str">
        <f>IFERROR(VLOOKUP(☆入力!G19,選定!$C$3:$AG$100,11,FALSE),"")</f>
        <v/>
      </c>
      <c r="D13" s="678" t="str">
        <f>IFERROR(VLOOKUP(☆入力!G19,選定!$C$3:$AG$100,1,FALSE),"")</f>
        <v/>
      </c>
      <c r="E13" s="679"/>
      <c r="F13" s="152">
        <f>☆入力!L19</f>
        <v>0</v>
      </c>
      <c r="G13" s="150" t="str">
        <f>IFERROR(VLOOKUP(☆入力!G19,選定!$C$3:$AG$100,7,FALSE),"")</f>
        <v/>
      </c>
      <c r="H13" s="1043" t="str">
        <f t="shared" si="0"/>
        <v/>
      </c>
      <c r="I13" s="1043"/>
    </row>
    <row r="14" spans="1:12" ht="10.5" customHeight="1">
      <c r="A14" s="151" t="str">
        <f>☆入力!B20</f>
        <v/>
      </c>
      <c r="B14" s="151">
        <f>☆入力!C20</f>
        <v>0</v>
      </c>
      <c r="C14" s="151" t="str">
        <f>IFERROR(VLOOKUP(☆入力!G20,選定!$C$3:$AG$100,11,FALSE),"")</f>
        <v/>
      </c>
      <c r="D14" s="678" t="str">
        <f>IFERROR(VLOOKUP(☆入力!G20,選定!$C$3:$AG$100,1,FALSE),"")</f>
        <v/>
      </c>
      <c r="E14" s="679"/>
      <c r="F14" s="152">
        <f>☆入力!L20</f>
        <v>0</v>
      </c>
      <c r="G14" s="150" t="str">
        <f>IFERROR(VLOOKUP(☆入力!G20,選定!$C$3:$AG$100,7,FALSE),"")</f>
        <v/>
      </c>
      <c r="H14" s="1043" t="str">
        <f t="shared" si="0"/>
        <v/>
      </c>
      <c r="I14" s="1043"/>
    </row>
    <row r="15" spans="1:12" ht="10.5" customHeight="1">
      <c r="A15" s="151" t="str">
        <f>☆入力!B21</f>
        <v/>
      </c>
      <c r="B15" s="151">
        <f>☆入力!C21</f>
        <v>0</v>
      </c>
      <c r="C15" s="151" t="str">
        <f>IFERROR(VLOOKUP(☆入力!G21,選定!$C$3:$AG$100,11,FALSE),"")</f>
        <v/>
      </c>
      <c r="D15" s="678" t="str">
        <f>IFERROR(VLOOKUP(☆入力!G21,選定!$C$3:$AG$100,1,FALSE),"")</f>
        <v/>
      </c>
      <c r="E15" s="679"/>
      <c r="F15" s="152">
        <f>☆入力!L21</f>
        <v>0</v>
      </c>
      <c r="G15" s="150" t="str">
        <f>IFERROR(VLOOKUP(☆入力!G21,選定!$C$3:$AG$100,7,FALSE),"")</f>
        <v/>
      </c>
      <c r="H15" s="1043" t="str">
        <f t="shared" si="0"/>
        <v/>
      </c>
      <c r="I15" s="1043"/>
    </row>
    <row r="16" spans="1:12" ht="10.5" customHeight="1">
      <c r="A16" s="151" t="str">
        <f>☆入力!B22</f>
        <v/>
      </c>
      <c r="B16" s="151">
        <f>☆入力!C22</f>
        <v>0</v>
      </c>
      <c r="C16" s="151" t="str">
        <f>IFERROR(VLOOKUP(☆入力!G22,選定!$C$3:$AG$100,11,FALSE),"")</f>
        <v/>
      </c>
      <c r="D16" s="678" t="str">
        <f>IFERROR(VLOOKUP(☆入力!G22,選定!$C$3:$AG$100,1,FALSE),"")</f>
        <v/>
      </c>
      <c r="E16" s="679"/>
      <c r="F16" s="152">
        <f>☆入力!L22</f>
        <v>0</v>
      </c>
      <c r="G16" s="150" t="str">
        <f>IFERROR(VLOOKUP(☆入力!G22,選定!$C$3:$AG$100,7,FALSE),"")</f>
        <v/>
      </c>
      <c r="H16" s="1043" t="str">
        <f t="shared" si="0"/>
        <v/>
      </c>
      <c r="I16" s="1043"/>
    </row>
    <row r="17" spans="1:9" ht="10.5" customHeight="1">
      <c r="A17" s="151" t="str">
        <f>☆入力!B23</f>
        <v/>
      </c>
      <c r="B17" s="151">
        <f>☆入力!C23</f>
        <v>0</v>
      </c>
      <c r="C17" s="151" t="str">
        <f>IFERROR(VLOOKUP(☆入力!G23,選定!$C$3:$AG$100,11,FALSE),"")</f>
        <v/>
      </c>
      <c r="D17" s="678" t="str">
        <f>IFERROR(VLOOKUP(☆入力!G23,選定!$C$3:$AG$100,1,FALSE),"")</f>
        <v/>
      </c>
      <c r="E17" s="679"/>
      <c r="F17" s="152">
        <f>☆入力!L23</f>
        <v>0</v>
      </c>
      <c r="G17" s="150" t="str">
        <f>IFERROR(VLOOKUP(☆入力!G23,選定!$C$3:$AG$100,7,FALSE),"")</f>
        <v/>
      </c>
      <c r="H17" s="1043" t="str">
        <f t="shared" si="0"/>
        <v/>
      </c>
      <c r="I17" s="1043"/>
    </row>
    <row r="18" spans="1:9" ht="10.5" customHeight="1">
      <c r="A18" s="151" t="str">
        <f>☆入力!B24</f>
        <v/>
      </c>
      <c r="B18" s="151">
        <f>☆入力!C24</f>
        <v>0</v>
      </c>
      <c r="C18" s="151" t="str">
        <f>IFERROR(VLOOKUP(☆入力!G24,選定!$C$3:$AG$100,11,FALSE),"")</f>
        <v/>
      </c>
      <c r="D18" s="678" t="str">
        <f>IFERROR(VLOOKUP(☆入力!G24,選定!$C$3:$AG$100,1,FALSE),"")</f>
        <v/>
      </c>
      <c r="E18" s="679"/>
      <c r="F18" s="152">
        <f>☆入力!L24</f>
        <v>0</v>
      </c>
      <c r="G18" s="150" t="str">
        <f>IFERROR(VLOOKUP(☆入力!G24,選定!$C$3:$AG$100,7,FALSE),"")</f>
        <v/>
      </c>
      <c r="H18" s="1043" t="str">
        <f t="shared" si="0"/>
        <v/>
      </c>
      <c r="I18" s="1043"/>
    </row>
    <row r="19" spans="1:9" ht="10.5" customHeight="1">
      <c r="A19" s="151" t="str">
        <f>☆入力!B25</f>
        <v/>
      </c>
      <c r="B19" s="151">
        <f>☆入力!C25</f>
        <v>0</v>
      </c>
      <c r="C19" s="151" t="str">
        <f>IFERROR(VLOOKUP(☆入力!G25,選定!$C$3:$AG$100,11,FALSE),"")</f>
        <v/>
      </c>
      <c r="D19" s="678" t="str">
        <f>IFERROR(VLOOKUP(☆入力!G25,選定!$C$3:$AG$100,1,FALSE),"")</f>
        <v/>
      </c>
      <c r="E19" s="679"/>
      <c r="F19" s="152">
        <f>☆入力!L25</f>
        <v>0</v>
      </c>
      <c r="G19" s="150" t="str">
        <f>IFERROR(VLOOKUP(☆入力!G25,選定!$C$3:$AG$100,7,FALSE),"")</f>
        <v/>
      </c>
      <c r="H19" s="1043" t="str">
        <f t="shared" si="0"/>
        <v/>
      </c>
      <c r="I19" s="1043"/>
    </row>
    <row r="20" spans="1:9" ht="10.5" customHeight="1">
      <c r="A20" s="151" t="str">
        <f>☆入力!B26</f>
        <v/>
      </c>
      <c r="B20" s="151">
        <f>☆入力!C26</f>
        <v>0</v>
      </c>
      <c r="C20" s="151" t="str">
        <f>IFERROR(VLOOKUP(☆入力!G26,選定!$C$3:$AG$100,11,FALSE),"")</f>
        <v/>
      </c>
      <c r="D20" s="678" t="str">
        <f>IFERROR(VLOOKUP(☆入力!G26,選定!$C$3:$AG$100,1,FALSE),"")</f>
        <v/>
      </c>
      <c r="E20" s="679"/>
      <c r="F20" s="152">
        <f>☆入力!L26</f>
        <v>0</v>
      </c>
      <c r="G20" s="150" t="str">
        <f>IFERROR(VLOOKUP(☆入力!G26,選定!$C$3:$AG$100,7,FALSE),"")</f>
        <v/>
      </c>
      <c r="H20" s="1043" t="str">
        <f t="shared" si="0"/>
        <v/>
      </c>
      <c r="I20" s="1043"/>
    </row>
    <row r="21" spans="1:9" ht="10.5" customHeight="1">
      <c r="A21" s="151" t="str">
        <f>☆入力!B27</f>
        <v/>
      </c>
      <c r="B21" s="151">
        <f>☆入力!C27</f>
        <v>0</v>
      </c>
      <c r="C21" s="151" t="str">
        <f>IFERROR(VLOOKUP(☆入力!G27,選定!$C$3:$AG$100,11,FALSE),"")</f>
        <v/>
      </c>
      <c r="D21" s="678" t="str">
        <f>IFERROR(VLOOKUP(☆入力!G27,選定!$C$3:$AG$100,1,FALSE),"")</f>
        <v/>
      </c>
      <c r="E21" s="679"/>
      <c r="F21" s="152">
        <f>☆入力!L27</f>
        <v>0</v>
      </c>
      <c r="G21" s="150" t="str">
        <f>IFERROR(VLOOKUP(☆入力!G27,選定!$C$3:$AG$100,7,FALSE),"")</f>
        <v/>
      </c>
      <c r="H21" s="1043" t="str">
        <f t="shared" si="0"/>
        <v/>
      </c>
      <c r="I21" s="1043"/>
    </row>
    <row r="22" spans="1:9" ht="10.5" customHeight="1">
      <c r="A22" s="151" t="str">
        <f>☆入力!B28</f>
        <v/>
      </c>
      <c r="B22" s="151">
        <f>☆入力!C28</f>
        <v>0</v>
      </c>
      <c r="C22" s="151" t="str">
        <f>IFERROR(VLOOKUP(☆入力!G28,選定!$C$3:$AG$100,11,FALSE),"")</f>
        <v/>
      </c>
      <c r="D22" s="678" t="str">
        <f>IFERROR(VLOOKUP(☆入力!G28,選定!$C$3:$AG$100,1,FALSE),"")</f>
        <v/>
      </c>
      <c r="E22" s="679"/>
      <c r="F22" s="152">
        <f>☆入力!L28</f>
        <v>0</v>
      </c>
      <c r="G22" s="150" t="str">
        <f>IFERROR(VLOOKUP(☆入力!G28,選定!$C$3:$AG$100,7,FALSE),"")</f>
        <v/>
      </c>
      <c r="H22" s="1043" t="str">
        <f t="shared" si="0"/>
        <v/>
      </c>
      <c r="I22" s="1043"/>
    </row>
    <row r="23" spans="1:9" ht="10.5" customHeight="1">
      <c r="A23" s="151" t="str">
        <f>☆入力!B29</f>
        <v/>
      </c>
      <c r="B23" s="151">
        <f>☆入力!C29</f>
        <v>0</v>
      </c>
      <c r="C23" s="151" t="str">
        <f>IFERROR(VLOOKUP(☆入力!G29,選定!$C$3:$AG$100,11,FALSE),"")</f>
        <v/>
      </c>
      <c r="D23" s="678" t="str">
        <f>IFERROR(VLOOKUP(☆入力!G29,選定!$C$3:$AG$100,1,FALSE),"")</f>
        <v/>
      </c>
      <c r="E23" s="679"/>
      <c r="F23" s="152">
        <f>☆入力!L29</f>
        <v>0</v>
      </c>
      <c r="G23" s="150" t="str">
        <f>IFERROR(VLOOKUP(☆入力!G29,選定!$C$3:$AG$100,7,FALSE),"")</f>
        <v/>
      </c>
      <c r="H23" s="1043" t="str">
        <f t="shared" si="0"/>
        <v/>
      </c>
      <c r="I23" s="1043"/>
    </row>
    <row r="24" spans="1:9" ht="10.5" customHeight="1">
      <c r="A24" s="151" t="str">
        <f>☆入力!B30</f>
        <v/>
      </c>
      <c r="B24" s="151">
        <f>☆入力!C30</f>
        <v>0</v>
      </c>
      <c r="C24" s="151" t="str">
        <f>IFERROR(VLOOKUP(☆入力!G30,選定!$C$3:$AG$100,11,FALSE),"")</f>
        <v/>
      </c>
      <c r="D24" s="678" t="str">
        <f>IFERROR(VLOOKUP(☆入力!G30,選定!$C$3:$AG$100,1,FALSE),"")</f>
        <v/>
      </c>
      <c r="E24" s="679"/>
      <c r="F24" s="152">
        <f>☆入力!L30</f>
        <v>0</v>
      </c>
      <c r="G24" s="150" t="str">
        <f>IFERROR(VLOOKUP(☆入力!G30,選定!$C$3:$AG$100,7,FALSE),"")</f>
        <v/>
      </c>
      <c r="H24" s="1043" t="str">
        <f t="shared" si="0"/>
        <v/>
      </c>
      <c r="I24" s="1043"/>
    </row>
    <row r="25" spans="1:9" ht="10.5" hidden="1" customHeight="1" outlineLevel="1">
      <c r="A25" s="151" t="str">
        <f>☆入力!B31</f>
        <v/>
      </c>
      <c r="B25" s="151">
        <f>☆入力!C31</f>
        <v>0</v>
      </c>
      <c r="C25" s="151" t="str">
        <f>IFERROR(VLOOKUP(☆入力!G31,選定!$C$3:$AG$100,11,FALSE),"")</f>
        <v/>
      </c>
      <c r="D25" s="678" t="str">
        <f>IFERROR(VLOOKUP(☆入力!G31,選定!$C$3:$AG$100,1,FALSE),"")</f>
        <v/>
      </c>
      <c r="E25" s="679"/>
      <c r="F25" s="152">
        <f>☆入力!L31</f>
        <v>0</v>
      </c>
      <c r="G25" s="150" t="str">
        <f>IFERROR(VLOOKUP(☆入力!G31,選定!$C$3:$AG$100,7,FALSE),"")</f>
        <v/>
      </c>
      <c r="H25" s="1043" t="str">
        <f t="shared" si="0"/>
        <v/>
      </c>
      <c r="I25" s="1043"/>
    </row>
    <row r="26" spans="1:9" ht="10.5" hidden="1" customHeight="1" outlineLevel="1">
      <c r="A26" s="151" t="str">
        <f>☆入力!B32</f>
        <v/>
      </c>
      <c r="B26" s="151">
        <f>☆入力!C32</f>
        <v>0</v>
      </c>
      <c r="C26" s="151" t="str">
        <f>IFERROR(VLOOKUP(☆入力!G32,選定!$C$3:$AG$100,11,FALSE),"")</f>
        <v/>
      </c>
      <c r="D26" s="678" t="str">
        <f>IFERROR(VLOOKUP(☆入力!G32,選定!$C$3:$AG$100,1,FALSE),"")</f>
        <v/>
      </c>
      <c r="E26" s="679"/>
      <c r="F26" s="152">
        <f>☆入力!L32</f>
        <v>0</v>
      </c>
      <c r="G26" s="150" t="str">
        <f>IFERROR(VLOOKUP(☆入力!G32,選定!$C$3:$AG$100,7,FALSE),"")</f>
        <v/>
      </c>
      <c r="H26" s="1043" t="str">
        <f t="shared" si="0"/>
        <v/>
      </c>
      <c r="I26" s="1043"/>
    </row>
    <row r="27" spans="1:9" ht="10.5" hidden="1" customHeight="1" outlineLevel="1">
      <c r="A27" s="151" t="str">
        <f>☆入力!B33</f>
        <v/>
      </c>
      <c r="B27" s="151">
        <f>☆入力!C33</f>
        <v>0</v>
      </c>
      <c r="C27" s="151" t="str">
        <f>IFERROR(VLOOKUP(☆入力!G33,選定!$C$3:$AG$100,11,FALSE),"")</f>
        <v/>
      </c>
      <c r="D27" s="678" t="str">
        <f>IFERROR(VLOOKUP(☆入力!G33,選定!$C$3:$AG$100,1,FALSE),"")</f>
        <v/>
      </c>
      <c r="E27" s="679"/>
      <c r="F27" s="152">
        <f>☆入力!L33</f>
        <v>0</v>
      </c>
      <c r="G27" s="150" t="str">
        <f>IFERROR(VLOOKUP(☆入力!G33,選定!$C$3:$AG$100,7,FALSE),"")</f>
        <v/>
      </c>
      <c r="H27" s="1043" t="str">
        <f t="shared" si="0"/>
        <v/>
      </c>
      <c r="I27" s="1043"/>
    </row>
    <row r="28" spans="1:9" ht="10.35" hidden="1" customHeight="1" outlineLevel="1">
      <c r="A28" s="151" t="str">
        <f>☆入力!B34</f>
        <v/>
      </c>
      <c r="B28" s="151">
        <f>☆入力!C34</f>
        <v>0</v>
      </c>
      <c r="C28" s="151" t="str">
        <f>IFERROR(VLOOKUP(☆入力!G34,選定!$C$3:$AG$100,11,FALSE),"")</f>
        <v/>
      </c>
      <c r="D28" s="678" t="str">
        <f>IFERROR(VLOOKUP(☆入力!G34,選定!$C$3:$AG$100,1,FALSE),"")</f>
        <v/>
      </c>
      <c r="E28" s="679"/>
      <c r="F28" s="152">
        <f>☆入力!L34</f>
        <v>0</v>
      </c>
      <c r="G28" s="150" t="str">
        <f>IFERROR(VLOOKUP(☆入力!G34,選定!$C$3:$AG$100,7,FALSE),"")</f>
        <v/>
      </c>
      <c r="H28" s="1043" t="str">
        <f t="shared" si="0"/>
        <v/>
      </c>
      <c r="I28" s="1043"/>
    </row>
    <row r="29" spans="1:9" ht="10.5" hidden="1" customHeight="1" outlineLevel="1">
      <c r="A29" s="151" t="str">
        <f>☆入力!B35</f>
        <v/>
      </c>
      <c r="B29" s="151">
        <f>☆入力!C35</f>
        <v>0</v>
      </c>
      <c r="C29" s="151" t="str">
        <f>IFERROR(VLOOKUP(☆入力!G35,選定!$C$3:$AG$100,11,FALSE),"")</f>
        <v/>
      </c>
      <c r="D29" s="678" t="str">
        <f>IFERROR(VLOOKUP(☆入力!G35,選定!$C$3:$AG$100,1,FALSE),"")</f>
        <v/>
      </c>
      <c r="E29" s="679"/>
      <c r="F29" s="152">
        <f>☆入力!L35</f>
        <v>0</v>
      </c>
      <c r="G29" s="150" t="str">
        <f>IFERROR(VLOOKUP(☆入力!G35,選定!$C$3:$AG$100,7,FALSE),"")</f>
        <v/>
      </c>
      <c r="H29" s="1043" t="str">
        <f t="shared" si="0"/>
        <v/>
      </c>
      <c r="I29" s="1043"/>
    </row>
    <row r="30" spans="1:9" ht="10.5" hidden="1" customHeight="1" outlineLevel="1">
      <c r="A30" s="151" t="str">
        <f>☆入力!B36</f>
        <v/>
      </c>
      <c r="B30" s="151">
        <f>☆入力!C36</f>
        <v>0</v>
      </c>
      <c r="C30" s="151" t="str">
        <f>IFERROR(VLOOKUP(☆入力!G36,選定!$C$3:$AG$100,11,FALSE),"")</f>
        <v/>
      </c>
      <c r="D30" s="678" t="str">
        <f>IFERROR(VLOOKUP(☆入力!G36,選定!$C$3:$AG$100,1,FALSE),"")</f>
        <v/>
      </c>
      <c r="E30" s="679"/>
      <c r="F30" s="152">
        <f>☆入力!L36</f>
        <v>0</v>
      </c>
      <c r="G30" s="150" t="str">
        <f>IFERROR(VLOOKUP(☆入力!G36,選定!$C$3:$AG$100,7,FALSE),"")</f>
        <v/>
      </c>
      <c r="H30" s="1043" t="str">
        <f t="shared" si="0"/>
        <v/>
      </c>
      <c r="I30" s="1043"/>
    </row>
    <row r="31" spans="1:9" ht="10.5" hidden="1" customHeight="1" outlineLevel="1">
      <c r="A31" s="151" t="str">
        <f>☆入力!B37</f>
        <v/>
      </c>
      <c r="B31" s="151">
        <f>☆入力!C37</f>
        <v>0</v>
      </c>
      <c r="C31" s="151" t="str">
        <f>IFERROR(VLOOKUP(☆入力!G37,選定!$C$3:$AG$100,11,FALSE),"")</f>
        <v/>
      </c>
      <c r="D31" s="678" t="str">
        <f>IFERROR(VLOOKUP(☆入力!G37,選定!$C$3:$AG$100,1,FALSE),"")</f>
        <v/>
      </c>
      <c r="E31" s="679"/>
      <c r="F31" s="152">
        <f>☆入力!L37</f>
        <v>0</v>
      </c>
      <c r="G31" s="150" t="str">
        <f>IFERROR(VLOOKUP(☆入力!G37,選定!$C$3:$AG$100,7,FALSE),"")</f>
        <v/>
      </c>
      <c r="H31" s="1043" t="str">
        <f t="shared" si="0"/>
        <v/>
      </c>
      <c r="I31" s="1043"/>
    </row>
    <row r="32" spans="1:9" ht="10.5" hidden="1" customHeight="1" outlineLevel="1">
      <c r="A32" s="151" t="str">
        <f>☆入力!B38</f>
        <v/>
      </c>
      <c r="B32" s="151">
        <f>☆入力!C38</f>
        <v>0</v>
      </c>
      <c r="C32" s="151" t="str">
        <f>IFERROR(VLOOKUP(☆入力!G38,選定!$C$3:$AG$100,11,FALSE),"")</f>
        <v/>
      </c>
      <c r="D32" s="678" t="str">
        <f>IFERROR(VLOOKUP(☆入力!G38,選定!$C$3:$AG$100,1,FALSE),"")</f>
        <v/>
      </c>
      <c r="E32" s="679"/>
      <c r="F32" s="152">
        <f>☆入力!L38</f>
        <v>0</v>
      </c>
      <c r="G32" s="150" t="str">
        <f>IFERROR(VLOOKUP(☆入力!G38,選定!$C$3:$AG$100,7,FALSE),"")</f>
        <v/>
      </c>
      <c r="H32" s="1043" t="str">
        <f t="shared" si="0"/>
        <v/>
      </c>
      <c r="I32" s="1043"/>
    </row>
    <row r="33" spans="1:9" ht="10.5" hidden="1" customHeight="1" outlineLevel="1">
      <c r="A33" s="151" t="str">
        <f>☆入力!B39</f>
        <v/>
      </c>
      <c r="B33" s="151">
        <f>☆入力!C39</f>
        <v>0</v>
      </c>
      <c r="C33" s="151" t="str">
        <f>IFERROR(VLOOKUP(☆入力!G39,選定!$C$3:$AG$100,11,FALSE),"")</f>
        <v/>
      </c>
      <c r="D33" s="678" t="str">
        <f>IFERROR(VLOOKUP(☆入力!G39,選定!$C$3:$AG$100,1,FALSE),"")</f>
        <v/>
      </c>
      <c r="E33" s="679"/>
      <c r="F33" s="152">
        <f>☆入力!L39</f>
        <v>0</v>
      </c>
      <c r="G33" s="150" t="str">
        <f>IFERROR(VLOOKUP(☆入力!G39,選定!$C$3:$AG$100,7,FALSE),"")</f>
        <v/>
      </c>
      <c r="H33" s="1043" t="str">
        <f t="shared" si="0"/>
        <v/>
      </c>
      <c r="I33" s="1043"/>
    </row>
    <row r="34" spans="1:9" ht="10.5" hidden="1" customHeight="1" outlineLevel="1">
      <c r="A34" s="153" t="str">
        <f>☆入力!B40</f>
        <v/>
      </c>
      <c r="B34" s="153">
        <f>☆入力!C40</f>
        <v>0</v>
      </c>
      <c r="C34" s="151" t="str">
        <f>IFERROR(VLOOKUP(☆入力!G40,選定!$C$3:$AG$100,11,FALSE),"")</f>
        <v/>
      </c>
      <c r="D34" s="678" t="str">
        <f>IFERROR(VLOOKUP(☆入力!G40,選定!$C$3:$AG$100,1,FALSE),"")</f>
        <v/>
      </c>
      <c r="E34" s="679"/>
      <c r="F34" s="154">
        <f>☆入力!L40</f>
        <v>0</v>
      </c>
      <c r="G34" s="150" t="str">
        <f>IFERROR(VLOOKUP(☆入力!G40,選定!$C$3:$AG$100,7,FALSE),"")</f>
        <v/>
      </c>
      <c r="H34" s="1043" t="str">
        <f t="shared" si="0"/>
        <v/>
      </c>
      <c r="I34" s="1043"/>
    </row>
    <row r="35" spans="1:9" ht="10.5" hidden="1" customHeight="1" outlineLevel="1">
      <c r="A35" s="153" t="str">
        <f>☆入力!B41</f>
        <v/>
      </c>
      <c r="B35" s="153">
        <f>☆入力!C41</f>
        <v>0</v>
      </c>
      <c r="C35" s="151" t="str">
        <f>IFERROR(VLOOKUP(☆入力!G41,選定!$C$3:$AG$100,11,FALSE),"")</f>
        <v/>
      </c>
      <c r="D35" s="678" t="str">
        <f>IFERROR(VLOOKUP(☆入力!G41,選定!$C$3:$AG$100,1,FALSE),"")</f>
        <v/>
      </c>
      <c r="E35" s="679"/>
      <c r="F35" s="154">
        <f>☆入力!L41</f>
        <v>0</v>
      </c>
      <c r="G35" s="150" t="str">
        <f>IFERROR(VLOOKUP(☆入力!G41,選定!$C$3:$AG$100,7,FALSE),"")</f>
        <v/>
      </c>
      <c r="H35" s="1043" t="str">
        <f t="shared" si="0"/>
        <v/>
      </c>
      <c r="I35" s="1043"/>
    </row>
    <row r="36" spans="1:9" ht="10.5" hidden="1" customHeight="1" outlineLevel="1">
      <c r="A36" s="153" t="str">
        <f>☆入力!B42</f>
        <v/>
      </c>
      <c r="B36" s="153">
        <f>☆入力!C42</f>
        <v>0</v>
      </c>
      <c r="C36" s="151" t="str">
        <f>IFERROR(VLOOKUP(☆入力!G42,選定!$C$3:$AG$100,11,FALSE),"")</f>
        <v/>
      </c>
      <c r="D36" s="678" t="str">
        <f>IFERROR(VLOOKUP(☆入力!G42,選定!$C$3:$AG$100,1,FALSE),"")</f>
        <v/>
      </c>
      <c r="E36" s="679"/>
      <c r="F36" s="154">
        <f>☆入力!L42</f>
        <v>0</v>
      </c>
      <c r="G36" s="150" t="str">
        <f>IFERROR(VLOOKUP(☆入力!G42,選定!$C$3:$AG$100,7,FALSE),"")</f>
        <v/>
      </c>
      <c r="H36" s="1043" t="str">
        <f t="shared" si="0"/>
        <v/>
      </c>
      <c r="I36" s="1043"/>
    </row>
    <row r="37" spans="1:9" ht="10.5" hidden="1" customHeight="1" outlineLevel="1">
      <c r="A37" s="153" t="str">
        <f>☆入力!B43</f>
        <v/>
      </c>
      <c r="B37" s="153">
        <f>☆入力!C43</f>
        <v>0</v>
      </c>
      <c r="C37" s="151" t="str">
        <f>IFERROR(VLOOKUP(☆入力!G43,選定!$C$3:$AG$100,11,FALSE),"")</f>
        <v/>
      </c>
      <c r="D37" s="678" t="str">
        <f>IFERROR(VLOOKUP(☆入力!G43,選定!$C$3:$AG$100,1,FALSE),"")</f>
        <v/>
      </c>
      <c r="E37" s="679"/>
      <c r="F37" s="154">
        <f>☆入力!L43</f>
        <v>0</v>
      </c>
      <c r="G37" s="150" t="str">
        <f>IFERROR(VLOOKUP(☆入力!G43,選定!$C$3:$AG$100,7,FALSE),"")</f>
        <v/>
      </c>
      <c r="H37" s="1043" t="str">
        <f t="shared" si="0"/>
        <v/>
      </c>
      <c r="I37" s="1043"/>
    </row>
    <row r="38" spans="1:9" ht="10.5" hidden="1" customHeight="1" outlineLevel="1">
      <c r="A38" s="153" t="str">
        <f>☆入力!B44</f>
        <v/>
      </c>
      <c r="B38" s="153">
        <f>☆入力!C44</f>
        <v>0</v>
      </c>
      <c r="C38" s="151" t="str">
        <f>IFERROR(VLOOKUP(☆入力!G44,選定!$C$3:$AG$100,11,FALSE),"")</f>
        <v/>
      </c>
      <c r="D38" s="678" t="str">
        <f>IFERROR(VLOOKUP(☆入力!G44,選定!$C$3:$AG$100,1,FALSE),"")</f>
        <v/>
      </c>
      <c r="E38" s="679"/>
      <c r="F38" s="154">
        <f>☆入力!L44</f>
        <v>0</v>
      </c>
      <c r="G38" s="150" t="str">
        <f>IFERROR(VLOOKUP(☆入力!G44,選定!$C$3:$AG$100,7,FALSE),"")</f>
        <v/>
      </c>
      <c r="H38" s="1043" t="str">
        <f t="shared" si="0"/>
        <v/>
      </c>
      <c r="I38" s="1043"/>
    </row>
    <row r="39" spans="1:9" ht="10.5" hidden="1" customHeight="1" outlineLevel="1">
      <c r="A39" s="153" t="str">
        <f>☆入力!B45</f>
        <v/>
      </c>
      <c r="B39" s="153">
        <f>☆入力!C45</f>
        <v>0</v>
      </c>
      <c r="C39" s="159" t="str">
        <f>IFERROR(VLOOKUP(☆入力!G45,選定!$C$3:$AG$100,11,FALSE),"")</f>
        <v/>
      </c>
      <c r="D39" s="680" t="str">
        <f>IFERROR(VLOOKUP(☆入力!G45,選定!$C$3:$AG$100,1,FALSE),"")</f>
        <v/>
      </c>
      <c r="E39" s="681"/>
      <c r="F39" s="154">
        <f>☆入力!L45</f>
        <v>0</v>
      </c>
      <c r="G39" s="150" t="str">
        <f>IFERROR(VLOOKUP(☆入力!G45,選定!$C$3:$AG$100,7,FALSE),"")</f>
        <v/>
      </c>
      <c r="H39" s="1043" t="str">
        <f t="shared" si="0"/>
        <v/>
      </c>
      <c r="I39" s="1043"/>
    </row>
    <row r="40" spans="1:9" ht="11.1" customHeight="1" collapsed="1">
      <c r="A40" s="1114"/>
      <c r="B40" s="1114"/>
      <c r="C40" s="1114"/>
      <c r="D40" s="1114"/>
      <c r="E40" s="686"/>
      <c r="F40" s="1116" t="s">
        <v>360</v>
      </c>
      <c r="G40" s="1116"/>
      <c r="H40" s="1115">
        <f>SUM(H10:I39)</f>
        <v>0</v>
      </c>
      <c r="I40" s="1115"/>
    </row>
    <row r="41" spans="1:9" ht="10.5" customHeight="1">
      <c r="A41" s="112"/>
      <c r="B41" s="112"/>
      <c r="C41" s="112"/>
      <c r="D41" s="113"/>
      <c r="E41" s="113"/>
      <c r="F41" s="114"/>
      <c r="G41" s="114"/>
      <c r="H41" s="115"/>
      <c r="I41" s="115"/>
    </row>
    <row r="42" spans="1:9" ht="10.5" customHeight="1">
      <c r="A42" s="1056" t="s">
        <v>361</v>
      </c>
      <c r="B42" s="1057"/>
      <c r="C42" s="1057"/>
      <c r="D42" s="1057"/>
      <c r="E42" s="682"/>
      <c r="F42" s="477" t="s">
        <v>161</v>
      </c>
      <c r="G42" s="477" t="s">
        <v>342</v>
      </c>
      <c r="H42" s="1044" t="s">
        <v>343</v>
      </c>
      <c r="I42" s="1044"/>
    </row>
    <row r="43" spans="1:9" ht="10.5" customHeight="1">
      <c r="A43" s="1059" t="s">
        <v>362</v>
      </c>
      <c r="B43" s="1060"/>
      <c r="C43" s="1060"/>
      <c r="D43" s="1060"/>
      <c r="E43" s="684"/>
      <c r="F43" s="685">
        <f>VLOOKUP(☆入力!L14,LED計算式!M21:N26,2,TRUE)</f>
        <v>1</v>
      </c>
      <c r="G43" s="685">
        <v>20000</v>
      </c>
      <c r="H43" s="1113">
        <f t="shared" ref="H43:H51" si="1">IFERROR(G43*F43,"")</f>
        <v>20000</v>
      </c>
      <c r="I43" s="1113"/>
    </row>
    <row r="44" spans="1:9" ht="10.35" customHeight="1">
      <c r="A44" s="1063" t="s">
        <v>363</v>
      </c>
      <c r="B44" s="1064"/>
      <c r="C44" s="1064"/>
      <c r="D44" s="1064"/>
      <c r="E44" s="679"/>
      <c r="F44" s="152">
        <f>LED計算式!O36</f>
        <v>0</v>
      </c>
      <c r="G44" s="152">
        <v>3000</v>
      </c>
      <c r="H44" s="1071">
        <f t="shared" si="1"/>
        <v>0</v>
      </c>
      <c r="I44" s="1071"/>
    </row>
    <row r="45" spans="1:9" ht="10.35" hidden="1" customHeight="1" outlineLevel="1">
      <c r="A45" s="1063" t="s">
        <v>364</v>
      </c>
      <c r="B45" s="1064"/>
      <c r="C45" s="1064"/>
      <c r="D45" s="1064"/>
      <c r="E45" s="679"/>
      <c r="F45" s="152">
        <f>LED計算式!O37</f>
        <v>0</v>
      </c>
      <c r="G45" s="152">
        <v>4500</v>
      </c>
      <c r="H45" s="1071">
        <f t="shared" si="1"/>
        <v>0</v>
      </c>
      <c r="I45" s="1071"/>
    </row>
    <row r="46" spans="1:9" ht="10.35" hidden="1" customHeight="1" outlineLevel="1">
      <c r="A46" s="1063" t="s">
        <v>365</v>
      </c>
      <c r="B46" s="1064"/>
      <c r="C46" s="1064"/>
      <c r="D46" s="1064"/>
      <c r="E46" s="679"/>
      <c r="F46" s="152">
        <f>LED計算式!O38</f>
        <v>0</v>
      </c>
      <c r="G46" s="152">
        <v>2000</v>
      </c>
      <c r="H46" s="1071">
        <f t="shared" si="1"/>
        <v>0</v>
      </c>
      <c r="I46" s="1071"/>
    </row>
    <row r="47" spans="1:9" ht="10.35" hidden="1" customHeight="1" outlineLevel="1">
      <c r="A47" s="1063" t="s">
        <v>366</v>
      </c>
      <c r="B47" s="1064"/>
      <c r="C47" s="1064"/>
      <c r="D47" s="1064"/>
      <c r="E47" s="679"/>
      <c r="F47" s="152">
        <f>LED計算式!O39</f>
        <v>0</v>
      </c>
      <c r="G47" s="152">
        <v>600</v>
      </c>
      <c r="H47" s="1071">
        <f t="shared" si="1"/>
        <v>0</v>
      </c>
      <c r="I47" s="1071"/>
    </row>
    <row r="48" spans="1:9" ht="10.5" customHeight="1" collapsed="1">
      <c r="A48" s="1063" t="s">
        <v>367</v>
      </c>
      <c r="B48" s="1064"/>
      <c r="C48" s="1064"/>
      <c r="D48" s="1064"/>
      <c r="E48" s="679"/>
      <c r="F48" s="152">
        <f>COUNTA(☆入力!AG16:AG45)</f>
        <v>1</v>
      </c>
      <c r="G48" s="152">
        <v>3000</v>
      </c>
      <c r="H48" s="1071">
        <f t="shared" si="1"/>
        <v>3000</v>
      </c>
      <c r="I48" s="1071"/>
    </row>
    <row r="49" spans="1:10" ht="10.5" customHeight="1">
      <c r="A49" s="1063" t="s">
        <v>368</v>
      </c>
      <c r="B49" s="1064"/>
      <c r="C49" s="1064"/>
      <c r="D49" s="1064"/>
      <c r="E49" s="679"/>
      <c r="F49" s="152">
        <f>SUM(F44:F46)</f>
        <v>0</v>
      </c>
      <c r="G49" s="152">
        <v>1000</v>
      </c>
      <c r="H49" s="1071">
        <f t="shared" si="1"/>
        <v>0</v>
      </c>
      <c r="I49" s="1071"/>
    </row>
    <row r="50" spans="1:10" ht="10.5" customHeight="1">
      <c r="A50" s="1063" t="s">
        <v>369</v>
      </c>
      <c r="B50" s="1064"/>
      <c r="C50" s="1064"/>
      <c r="D50" s="1064"/>
      <c r="E50" s="679"/>
      <c r="F50" s="152">
        <f>COUNTA(☆入力!AG16:AG45)</f>
        <v>1</v>
      </c>
      <c r="G50" s="152">
        <v>5000</v>
      </c>
      <c r="H50" s="1071">
        <f t="shared" si="1"/>
        <v>5000</v>
      </c>
      <c r="I50" s="1071"/>
    </row>
    <row r="51" spans="1:10" ht="10.5" customHeight="1">
      <c r="A51" s="1066">
        <f>☆入力!AH12</f>
        <v>0</v>
      </c>
      <c r="B51" s="1067"/>
      <c r="C51" s="1067"/>
      <c r="D51" s="1067"/>
      <c r="E51" s="681"/>
      <c r="F51" s="160" t="str">
        <f>IF(☆入力!AH12&lt;&gt;"","1","")</f>
        <v/>
      </c>
      <c r="G51" s="161">
        <f>☆入力!AJ12</f>
        <v>0</v>
      </c>
      <c r="H51" s="1140" t="str">
        <f t="shared" si="1"/>
        <v/>
      </c>
      <c r="I51" s="1140"/>
    </row>
    <row r="52" spans="1:10" ht="12" customHeight="1">
      <c r="A52" s="1422"/>
      <c r="B52" s="1422"/>
      <c r="C52" s="1422"/>
      <c r="D52" s="1422"/>
      <c r="E52" s="105"/>
      <c r="F52" s="1144" t="s">
        <v>370</v>
      </c>
      <c r="G52" s="1144"/>
      <c r="H52" s="1141">
        <f>SUM(H43:I51)</f>
        <v>28000</v>
      </c>
      <c r="I52" s="1141"/>
    </row>
    <row r="53" spans="1:10">
      <c r="F53" s="105"/>
      <c r="G53" s="105"/>
      <c r="H53" s="105"/>
      <c r="I53" s="105"/>
    </row>
    <row r="54" spans="1:10" s="105" customFormat="1" ht="12" customHeight="1">
      <c r="F54" s="1143" t="s">
        <v>371</v>
      </c>
      <c r="G54" s="1143"/>
      <c r="H54" s="1142">
        <f>ROUNDDOWN(H40+H52,0)</f>
        <v>28000</v>
      </c>
      <c r="I54" s="1142"/>
    </row>
    <row r="55" spans="1:10" s="105" customFormat="1" ht="12" customHeight="1">
      <c r="F55" s="1138" t="s">
        <v>375</v>
      </c>
      <c r="G55" s="1138"/>
      <c r="H55" s="1129">
        <f ca="1">(☆入力!AL14+代理店入力用!D5)-SUM(H40,H43:I51)</f>
        <v>-28000</v>
      </c>
      <c r="I55" s="1129"/>
    </row>
    <row r="56" spans="1:10" s="105" customFormat="1" ht="12" customHeight="1">
      <c r="A56" s="105" t="s">
        <v>346</v>
      </c>
      <c r="F56" s="1138" t="str">
        <f>"複数棟割引（ "&amp;TEXT(☆入力!AR11,"0%")&amp;" OFF ）"</f>
        <v>複数棟割引（ 0% OFF ）</v>
      </c>
      <c r="G56" s="1138"/>
      <c r="H56" s="1129">
        <f ca="1">-(☆入力!AL14*☆入力!AR11)</f>
        <v>0</v>
      </c>
      <c r="I56" s="1129"/>
    </row>
    <row r="57" spans="1:10" s="105" customFormat="1" ht="12" customHeight="1" thickBot="1">
      <c r="A57" s="1135">
        <f>☆入力!AH4</f>
        <v>0</v>
      </c>
      <c r="B57" s="1136"/>
      <c r="C57" s="1136"/>
      <c r="D57" s="1137"/>
      <c r="F57" s="1139" t="s">
        <v>19</v>
      </c>
      <c r="G57" s="1139"/>
      <c r="H57" s="1130">
        <f ca="1">SUM(H54:I56)</f>
        <v>0</v>
      </c>
      <c r="I57" s="1130"/>
    </row>
    <row r="58" spans="1:10" ht="10.35" customHeight="1" thickTop="1" thickBot="1">
      <c r="A58" s="1117"/>
      <c r="B58" s="1118"/>
      <c r="C58" s="1118"/>
      <c r="D58" s="1119"/>
      <c r="E58" s="105"/>
      <c r="F58" s="105"/>
    </row>
    <row r="59" spans="1:10" ht="9" customHeight="1" thickBot="1">
      <c r="A59" s="1117">
        <f>☆入力!AH5</f>
        <v>0</v>
      </c>
      <c r="B59" s="1118"/>
      <c r="C59" s="1118"/>
      <c r="D59" s="1119"/>
      <c r="E59" s="105"/>
      <c r="F59" s="1127" t="s">
        <v>336</v>
      </c>
      <c r="G59" s="1128"/>
      <c r="H59" s="1131">
        <f ca="1">VLOOKUP(F59,K11:L12,2,FALSE)</f>
        <v>0</v>
      </c>
      <c r="I59" s="1132"/>
    </row>
    <row r="60" spans="1:10" ht="9" customHeight="1" thickBot="1">
      <c r="A60" s="1117"/>
      <c r="B60" s="1118"/>
      <c r="C60" s="1118"/>
      <c r="D60" s="1119"/>
      <c r="E60" s="105"/>
      <c r="F60" s="1127"/>
      <c r="G60" s="1128"/>
      <c r="H60" s="1133"/>
      <c r="I60" s="1134"/>
    </row>
    <row r="61" spans="1:10" ht="9" customHeight="1" thickBot="1">
      <c r="A61" s="1117">
        <f>☆入力!AH6</f>
        <v>0</v>
      </c>
      <c r="B61" s="1118"/>
      <c r="C61" s="1118"/>
      <c r="D61" s="1119"/>
      <c r="E61" s="105"/>
      <c r="F61" s="1127" t="s">
        <v>328</v>
      </c>
      <c r="G61" s="1128"/>
      <c r="H61" s="1123">
        <f ca="1">VLOOKUP(F61,K9:L10,2,FALSE)</f>
        <v>0</v>
      </c>
      <c r="I61" s="1125" t="s">
        <v>331</v>
      </c>
    </row>
    <row r="62" spans="1:10" ht="9" customHeight="1" thickBot="1">
      <c r="A62" s="1120"/>
      <c r="B62" s="1121"/>
      <c r="C62" s="1121"/>
      <c r="D62" s="1122"/>
      <c r="E62" s="105"/>
      <c r="F62" s="1127"/>
      <c r="G62" s="1128"/>
      <c r="H62" s="1124"/>
      <c r="I62" s="1126"/>
    </row>
    <row r="63" spans="1:10">
      <c r="A63" s="105"/>
      <c r="B63" s="105"/>
      <c r="C63" s="105"/>
      <c r="D63" s="105"/>
      <c r="E63" s="105"/>
      <c r="F63" s="231" t="s">
        <v>351</v>
      </c>
      <c r="J63" s="388" t="s">
        <v>339</v>
      </c>
    </row>
    <row r="64" spans="1:10" ht="9.9499999999999993" customHeight="1">
      <c r="A64" s="105"/>
      <c r="B64" s="105"/>
      <c r="C64" s="105"/>
      <c r="D64" s="105"/>
      <c r="E64" s="105"/>
      <c r="F64" s="105"/>
    </row>
    <row r="65" ht="9.9499999999999993" customHeight="1"/>
    <row r="66" ht="9.9499999999999993" customHeight="1"/>
    <row r="67" ht="9.9499999999999993" customHeight="1"/>
  </sheetData>
  <mergeCells count="79">
    <mergeCell ref="A51:D51"/>
    <mergeCell ref="H51:I51"/>
    <mergeCell ref="A52:D52"/>
    <mergeCell ref="H52:I52"/>
    <mergeCell ref="H54:I54"/>
    <mergeCell ref="F54:G54"/>
    <mergeCell ref="F52:G52"/>
    <mergeCell ref="H55:I55"/>
    <mergeCell ref="H56:I56"/>
    <mergeCell ref="H57:I57"/>
    <mergeCell ref="A59:D60"/>
    <mergeCell ref="H59:I60"/>
    <mergeCell ref="A57:D58"/>
    <mergeCell ref="F55:G55"/>
    <mergeCell ref="F56:G56"/>
    <mergeCell ref="F57:G57"/>
    <mergeCell ref="A61:D62"/>
    <mergeCell ref="H61:H62"/>
    <mergeCell ref="I61:I62"/>
    <mergeCell ref="F59:G60"/>
    <mergeCell ref="F61:G62"/>
    <mergeCell ref="A50:D50"/>
    <mergeCell ref="H50:I50"/>
    <mergeCell ref="A45:D45"/>
    <mergeCell ref="H45:I45"/>
    <mergeCell ref="A46:D46"/>
    <mergeCell ref="H46:I46"/>
    <mergeCell ref="A47:D47"/>
    <mergeCell ref="H47:I47"/>
    <mergeCell ref="A48:D48"/>
    <mergeCell ref="H48:I48"/>
    <mergeCell ref="A49:D49"/>
    <mergeCell ref="H49:I49"/>
    <mergeCell ref="A42:D42"/>
    <mergeCell ref="H42:I42"/>
    <mergeCell ref="A43:D43"/>
    <mergeCell ref="H43:I43"/>
    <mergeCell ref="A44:D44"/>
    <mergeCell ref="H44:I44"/>
    <mergeCell ref="A40:D40"/>
    <mergeCell ref="H40:I40"/>
    <mergeCell ref="H34:I34"/>
    <mergeCell ref="H35:I35"/>
    <mergeCell ref="H36:I36"/>
    <mergeCell ref="H37:I37"/>
    <mergeCell ref="H38:I38"/>
    <mergeCell ref="H39:I39"/>
    <mergeCell ref="F40:G40"/>
    <mergeCell ref="H33:I33"/>
    <mergeCell ref="H22:I22"/>
    <mergeCell ref="H23:I23"/>
    <mergeCell ref="H24:I24"/>
    <mergeCell ref="H25:I25"/>
    <mergeCell ref="H26:I26"/>
    <mergeCell ref="H27:I27"/>
    <mergeCell ref="H28:I28"/>
    <mergeCell ref="H29:I29"/>
    <mergeCell ref="H30:I30"/>
    <mergeCell ref="H31:I31"/>
    <mergeCell ref="H32:I32"/>
    <mergeCell ref="H21:I21"/>
    <mergeCell ref="H10:I10"/>
    <mergeCell ref="H11:I11"/>
    <mergeCell ref="H12:I12"/>
    <mergeCell ref="H13:I13"/>
    <mergeCell ref="H14:I14"/>
    <mergeCell ref="H15:I15"/>
    <mergeCell ref="H16:I16"/>
    <mergeCell ref="H17:I17"/>
    <mergeCell ref="H18:I18"/>
    <mergeCell ref="H19:I19"/>
    <mergeCell ref="H20:I20"/>
    <mergeCell ref="H9:I9"/>
    <mergeCell ref="D9:E9"/>
    <mergeCell ref="A1:D2"/>
    <mergeCell ref="A3:D4"/>
    <mergeCell ref="G4:I4"/>
    <mergeCell ref="G5:I5"/>
    <mergeCell ref="G6:I6"/>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K64"/>
  <sheetViews>
    <sheetView tabSelected="1" view="pageBreakPreview" topLeftCell="A12" zoomScale="80" zoomScaleNormal="85" zoomScaleSheetLayoutView="80" workbookViewId="0">
      <selection activeCell="A46" sqref="A46:D46"/>
    </sheetView>
  </sheetViews>
  <sheetFormatPr defaultColWidth="9" defaultRowHeight="12" outlineLevelRow="1"/>
  <cols>
    <col min="1" max="1" width="4.125" style="75" customWidth="1"/>
    <col min="2" max="2" width="13.625" style="75" customWidth="1"/>
    <col min="3" max="3" width="20.375" style="75" customWidth="1"/>
    <col min="4" max="4" width="37.125" style="75" customWidth="1"/>
    <col min="5" max="5" width="8.875" style="75" customWidth="1"/>
    <col min="6" max="6" width="18" style="75" customWidth="1"/>
    <col min="7" max="7" width="13.5" style="75" customWidth="1"/>
    <col min="8" max="8" width="15.5" style="75" bestFit="1" customWidth="1"/>
    <col min="9" max="9" width="9" style="75"/>
    <col min="10" max="10" width="18.75" style="75" customWidth="1"/>
    <col min="11" max="11" width="11.375" style="75" customWidth="1"/>
    <col min="12" max="12" width="10.625" style="75" bestFit="1" customWidth="1"/>
    <col min="13" max="16384" width="9" style="75"/>
  </cols>
  <sheetData>
    <row r="1" spans="1:11" ht="15" customHeight="1">
      <c r="A1" s="977" t="s">
        <v>323</v>
      </c>
      <c r="B1" s="977"/>
      <c r="C1" s="977"/>
      <c r="D1" s="977"/>
      <c r="G1" s="76" t="s">
        <v>324</v>
      </c>
      <c r="H1" s="77">
        <f ca="1">TODAY()</f>
        <v>46079</v>
      </c>
    </row>
    <row r="2" spans="1:11" ht="15" customHeight="1">
      <c r="A2" s="977"/>
      <c r="B2" s="977"/>
      <c r="C2" s="977"/>
      <c r="D2" s="977"/>
      <c r="G2" s="76"/>
      <c r="H2" s="78"/>
    </row>
    <row r="3" spans="1:11" ht="15" customHeight="1">
      <c r="A3" s="1033">
        <f>☆入力!C5</f>
        <v>0</v>
      </c>
      <c r="B3" s="1033"/>
      <c r="C3" s="1033"/>
      <c r="D3" s="1033"/>
    </row>
    <row r="4" spans="1:11" ht="15" customHeight="1">
      <c r="A4" s="1159"/>
      <c r="B4" s="1159"/>
      <c r="C4" s="1159"/>
      <c r="D4" s="1159"/>
      <c r="F4" s="1160" t="str">
        <f>IF(代理店入力用!N3="",'⓪表紙'!I25,代理店入力用!N3)</f>
        <v>株式会社クラスコ</v>
      </c>
      <c r="G4" s="1160"/>
      <c r="H4" s="1160"/>
    </row>
    <row r="5" spans="1:11" ht="15" customHeight="1">
      <c r="F5" s="1161" t="str">
        <f>IF(代理店入力用!N5="",'⓪表紙'!I26,'⓪表紙'!A26)</f>
        <v>〒920-0024石川県金沢市西念4丁目24-21</v>
      </c>
      <c r="G5" s="1161"/>
      <c r="H5" s="1161"/>
    </row>
    <row r="6" spans="1:11" ht="15" customHeight="1">
      <c r="A6" s="105" t="s">
        <v>325</v>
      </c>
      <c r="B6" s="105"/>
      <c r="F6" s="1161" t="str">
        <f>IF(代理店入力用!N6="",'⓪表紙'!I27,'⓪表紙'!A27)</f>
        <v>TEL：　076-222-1111</v>
      </c>
      <c r="G6" s="1161"/>
      <c r="H6" s="1161"/>
    </row>
    <row r="7" spans="1:11" ht="15" customHeight="1">
      <c r="A7" s="105" t="s">
        <v>357</v>
      </c>
      <c r="B7" s="105"/>
    </row>
    <row r="8" spans="1:11" ht="6" customHeight="1"/>
    <row r="9" spans="1:11" ht="11.1" customHeight="1">
      <c r="A9" s="477" t="s">
        <v>340</v>
      </c>
      <c r="B9" s="477" t="s">
        <v>176</v>
      </c>
      <c r="C9" s="477" t="s">
        <v>70</v>
      </c>
      <c r="D9" s="477" t="s">
        <v>268</v>
      </c>
      <c r="E9" s="477" t="s">
        <v>16</v>
      </c>
      <c r="F9" s="477" t="s">
        <v>358</v>
      </c>
      <c r="G9" s="1044" t="s">
        <v>343</v>
      </c>
      <c r="H9" s="1044"/>
      <c r="J9" s="384" t="s">
        <v>328</v>
      </c>
      <c r="K9" s="387">
        <f ca="1">ROUNDDOWN(H56/54,0)</f>
        <v>0</v>
      </c>
    </row>
    <row r="10" spans="1:11" ht="11.1" customHeight="1">
      <c r="A10" s="148">
        <v>1</v>
      </c>
      <c r="B10" s="148">
        <f>IFERROR(☆入力!C16,"")</f>
        <v>0</v>
      </c>
      <c r="C10" s="149" t="str">
        <f>IFERROR(VLOOKUP(☆入力!G16,選定!$C$3:$AG$100,11,FALSE),"")</f>
        <v/>
      </c>
      <c r="D10" s="320" t="str">
        <f>IFERROR(VLOOKUP(☆入力!G16,選定!$C$3:$AG$100,1,FALSE),"")</f>
        <v/>
      </c>
      <c r="E10" s="150">
        <f>☆入力!L16</f>
        <v>0</v>
      </c>
      <c r="F10" s="150" t="str">
        <f>IFERROR(VLOOKUP(☆入力!G16,選定!$C$3:$AG$100,7,FALSE),"")</f>
        <v/>
      </c>
      <c r="G10" s="1043" t="str">
        <f>IFERROR(F10*E10,"")</f>
        <v/>
      </c>
      <c r="H10" s="1043"/>
      <c r="J10" s="384" t="s">
        <v>332</v>
      </c>
      <c r="K10" s="387">
        <f ca="1">K9*1.1</f>
        <v>0</v>
      </c>
    </row>
    <row r="11" spans="1:11" ht="11.1" customHeight="1">
      <c r="A11" s="151">
        <v>2</v>
      </c>
      <c r="B11" s="151">
        <f>IFERROR(☆入力!C17,"")</f>
        <v>0</v>
      </c>
      <c r="C11" s="151" t="str">
        <f>IFERROR(VLOOKUP(☆入力!G17,選定!$C$3:$AG$100,11,FALSE),"")</f>
        <v/>
      </c>
      <c r="D11" s="320" t="str">
        <f>IFERROR(VLOOKUP(☆入力!G17,選定!$C$3:$AG$100,1,FALSE),"")</f>
        <v/>
      </c>
      <c r="E11" s="152">
        <f>☆入力!L17</f>
        <v>0</v>
      </c>
      <c r="F11" s="150" t="str">
        <f>IFERROR(VLOOKUP(☆入力!G17,選定!$C$3:$AG$100,7,FALSE),"")</f>
        <v/>
      </c>
      <c r="G11" s="1109" t="str">
        <f t="shared" ref="G11:G39" si="0">IFERROR(F11*E11,"")</f>
        <v/>
      </c>
      <c r="H11" s="1110"/>
      <c r="J11" s="702" t="s">
        <v>376</v>
      </c>
      <c r="K11" s="387">
        <f ca="1">H56</f>
        <v>0</v>
      </c>
    </row>
    <row r="12" spans="1:11" ht="11.1" customHeight="1">
      <c r="A12" s="151">
        <v>3</v>
      </c>
      <c r="B12" s="151">
        <f>IFERROR(☆入力!C18,"")</f>
        <v>0</v>
      </c>
      <c r="C12" s="151" t="str">
        <f>IFERROR(VLOOKUP(☆入力!G18,選定!$C$3:$AG$100,11,FALSE),"")</f>
        <v/>
      </c>
      <c r="D12" s="320" t="str">
        <f>IFERROR(VLOOKUP(☆入力!G18,選定!$C$3:$AG$100,1,FALSE),"")</f>
        <v/>
      </c>
      <c r="E12" s="152">
        <f>☆入力!L18</f>
        <v>0</v>
      </c>
      <c r="F12" s="150" t="str">
        <f>IFERROR(VLOOKUP(☆入力!G18,選定!$C$3:$AG$100,7,FALSE),"")</f>
        <v/>
      </c>
      <c r="G12" s="1109" t="str">
        <f t="shared" si="0"/>
        <v/>
      </c>
      <c r="H12" s="1110"/>
      <c r="J12" s="702" t="s">
        <v>377</v>
      </c>
      <c r="K12" s="387">
        <f ca="1">K11*1.1</f>
        <v>0</v>
      </c>
    </row>
    <row r="13" spans="1:11" ht="11.1" customHeight="1">
      <c r="A13" s="151">
        <v>4</v>
      </c>
      <c r="B13" s="151">
        <f>IFERROR(☆入力!C19,"")</f>
        <v>0</v>
      </c>
      <c r="C13" s="151" t="str">
        <f>IFERROR(VLOOKUP(☆入力!G19,選定!$C$3:$AG$100,11,FALSE),"")</f>
        <v/>
      </c>
      <c r="D13" s="321" t="str">
        <f>IFERROR(VLOOKUP(☆入力!G19,選定!$C$3:$AG$100,1,FALSE),"")</f>
        <v/>
      </c>
      <c r="E13" s="152">
        <f>☆入力!L19</f>
        <v>0</v>
      </c>
      <c r="F13" s="150" t="str">
        <f>IFERROR(VLOOKUP(☆入力!G19,選定!$C$3:$AG$100,7,FALSE),"")</f>
        <v/>
      </c>
      <c r="G13" s="1107" t="str">
        <f t="shared" si="0"/>
        <v/>
      </c>
      <c r="H13" s="1108"/>
    </row>
    <row r="14" spans="1:11" ht="11.1" customHeight="1">
      <c r="A14" s="151">
        <v>5</v>
      </c>
      <c r="B14" s="151">
        <f>IFERROR(☆入力!C20,"")</f>
        <v>0</v>
      </c>
      <c r="C14" s="151" t="str">
        <f>IFERROR(VLOOKUP(☆入力!G20,選定!$C$3:$AG$100,11,FALSE),"")</f>
        <v/>
      </c>
      <c r="D14" s="321" t="str">
        <f>IFERROR(VLOOKUP(☆入力!G20,選定!$C$3:$AG$100,1,FALSE),"")</f>
        <v/>
      </c>
      <c r="E14" s="152">
        <f>☆入力!L20</f>
        <v>0</v>
      </c>
      <c r="F14" s="150" t="str">
        <f>IFERROR(VLOOKUP(☆入力!G20,選定!$C$3:$AG$100,7,FALSE),"")</f>
        <v/>
      </c>
      <c r="G14" s="1107" t="str">
        <f t="shared" si="0"/>
        <v/>
      </c>
      <c r="H14" s="1108"/>
    </row>
    <row r="15" spans="1:11" ht="11.1" customHeight="1">
      <c r="A15" s="151">
        <v>6</v>
      </c>
      <c r="B15" s="151">
        <f>IFERROR(☆入力!C21,"")</f>
        <v>0</v>
      </c>
      <c r="C15" s="151" t="str">
        <f>IFERROR(VLOOKUP(☆入力!G21,選定!$C$3:$AG$100,11,FALSE),"")</f>
        <v/>
      </c>
      <c r="D15" s="321" t="str">
        <f>IFERROR(VLOOKUP(☆入力!G21,選定!$C$3:$AG$100,1,FALSE),"")</f>
        <v/>
      </c>
      <c r="E15" s="152">
        <f>☆入力!L21</f>
        <v>0</v>
      </c>
      <c r="F15" s="150" t="str">
        <f>IFERROR(VLOOKUP(☆入力!G21,選定!$C$3:$AG$100,7,FALSE),"")</f>
        <v/>
      </c>
      <c r="G15" s="1107" t="str">
        <f t="shared" si="0"/>
        <v/>
      </c>
      <c r="H15" s="1108"/>
    </row>
    <row r="16" spans="1:11" ht="11.1" customHeight="1">
      <c r="A16" s="151">
        <v>7</v>
      </c>
      <c r="B16" s="151">
        <f>IFERROR(☆入力!C22,"")</f>
        <v>0</v>
      </c>
      <c r="C16" s="151" t="str">
        <f>IFERROR(VLOOKUP(☆入力!G22,選定!$C$3:$AG$100,11,FALSE),"")</f>
        <v/>
      </c>
      <c r="D16" s="321" t="str">
        <f>IFERROR(VLOOKUP(☆入力!G22,選定!$C$3:$AG$100,1,FALSE),"")</f>
        <v/>
      </c>
      <c r="E16" s="152">
        <f>☆入力!L22</f>
        <v>0</v>
      </c>
      <c r="F16" s="150" t="str">
        <f>IFERROR(VLOOKUP(☆入力!G22,選定!$C$3:$AG$100,7,FALSE),"")</f>
        <v/>
      </c>
      <c r="G16" s="1107" t="str">
        <f t="shared" si="0"/>
        <v/>
      </c>
      <c r="H16" s="1108"/>
    </row>
    <row r="17" spans="1:8" ht="11.1" customHeight="1">
      <c r="A17" s="151">
        <v>8</v>
      </c>
      <c r="B17" s="151">
        <f>IFERROR(☆入力!C23,"")</f>
        <v>0</v>
      </c>
      <c r="C17" s="151" t="str">
        <f>IFERROR(VLOOKUP(☆入力!G23,選定!$C$3:$AG$100,11,FALSE),"")</f>
        <v/>
      </c>
      <c r="D17" s="321" t="str">
        <f>IFERROR(VLOOKUP(☆入力!G23,選定!$C$3:$AG$100,1,FALSE),"")</f>
        <v/>
      </c>
      <c r="E17" s="152">
        <f>☆入力!L23</f>
        <v>0</v>
      </c>
      <c r="F17" s="150" t="str">
        <f>IFERROR(VLOOKUP(☆入力!G23,選定!$C$3:$AG$100,7,FALSE),"")</f>
        <v/>
      </c>
      <c r="G17" s="1107" t="str">
        <f t="shared" si="0"/>
        <v/>
      </c>
      <c r="H17" s="1108"/>
    </row>
    <row r="18" spans="1:8" ht="11.1" customHeight="1">
      <c r="A18" s="151">
        <v>9</v>
      </c>
      <c r="B18" s="151">
        <f>IFERROR(☆入力!C24,"")</f>
        <v>0</v>
      </c>
      <c r="C18" s="151" t="str">
        <f>IFERROR(VLOOKUP(☆入力!G24,選定!$C$3:$AG$100,11,FALSE),"")</f>
        <v/>
      </c>
      <c r="D18" s="321" t="str">
        <f>IFERROR(VLOOKUP(☆入力!G24,選定!$C$3:$AG$100,1,FALSE),"")</f>
        <v/>
      </c>
      <c r="E18" s="152">
        <f>☆入力!L24</f>
        <v>0</v>
      </c>
      <c r="F18" s="150" t="str">
        <f>IFERROR(VLOOKUP(☆入力!G24,選定!$C$3:$AG$100,7,FALSE),"")</f>
        <v/>
      </c>
      <c r="G18" s="1107" t="str">
        <f t="shared" si="0"/>
        <v/>
      </c>
      <c r="H18" s="1108"/>
    </row>
    <row r="19" spans="1:8" ht="11.1" customHeight="1">
      <c r="A19" s="151">
        <v>10</v>
      </c>
      <c r="B19" s="151">
        <f>IFERROR(☆入力!C25,"")</f>
        <v>0</v>
      </c>
      <c r="C19" s="151" t="str">
        <f>IFERROR(VLOOKUP(☆入力!G25,選定!$C$3:$AG$100,11,FALSE),"")</f>
        <v/>
      </c>
      <c r="D19" s="321" t="str">
        <f>IFERROR(VLOOKUP(☆入力!G25,選定!$C$3:$AG$100,1,FALSE),"")</f>
        <v/>
      </c>
      <c r="E19" s="152">
        <f>☆入力!L25</f>
        <v>0</v>
      </c>
      <c r="F19" s="150" t="str">
        <f>IFERROR(VLOOKUP(☆入力!G25,選定!$C$3:$AG$100,7,FALSE),"")</f>
        <v/>
      </c>
      <c r="G19" s="1107" t="str">
        <f t="shared" si="0"/>
        <v/>
      </c>
      <c r="H19" s="1108"/>
    </row>
    <row r="20" spans="1:8" ht="11.1" customHeight="1">
      <c r="A20" s="151">
        <v>11</v>
      </c>
      <c r="B20" s="151">
        <f>IFERROR(☆入力!C26,"")</f>
        <v>0</v>
      </c>
      <c r="C20" s="151" t="str">
        <f>IFERROR(VLOOKUP(☆入力!G26,選定!$C$3:$AG$100,11,FALSE),"")</f>
        <v/>
      </c>
      <c r="D20" s="321" t="str">
        <f>IFERROR(VLOOKUP(☆入力!G26,選定!$C$3:$AG$100,1,FALSE),"")</f>
        <v/>
      </c>
      <c r="E20" s="152">
        <f>☆入力!L26</f>
        <v>0</v>
      </c>
      <c r="F20" s="150" t="str">
        <f>IFERROR(VLOOKUP(☆入力!G26,選定!$C$3:$AG$100,7,FALSE),"")</f>
        <v/>
      </c>
      <c r="G20" s="1107" t="str">
        <f t="shared" si="0"/>
        <v/>
      </c>
      <c r="H20" s="1108"/>
    </row>
    <row r="21" spans="1:8" ht="11.1" customHeight="1">
      <c r="A21" s="151">
        <v>12</v>
      </c>
      <c r="B21" s="151">
        <f>IFERROR(☆入力!C27,"")</f>
        <v>0</v>
      </c>
      <c r="C21" s="151" t="str">
        <f>IFERROR(VLOOKUP(☆入力!G27,選定!$C$3:$AG$100,11,FALSE),"")</f>
        <v/>
      </c>
      <c r="D21" s="321" t="str">
        <f>IFERROR(VLOOKUP(☆入力!G27,選定!$C$3:$AG$100,1,FALSE),"")</f>
        <v/>
      </c>
      <c r="E21" s="152">
        <f>☆入力!L27</f>
        <v>0</v>
      </c>
      <c r="F21" s="150" t="str">
        <f>IFERROR(VLOOKUP(☆入力!G27,選定!$C$3:$AG$100,7,FALSE),"")</f>
        <v/>
      </c>
      <c r="G21" s="1107" t="str">
        <f t="shared" si="0"/>
        <v/>
      </c>
      <c r="H21" s="1108"/>
    </row>
    <row r="22" spans="1:8" ht="11.1" customHeight="1">
      <c r="A22" s="151">
        <v>13</v>
      </c>
      <c r="B22" s="151">
        <f>IFERROR(☆入力!C28,"")</f>
        <v>0</v>
      </c>
      <c r="C22" s="151" t="str">
        <f>IFERROR(VLOOKUP(☆入力!G28,選定!$C$3:$AG$100,11,FALSE),"")</f>
        <v/>
      </c>
      <c r="D22" s="321" t="str">
        <f>IFERROR(VLOOKUP(☆入力!G28,選定!$C$3:$AG$100,1,FALSE),"")</f>
        <v/>
      </c>
      <c r="E22" s="152">
        <f>☆入力!L28</f>
        <v>0</v>
      </c>
      <c r="F22" s="150" t="str">
        <f>IFERROR(VLOOKUP(☆入力!G28,選定!$C$3:$AG$100,7,FALSE),"")</f>
        <v/>
      </c>
      <c r="G22" s="1107" t="str">
        <f t="shared" si="0"/>
        <v/>
      </c>
      <c r="H22" s="1108"/>
    </row>
    <row r="23" spans="1:8" ht="11.1" customHeight="1">
      <c r="A23" s="151">
        <v>14</v>
      </c>
      <c r="B23" s="151">
        <f>IFERROR(☆入力!C29,"")</f>
        <v>0</v>
      </c>
      <c r="C23" s="151" t="str">
        <f>IFERROR(VLOOKUP(☆入力!G29,選定!$C$3:$AG$100,11,FALSE),"")</f>
        <v/>
      </c>
      <c r="D23" s="321" t="str">
        <f>IFERROR(VLOOKUP(☆入力!G29,選定!$C$3:$AG$100,1,FALSE),"")</f>
        <v/>
      </c>
      <c r="E23" s="152">
        <f>☆入力!L29</f>
        <v>0</v>
      </c>
      <c r="F23" s="150" t="str">
        <f>IFERROR(VLOOKUP(☆入力!G29,選定!$C$3:$AG$100,7,FALSE),"")</f>
        <v/>
      </c>
      <c r="G23" s="1107" t="str">
        <f t="shared" si="0"/>
        <v/>
      </c>
      <c r="H23" s="1108"/>
    </row>
    <row r="24" spans="1:8" ht="11.1" customHeight="1">
      <c r="A24" s="151">
        <v>15</v>
      </c>
      <c r="B24" s="151">
        <f>IFERROR(☆入力!C30,"")</f>
        <v>0</v>
      </c>
      <c r="C24" s="151" t="str">
        <f>IFERROR(VLOOKUP(☆入力!G30,選定!$C$3:$AG$100,11,FALSE),"")</f>
        <v/>
      </c>
      <c r="D24" s="321" t="str">
        <f>IFERROR(VLOOKUP(☆入力!G30,選定!$C$3:$AG$100,1,FALSE),"")</f>
        <v/>
      </c>
      <c r="E24" s="152">
        <f>☆入力!L30</f>
        <v>0</v>
      </c>
      <c r="F24" s="150" t="str">
        <f>IFERROR(VLOOKUP(☆入力!G30,選定!$C$3:$AG$100,7,FALSE),"")</f>
        <v/>
      </c>
      <c r="G24" s="1107" t="str">
        <f t="shared" si="0"/>
        <v/>
      </c>
      <c r="H24" s="1108"/>
    </row>
    <row r="25" spans="1:8" ht="11.1" hidden="1" customHeight="1" outlineLevel="1">
      <c r="A25" s="151">
        <v>16</v>
      </c>
      <c r="B25" s="151">
        <f>IFERROR(☆入力!C31,"")</f>
        <v>0</v>
      </c>
      <c r="C25" s="151" t="str">
        <f>IFERROR(VLOOKUP(☆入力!G31,選定!$C$3:$AG$100,11,FALSE),"")</f>
        <v/>
      </c>
      <c r="D25" s="321" t="str">
        <f>IFERROR(VLOOKUP(☆入力!G31,選定!$C$3:$AG$100,1,FALSE),"")</f>
        <v/>
      </c>
      <c r="E25" s="152">
        <f>☆入力!L31</f>
        <v>0</v>
      </c>
      <c r="F25" s="150" t="str">
        <f>IFERROR(VLOOKUP(☆入力!G31,選定!$C$3:$AG$100,7,FALSE),"")</f>
        <v/>
      </c>
      <c r="G25" s="1107" t="str">
        <f t="shared" si="0"/>
        <v/>
      </c>
      <c r="H25" s="1108"/>
    </row>
    <row r="26" spans="1:8" ht="11.1" hidden="1" customHeight="1" outlineLevel="1">
      <c r="A26" s="151">
        <v>17</v>
      </c>
      <c r="B26" s="151">
        <f>IFERROR(☆入力!C32,"")</f>
        <v>0</v>
      </c>
      <c r="C26" s="151" t="str">
        <f>IFERROR(VLOOKUP(☆入力!G32,選定!$C$3:$AG$100,11,FALSE),"")</f>
        <v/>
      </c>
      <c r="D26" s="321" t="str">
        <f>IFERROR(VLOOKUP(☆入力!G32,選定!$C$3:$AG$100,1,FALSE),"")</f>
        <v/>
      </c>
      <c r="E26" s="152">
        <f>☆入力!L32</f>
        <v>0</v>
      </c>
      <c r="F26" s="150" t="str">
        <f>IFERROR(VLOOKUP(☆入力!G32,選定!$C$3:$AG$100,7,FALSE),"")</f>
        <v/>
      </c>
      <c r="G26" s="1107" t="str">
        <f t="shared" si="0"/>
        <v/>
      </c>
      <c r="H26" s="1108"/>
    </row>
    <row r="27" spans="1:8" ht="11.1" hidden="1" customHeight="1" outlineLevel="1">
      <c r="A27" s="151">
        <v>18</v>
      </c>
      <c r="B27" s="151">
        <f>IFERROR(☆入力!C33,"")</f>
        <v>0</v>
      </c>
      <c r="C27" s="151" t="str">
        <f>IFERROR(VLOOKUP(☆入力!G33,選定!$C$3:$AG$100,11,FALSE),"")</f>
        <v/>
      </c>
      <c r="D27" s="321" t="str">
        <f>IFERROR(VLOOKUP(☆入力!G33,選定!$C$3:$AG$100,1,FALSE),"")</f>
        <v/>
      </c>
      <c r="E27" s="152">
        <f>☆入力!L33</f>
        <v>0</v>
      </c>
      <c r="F27" s="150" t="str">
        <f>IFERROR(VLOOKUP(☆入力!G33,選定!$C$3:$AG$100,7,FALSE),"")</f>
        <v/>
      </c>
      <c r="G27" s="1107" t="str">
        <f t="shared" si="0"/>
        <v/>
      </c>
      <c r="H27" s="1108"/>
    </row>
    <row r="28" spans="1:8" ht="11.1" hidden="1" customHeight="1" outlineLevel="1">
      <c r="A28" s="151">
        <v>19</v>
      </c>
      <c r="B28" s="151">
        <f>IFERROR(☆入力!C34,"")</f>
        <v>0</v>
      </c>
      <c r="C28" s="151" t="str">
        <f>IFERROR(VLOOKUP(☆入力!G34,選定!$C$3:$AG$100,11,FALSE),"")</f>
        <v/>
      </c>
      <c r="D28" s="321" t="str">
        <f>IFERROR(VLOOKUP(☆入力!G34,選定!$C$3:$AG$100,1,FALSE),"")</f>
        <v/>
      </c>
      <c r="E28" s="152">
        <f>☆入力!L34</f>
        <v>0</v>
      </c>
      <c r="F28" s="150" t="str">
        <f>IFERROR(VLOOKUP(☆入力!G34,選定!$C$3:$AG$100,7,FALSE),"")</f>
        <v/>
      </c>
      <c r="G28" s="1107" t="str">
        <f t="shared" si="0"/>
        <v/>
      </c>
      <c r="H28" s="1108"/>
    </row>
    <row r="29" spans="1:8" ht="11.1" hidden="1" customHeight="1" outlineLevel="1">
      <c r="A29" s="151">
        <v>20</v>
      </c>
      <c r="B29" s="151">
        <f>IFERROR(☆入力!C35,"")</f>
        <v>0</v>
      </c>
      <c r="C29" s="151" t="str">
        <f>IFERROR(VLOOKUP(☆入力!G35,選定!$C$3:$AG$100,11,FALSE),"")</f>
        <v/>
      </c>
      <c r="D29" s="321" t="str">
        <f>IFERROR(VLOOKUP(☆入力!G35,選定!$C$3:$AG$100,1,FALSE),"")</f>
        <v/>
      </c>
      <c r="E29" s="152">
        <f>☆入力!L35</f>
        <v>0</v>
      </c>
      <c r="F29" s="150" t="str">
        <f>IFERROR(VLOOKUP(☆入力!G35,選定!$C$3:$AG$100,7,FALSE),"")</f>
        <v/>
      </c>
      <c r="G29" s="1107" t="str">
        <f t="shared" si="0"/>
        <v/>
      </c>
      <c r="H29" s="1108"/>
    </row>
    <row r="30" spans="1:8" ht="11.1" hidden="1" customHeight="1" outlineLevel="1">
      <c r="A30" s="151">
        <v>21</v>
      </c>
      <c r="B30" s="151">
        <f>IFERROR(☆入力!C36,"")</f>
        <v>0</v>
      </c>
      <c r="C30" s="151" t="str">
        <f>IFERROR(VLOOKUP(☆入力!G36,選定!$C$3:$AG$100,11,FALSE),"")</f>
        <v/>
      </c>
      <c r="D30" s="320" t="str">
        <f>IFERROR(VLOOKUP(☆入力!G36,選定!$C$3:$AG$100,1,FALSE),"")</f>
        <v/>
      </c>
      <c r="E30" s="152">
        <f>☆入力!L36</f>
        <v>0</v>
      </c>
      <c r="F30" s="150" t="str">
        <f>IFERROR(VLOOKUP(☆入力!G36,選定!$C$3:$AG$100,7,FALSE),"")</f>
        <v/>
      </c>
      <c r="G30" s="1109" t="str">
        <f t="shared" si="0"/>
        <v/>
      </c>
      <c r="H30" s="1110"/>
    </row>
    <row r="31" spans="1:8" ht="11.1" hidden="1" customHeight="1" outlineLevel="1">
      <c r="A31" s="151">
        <v>22</v>
      </c>
      <c r="B31" s="151">
        <f>IFERROR(☆入力!C37,"")</f>
        <v>0</v>
      </c>
      <c r="C31" s="151" t="str">
        <f>IFERROR(VLOOKUP(☆入力!G37,選定!$C$3:$AG$100,11,FALSE),"")</f>
        <v/>
      </c>
      <c r="D31" s="320" t="str">
        <f>IFERROR(VLOOKUP(☆入力!G37,選定!$C$3:$AG$100,1,FALSE),"")</f>
        <v/>
      </c>
      <c r="E31" s="152">
        <f>☆入力!L37</f>
        <v>0</v>
      </c>
      <c r="F31" s="150" t="str">
        <f>IFERROR(VLOOKUP(☆入力!G37,選定!$C$3:$AG$100,7,FALSE),"")</f>
        <v/>
      </c>
      <c r="G31" s="1109" t="str">
        <f t="shared" si="0"/>
        <v/>
      </c>
      <c r="H31" s="1110"/>
    </row>
    <row r="32" spans="1:8" ht="11.1" hidden="1" customHeight="1" outlineLevel="1">
      <c r="A32" s="151">
        <v>23</v>
      </c>
      <c r="B32" s="151">
        <f>IFERROR(☆入力!C38,"")</f>
        <v>0</v>
      </c>
      <c r="C32" s="151" t="str">
        <f>IFERROR(VLOOKUP(☆入力!G38,選定!$C$3:$AG$100,11,FALSE),"")</f>
        <v/>
      </c>
      <c r="D32" s="320" t="str">
        <f>IFERROR(VLOOKUP(☆入力!G38,選定!$C$3:$AG$100,1,FALSE),"")</f>
        <v/>
      </c>
      <c r="E32" s="152">
        <f>☆入力!L38</f>
        <v>0</v>
      </c>
      <c r="F32" s="150" t="str">
        <f>IFERROR(VLOOKUP(☆入力!G38,選定!$C$3:$AG$100,7,FALSE),"")</f>
        <v/>
      </c>
      <c r="G32" s="1109" t="str">
        <f t="shared" si="0"/>
        <v/>
      </c>
      <c r="H32" s="1110"/>
    </row>
    <row r="33" spans="1:8" ht="11.1" hidden="1" customHeight="1" outlineLevel="1">
      <c r="A33" s="151">
        <v>24</v>
      </c>
      <c r="B33" s="151">
        <f>IFERROR(☆入力!C39,"")</f>
        <v>0</v>
      </c>
      <c r="C33" s="151" t="str">
        <f>IFERROR(VLOOKUP(☆入力!G39,選定!$C$3:$AG$100,11,FALSE),"")</f>
        <v/>
      </c>
      <c r="D33" s="312" t="str">
        <f>IFERROR(VLOOKUP(☆入力!G39,選定!$C$3:$AG$100,1,FALSE),"")</f>
        <v/>
      </c>
      <c r="E33" s="152">
        <f>☆入力!L39</f>
        <v>0</v>
      </c>
      <c r="F33" s="150" t="str">
        <f>IFERROR(VLOOKUP(☆入力!G39,選定!$C$3:$AG$100,7,FALSE),"")</f>
        <v/>
      </c>
      <c r="G33" s="1109" t="str">
        <f t="shared" si="0"/>
        <v/>
      </c>
      <c r="H33" s="1110"/>
    </row>
    <row r="34" spans="1:8" ht="11.1" hidden="1" customHeight="1" outlineLevel="1">
      <c r="A34" s="153">
        <v>25</v>
      </c>
      <c r="B34" s="153">
        <f>IFERROR(☆入力!C40,"")</f>
        <v>0</v>
      </c>
      <c r="C34" s="153" t="str">
        <f>IFERROR(VLOOKUP(☆入力!G40,選定!$C$3:$AG$100,11,FALSE),"")</f>
        <v/>
      </c>
      <c r="D34" s="121" t="str">
        <f>IFERROR(VLOOKUP(☆入力!G40,選定!$C$3:$AG$100,1,FALSE),"")</f>
        <v/>
      </c>
      <c r="E34" s="154">
        <f>☆入力!L40</f>
        <v>0</v>
      </c>
      <c r="F34" s="150" t="str">
        <f>IFERROR(VLOOKUP(☆入力!G40,選定!$C$3:$AG$100,7,FALSE),"")</f>
        <v/>
      </c>
      <c r="G34" s="1109" t="str">
        <f t="shared" si="0"/>
        <v/>
      </c>
      <c r="H34" s="1110"/>
    </row>
    <row r="35" spans="1:8" ht="11.1" hidden="1" customHeight="1" outlineLevel="1">
      <c r="A35" s="153">
        <v>26</v>
      </c>
      <c r="B35" s="153">
        <f>IFERROR(☆入力!C41,"")</f>
        <v>0</v>
      </c>
      <c r="C35" s="153" t="str">
        <f>IFERROR(VLOOKUP(☆入力!G41,選定!$C$3:$AG$100,11,FALSE),"")</f>
        <v/>
      </c>
      <c r="D35" s="121" t="str">
        <f>IFERROR(VLOOKUP(☆入力!G41,選定!$C$3:$AG$100,1,FALSE),"")</f>
        <v/>
      </c>
      <c r="E35" s="154">
        <f>☆入力!L41</f>
        <v>0</v>
      </c>
      <c r="F35" s="150" t="str">
        <f>IFERROR(VLOOKUP(☆入力!G41,選定!$C$3:$AG$100,7,FALSE),"")</f>
        <v/>
      </c>
      <c r="G35" s="1109" t="str">
        <f t="shared" si="0"/>
        <v/>
      </c>
      <c r="H35" s="1110"/>
    </row>
    <row r="36" spans="1:8" ht="11.1" hidden="1" customHeight="1" outlineLevel="1">
      <c r="A36" s="153">
        <v>27</v>
      </c>
      <c r="B36" s="153">
        <f>IFERROR(☆入力!C42,"")</f>
        <v>0</v>
      </c>
      <c r="C36" s="153" t="str">
        <f>IFERROR(VLOOKUP(☆入力!G42,選定!$C$3:$AG$100,11,FALSE),"")</f>
        <v/>
      </c>
      <c r="D36" s="121" t="str">
        <f>IFERROR(VLOOKUP(☆入力!G42,選定!$C$3:$AG$100,1,FALSE),"")</f>
        <v/>
      </c>
      <c r="E36" s="154">
        <f>☆入力!L42</f>
        <v>0</v>
      </c>
      <c r="F36" s="150" t="str">
        <f>IFERROR(VLOOKUP(☆入力!G42,選定!$C$3:$AG$100,7,FALSE),"")</f>
        <v/>
      </c>
      <c r="G36" s="1109" t="str">
        <f t="shared" si="0"/>
        <v/>
      </c>
      <c r="H36" s="1110"/>
    </row>
    <row r="37" spans="1:8" ht="11.1" hidden="1" customHeight="1" outlineLevel="1">
      <c r="A37" s="153">
        <v>28</v>
      </c>
      <c r="B37" s="153">
        <f>IFERROR(☆入力!C43,"")</f>
        <v>0</v>
      </c>
      <c r="C37" s="153" t="str">
        <f>IFERROR(VLOOKUP(☆入力!G43,選定!$C$3:$AG$100,11,FALSE),"")</f>
        <v/>
      </c>
      <c r="D37" s="121" t="str">
        <f>IFERROR(VLOOKUP(☆入力!G43,選定!$C$3:$AG$100,1,FALSE),"")</f>
        <v/>
      </c>
      <c r="E37" s="154">
        <f>☆入力!L43</f>
        <v>0</v>
      </c>
      <c r="F37" s="150" t="str">
        <f>IFERROR(VLOOKUP(☆入力!G43,選定!$C$3:$AG$100,7,FALSE),"")</f>
        <v/>
      </c>
      <c r="G37" s="1109" t="str">
        <f t="shared" si="0"/>
        <v/>
      </c>
      <c r="H37" s="1110"/>
    </row>
    <row r="38" spans="1:8" ht="11.1" hidden="1" customHeight="1" outlineLevel="1">
      <c r="A38" s="153">
        <v>29</v>
      </c>
      <c r="B38" s="153">
        <f>IFERROR(☆入力!C44,"")</f>
        <v>0</v>
      </c>
      <c r="C38" s="153" t="str">
        <f>IFERROR(VLOOKUP(☆入力!G44,選定!$C$3:$AG$100,11,FALSE),"")</f>
        <v/>
      </c>
      <c r="D38" s="121" t="str">
        <f>IFERROR(VLOOKUP(☆入力!G44,選定!$C$3:$AG$100,1,FALSE),"")</f>
        <v/>
      </c>
      <c r="E38" s="154">
        <f>☆入力!L44</f>
        <v>0</v>
      </c>
      <c r="F38" s="150" t="str">
        <f>IFERROR(VLOOKUP(☆入力!G44,選定!$C$3:$AG$100,7,FALSE),"")</f>
        <v/>
      </c>
      <c r="G38" s="1109" t="str">
        <f t="shared" si="0"/>
        <v/>
      </c>
      <c r="H38" s="1110"/>
    </row>
    <row r="39" spans="1:8" ht="11.1" hidden="1" customHeight="1" outlineLevel="1">
      <c r="A39" s="159">
        <v>30</v>
      </c>
      <c r="B39" s="159">
        <f>IFERROR(☆入力!C45,"")</f>
        <v>0</v>
      </c>
      <c r="C39" s="159" t="str">
        <f>IFERROR(VLOOKUP(☆入力!G45,選定!$C$3:$AG$100,11,FALSE),"")</f>
        <v/>
      </c>
      <c r="D39" s="665" t="str">
        <f>IFERROR(VLOOKUP(☆入力!G45,選定!$C$3:$AG$100,1,FALSE),"")</f>
        <v/>
      </c>
      <c r="E39" s="161">
        <f>☆入力!L45</f>
        <v>0</v>
      </c>
      <c r="F39" s="666" t="str">
        <f>IFERROR(VLOOKUP(☆入力!G45,選定!$C$3:$AG$100,7,FALSE),"")</f>
        <v/>
      </c>
      <c r="G39" s="1111" t="str">
        <f t="shared" si="0"/>
        <v/>
      </c>
      <c r="H39" s="1112"/>
    </row>
    <row r="40" spans="1:8" ht="11.1" customHeight="1" collapsed="1">
      <c r="A40" s="667"/>
      <c r="B40" s="667"/>
      <c r="C40" s="667"/>
      <c r="D40" s="668"/>
      <c r="E40" s="669"/>
      <c r="F40" s="672" t="s">
        <v>360</v>
      </c>
      <c r="G40" s="1158">
        <f>SUM(G10:H39)</f>
        <v>0</v>
      </c>
      <c r="H40" s="1158"/>
    </row>
    <row r="41" spans="1:8" ht="10.5" customHeight="1">
      <c r="A41" s="112"/>
      <c r="B41" s="112"/>
      <c r="C41" s="112"/>
      <c r="D41" s="113"/>
      <c r="E41" s="114"/>
      <c r="F41" s="114"/>
      <c r="G41" s="115"/>
      <c r="H41" s="115"/>
    </row>
    <row r="42" spans="1:8" ht="11.1" customHeight="1">
      <c r="A42" s="1056" t="s">
        <v>361</v>
      </c>
      <c r="B42" s="1057"/>
      <c r="C42" s="1057"/>
      <c r="D42" s="1058"/>
      <c r="E42" s="477" t="s">
        <v>161</v>
      </c>
      <c r="F42" s="477" t="s">
        <v>342</v>
      </c>
      <c r="G42" s="1044" t="s">
        <v>343</v>
      </c>
      <c r="H42" s="1044"/>
    </row>
    <row r="43" spans="1:8" ht="11.1" customHeight="1">
      <c r="A43" s="1059" t="s">
        <v>362</v>
      </c>
      <c r="B43" s="1060"/>
      <c r="C43" s="1060"/>
      <c r="D43" s="1061"/>
      <c r="E43" s="150">
        <f>VLOOKUP(☆入力!L14,LED計算式!M21:N27,2,TRUE)</f>
        <v>1</v>
      </c>
      <c r="F43" s="150">
        <v>20000</v>
      </c>
      <c r="G43" s="1113">
        <f t="shared" ref="G43:G51" si="1">IFERROR(F43*E43,"")</f>
        <v>20000</v>
      </c>
      <c r="H43" s="1113"/>
    </row>
    <row r="44" spans="1:8" ht="11.1" customHeight="1">
      <c r="A44" s="1063" t="s">
        <v>363</v>
      </c>
      <c r="B44" s="1064"/>
      <c r="C44" s="1064"/>
      <c r="D44" s="1065"/>
      <c r="E44" s="152">
        <f>LED計算式!O36</f>
        <v>0</v>
      </c>
      <c r="F44" s="152">
        <v>3000</v>
      </c>
      <c r="G44" s="1043">
        <f t="shared" si="1"/>
        <v>0</v>
      </c>
      <c r="H44" s="1043"/>
    </row>
    <row r="45" spans="1:8" ht="11.1" hidden="1" customHeight="1" outlineLevel="1">
      <c r="A45" s="1102" t="s">
        <v>378</v>
      </c>
      <c r="B45" s="1103"/>
      <c r="C45" s="1103"/>
      <c r="D45" s="1104"/>
      <c r="E45" s="152">
        <f>LED計算式!O37</f>
        <v>0</v>
      </c>
      <c r="F45" s="152">
        <v>4500</v>
      </c>
      <c r="G45" s="1043">
        <f t="shared" si="1"/>
        <v>0</v>
      </c>
      <c r="H45" s="1043"/>
    </row>
    <row r="46" spans="1:8" ht="11.1" hidden="1" customHeight="1" outlineLevel="1">
      <c r="A46" s="1102" t="s">
        <v>373</v>
      </c>
      <c r="B46" s="1103"/>
      <c r="C46" s="1103"/>
      <c r="D46" s="1104"/>
      <c r="E46" s="152">
        <f>LED計算式!O38</f>
        <v>0</v>
      </c>
      <c r="F46" s="152">
        <v>2000</v>
      </c>
      <c r="G46" s="1043">
        <f t="shared" si="1"/>
        <v>0</v>
      </c>
      <c r="H46" s="1043"/>
    </row>
    <row r="47" spans="1:8" ht="11.1" hidden="1" customHeight="1" outlineLevel="1">
      <c r="A47" s="1102" t="s">
        <v>374</v>
      </c>
      <c r="B47" s="1103"/>
      <c r="C47" s="1103"/>
      <c r="D47" s="1104"/>
      <c r="E47" s="152">
        <f>LED計算式!O39</f>
        <v>0</v>
      </c>
      <c r="F47" s="152">
        <v>600</v>
      </c>
      <c r="G47" s="1043">
        <f t="shared" si="1"/>
        <v>0</v>
      </c>
      <c r="H47" s="1043"/>
    </row>
    <row r="48" spans="1:8" ht="11.1" customHeight="1" collapsed="1">
      <c r="A48" s="1063" t="s">
        <v>367</v>
      </c>
      <c r="B48" s="1064"/>
      <c r="C48" s="1064"/>
      <c r="D48" s="1065"/>
      <c r="E48" s="152">
        <f>COUNTA(☆入力!AG16:AG45)</f>
        <v>1</v>
      </c>
      <c r="F48" s="152">
        <v>3000</v>
      </c>
      <c r="G48" s="1043">
        <f t="shared" si="1"/>
        <v>3000</v>
      </c>
      <c r="H48" s="1043"/>
    </row>
    <row r="49" spans="1:9" ht="11.1" customHeight="1">
      <c r="A49" s="1063" t="s">
        <v>368</v>
      </c>
      <c r="B49" s="1064"/>
      <c r="C49" s="1064"/>
      <c r="D49" s="1065"/>
      <c r="E49" s="152">
        <f>☆入力!L14</f>
        <v>0</v>
      </c>
      <c r="F49" s="152">
        <v>1000</v>
      </c>
      <c r="G49" s="1043">
        <f t="shared" si="1"/>
        <v>0</v>
      </c>
      <c r="H49" s="1043"/>
    </row>
    <row r="50" spans="1:9" ht="11.1" customHeight="1">
      <c r="A50" s="1063" t="s">
        <v>369</v>
      </c>
      <c r="B50" s="1064"/>
      <c r="C50" s="1064"/>
      <c r="D50" s="1065"/>
      <c r="E50" s="152">
        <f>COUNTA(☆入力!AG16:AG45)</f>
        <v>1</v>
      </c>
      <c r="F50" s="152">
        <v>5000</v>
      </c>
      <c r="G50" s="1043">
        <f t="shared" si="1"/>
        <v>5000</v>
      </c>
      <c r="H50" s="1043"/>
    </row>
    <row r="51" spans="1:9" ht="11.1" customHeight="1">
      <c r="A51" s="1066">
        <f>☆入力!AH12</f>
        <v>0</v>
      </c>
      <c r="B51" s="1067"/>
      <c r="C51" s="1067"/>
      <c r="D51" s="1068"/>
      <c r="E51" s="160" t="str">
        <f>IF(☆入力!AH12&lt;&gt;"","1","")</f>
        <v/>
      </c>
      <c r="F51" s="161">
        <f>☆入力!AJ12</f>
        <v>0</v>
      </c>
      <c r="G51" s="1098" t="str">
        <f t="shared" si="1"/>
        <v/>
      </c>
      <c r="H51" s="1098"/>
    </row>
    <row r="52" spans="1:9" ht="11.1" customHeight="1">
      <c r="A52" s="105"/>
      <c r="B52" s="105"/>
      <c r="C52" s="105"/>
      <c r="D52" s="105"/>
      <c r="E52" s="105"/>
      <c r="F52" s="672" t="s">
        <v>370</v>
      </c>
      <c r="G52" s="1158">
        <f>SUM(G43:H51)</f>
        <v>28000</v>
      </c>
      <c r="H52" s="1158"/>
    </row>
    <row r="53" spans="1:9" ht="10.5" customHeight="1">
      <c r="E53" s="105"/>
      <c r="F53" s="105"/>
      <c r="G53" s="105"/>
      <c r="H53" s="105"/>
    </row>
    <row r="54" spans="1:9" ht="11.1" customHeight="1">
      <c r="E54" s="105"/>
      <c r="F54" s="673" t="s">
        <v>371</v>
      </c>
      <c r="G54" s="1154">
        <f>ROUNDDOWN(G40+G52,0)</f>
        <v>28000</v>
      </c>
      <c r="H54" s="1154"/>
    </row>
    <row r="55" spans="1:9" ht="11.1" customHeight="1">
      <c r="E55" s="105"/>
      <c r="F55" s="673" t="s">
        <v>359</v>
      </c>
      <c r="G55" s="1154">
        <f ca="1">(☆入力!AL14+代理店入力用!D5)-SUM(G40,G43:H51)</f>
        <v>-28000</v>
      </c>
      <c r="H55" s="1154"/>
    </row>
    <row r="56" spans="1:9" ht="11.1" customHeight="1" thickBot="1">
      <c r="A56" s="1062" t="s">
        <v>346</v>
      </c>
      <c r="B56" s="1062"/>
      <c r="C56" s="1062"/>
      <c r="D56" s="1062"/>
      <c r="E56" s="105"/>
      <c r="F56" s="670" t="s">
        <v>379</v>
      </c>
      <c r="G56" s="671"/>
      <c r="H56" s="671">
        <f ca="1">SUM(G54:H55)</f>
        <v>0</v>
      </c>
    </row>
    <row r="57" spans="1:9" ht="10.5" customHeight="1" thickTop="1">
      <c r="A57" s="1099">
        <f>☆入力!AH4</f>
        <v>0</v>
      </c>
      <c r="B57" s="1155"/>
      <c r="C57" s="1100"/>
      <c r="D57" s="1101"/>
      <c r="E57" s="105"/>
      <c r="F57" s="116"/>
      <c r="G57" s="664"/>
      <c r="H57" s="664"/>
    </row>
    <row r="58" spans="1:9" ht="9.9499999999999993" customHeight="1" thickBot="1">
      <c r="A58" s="1092"/>
      <c r="B58" s="1156"/>
      <c r="C58" s="1093"/>
      <c r="D58" s="1094"/>
      <c r="E58" s="105"/>
    </row>
    <row r="59" spans="1:9" ht="9.9499999999999993" customHeight="1">
      <c r="A59" s="1092">
        <f>☆入力!AH5</f>
        <v>0</v>
      </c>
      <c r="B59" s="1156"/>
      <c r="C59" s="1093"/>
      <c r="D59" s="1094"/>
      <c r="F59" s="1145" t="s">
        <v>377</v>
      </c>
      <c r="G59" s="1148">
        <f ca="1">VLOOKUP(F59,J11:K12,2,FALSE)</f>
        <v>0</v>
      </c>
      <c r="H59" s="1149"/>
    </row>
    <row r="60" spans="1:9" ht="9.9499999999999993" customHeight="1">
      <c r="A60" s="1092"/>
      <c r="B60" s="1156"/>
      <c r="C60" s="1093"/>
      <c r="D60" s="1094"/>
      <c r="F60" s="1146"/>
      <c r="G60" s="1150"/>
      <c r="H60" s="1151"/>
    </row>
    <row r="61" spans="1:9" ht="9.9499999999999993" customHeight="1">
      <c r="A61" s="1092">
        <f>☆入力!AH6</f>
        <v>0</v>
      </c>
      <c r="B61" s="1156"/>
      <c r="C61" s="1093"/>
      <c r="D61" s="1094"/>
      <c r="F61" s="1146"/>
      <c r="G61" s="1150"/>
      <c r="H61" s="1151"/>
    </row>
    <row r="62" spans="1:9" ht="9.9499999999999993" customHeight="1" thickBot="1">
      <c r="A62" s="1095"/>
      <c r="B62" s="1157"/>
      <c r="C62" s="1096"/>
      <c r="D62" s="1097"/>
      <c r="F62" s="1147"/>
      <c r="G62" s="1152"/>
      <c r="H62" s="1153"/>
    </row>
    <row r="63" spans="1:9">
      <c r="F63" s="231"/>
      <c r="I63" s="388" t="s">
        <v>380</v>
      </c>
    </row>
    <row r="64" spans="1:9">
      <c r="F64" s="231"/>
    </row>
  </sheetData>
  <mergeCells count="66">
    <mergeCell ref="G9:H9"/>
    <mergeCell ref="A1:D2"/>
    <mergeCell ref="A3:D4"/>
    <mergeCell ref="F4:H4"/>
    <mergeCell ref="F5:H5"/>
    <mergeCell ref="F6:H6"/>
    <mergeCell ref="G21:H21"/>
    <mergeCell ref="G10:H10"/>
    <mergeCell ref="G11:H11"/>
    <mergeCell ref="G12:H12"/>
    <mergeCell ref="G13:H13"/>
    <mergeCell ref="G14:H14"/>
    <mergeCell ref="G15:H15"/>
    <mergeCell ref="G16:H16"/>
    <mergeCell ref="G17:H17"/>
    <mergeCell ref="G18:H18"/>
    <mergeCell ref="G19:H19"/>
    <mergeCell ref="G20:H20"/>
    <mergeCell ref="G33:H33"/>
    <mergeCell ref="G22:H22"/>
    <mergeCell ref="G23:H23"/>
    <mergeCell ref="G24:H24"/>
    <mergeCell ref="G25:H25"/>
    <mergeCell ref="G26:H26"/>
    <mergeCell ref="G27:H27"/>
    <mergeCell ref="G28:H28"/>
    <mergeCell ref="G29:H29"/>
    <mergeCell ref="G30:H30"/>
    <mergeCell ref="G31:H31"/>
    <mergeCell ref="G32:H32"/>
    <mergeCell ref="G40:H40"/>
    <mergeCell ref="A42:D42"/>
    <mergeCell ref="G42:H42"/>
    <mergeCell ref="G34:H34"/>
    <mergeCell ref="G35:H35"/>
    <mergeCell ref="G36:H36"/>
    <mergeCell ref="G37:H37"/>
    <mergeCell ref="G38:H38"/>
    <mergeCell ref="G39:H39"/>
    <mergeCell ref="A43:D43"/>
    <mergeCell ref="G43:H43"/>
    <mergeCell ref="A44:D44"/>
    <mergeCell ref="G44:H44"/>
    <mergeCell ref="A45:D45"/>
    <mergeCell ref="G45:H45"/>
    <mergeCell ref="A46:D46"/>
    <mergeCell ref="G46:H46"/>
    <mergeCell ref="A47:D47"/>
    <mergeCell ref="G47:H47"/>
    <mergeCell ref="A48:D48"/>
    <mergeCell ref="G48:H48"/>
    <mergeCell ref="G52:H52"/>
    <mergeCell ref="G54:H54"/>
    <mergeCell ref="A49:D49"/>
    <mergeCell ref="G49:H49"/>
    <mergeCell ref="A50:D50"/>
    <mergeCell ref="G50:H50"/>
    <mergeCell ref="A51:D51"/>
    <mergeCell ref="G51:H51"/>
    <mergeCell ref="F59:F62"/>
    <mergeCell ref="G59:H62"/>
    <mergeCell ref="G55:H55"/>
    <mergeCell ref="A56:D56"/>
    <mergeCell ref="A57:D58"/>
    <mergeCell ref="A59:D60"/>
    <mergeCell ref="A61:D62"/>
  </mergeCells>
  <phoneticPr fontId="2"/>
  <conditionalFormatting sqref="A57:B57">
    <cfRule type="cellIs" dxfId="57" priority="3" operator="equal">
      <formula>0</formula>
    </cfRule>
  </conditionalFormatting>
  <conditionalFormatting sqref="A54:D55">
    <cfRule type="cellIs" dxfId="56" priority="4" operator="equal">
      <formula>0</formula>
    </cfRule>
  </conditionalFormatting>
  <conditionalFormatting sqref="A57:D62">
    <cfRule type="cellIs" dxfId="55" priority="2" operator="equal">
      <formula>0</formula>
    </cfRule>
  </conditionalFormatting>
  <conditionalFormatting sqref="B10:B39">
    <cfRule type="cellIs" dxfId="54" priority="1" operator="equal">
      <formula>0</formula>
    </cfRule>
  </conditionalFormatting>
  <conditionalFormatting sqref="C10:C41">
    <cfRule type="cellIs" dxfId="53" priority="5" operator="equal">
      <formula>0</formula>
    </cfRule>
  </conditionalFormatting>
  <dataValidations count="1">
    <dataValidation type="list" allowBlank="1" showInputMessage="1" showErrorMessage="1" sqref="F59" xr:uid="{075435C3-4155-470E-9873-18FC6378671C}">
      <formula1>$J$11:$J$12</formula1>
    </dataValidation>
  </dataValidations>
  <printOptions horizontalCentered="1" verticalCentered="1"/>
  <pageMargins left="0" right="0" top="0" bottom="0" header="0" footer="0"/>
  <pageSetup paperSize="9"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P61" sqref="P61"/>
    </sheetView>
  </sheetViews>
  <sheetFormatPr defaultColWidth="9" defaultRowHeight="12" outlineLevelRow="1"/>
  <cols>
    <col min="1" max="1" width="5.875" style="27" customWidth="1"/>
    <col min="2" max="2" width="10.875" style="27" customWidth="1"/>
    <col min="3" max="3" width="32.625" style="27" customWidth="1"/>
    <col min="4" max="4" width="5.875" style="27" customWidth="1"/>
    <col min="5" max="5" width="19.125" style="27" customWidth="1"/>
    <col min="6" max="6" width="11.375" style="27" customWidth="1"/>
    <col min="7" max="7" width="10.625" style="27" customWidth="1"/>
    <col min="8" max="13" width="9" style="27"/>
    <col min="14" max="14" width="20.375" style="27" customWidth="1"/>
    <col min="15" max="15" width="10" style="27" bestFit="1" customWidth="1"/>
    <col min="16" max="16384" width="9" style="27"/>
  </cols>
  <sheetData>
    <row r="1" spans="1:15" ht="15" customHeight="1">
      <c r="A1" s="977" t="s">
        <v>323</v>
      </c>
      <c r="B1" s="977"/>
      <c r="C1" s="977"/>
      <c r="J1" s="27" t="s">
        <v>381</v>
      </c>
      <c r="K1" s="1190">
        <f ca="1">TODAY()</f>
        <v>46079</v>
      </c>
      <c r="L1" s="1190"/>
    </row>
    <row r="2" spans="1:15" ht="15" customHeight="1" thickBot="1">
      <c r="A2" s="977"/>
      <c r="B2" s="977"/>
      <c r="C2" s="977"/>
      <c r="F2" s="106"/>
      <c r="G2" s="107"/>
    </row>
    <row r="3" spans="1:15" ht="15" customHeight="1" thickTop="1" thickBot="1">
      <c r="H3" s="1201" t="s">
        <v>382</v>
      </c>
      <c r="I3" s="1202"/>
      <c r="K3" s="1199" t="s">
        <v>383</v>
      </c>
      <c r="L3" s="1200"/>
    </row>
    <row r="4" spans="1:15" ht="15" customHeight="1" thickTop="1" thickBot="1">
      <c r="A4" s="1192">
        <f>☆入力!C5</f>
        <v>0</v>
      </c>
      <c r="B4" s="1192"/>
      <c r="C4" s="1192"/>
      <c r="H4" s="1203">
        <f ca="1">F39</f>
        <v>0</v>
      </c>
      <c r="I4" s="1204"/>
      <c r="J4" s="1166" t="s">
        <v>384</v>
      </c>
      <c r="K4" s="1162">
        <f>④前後!BA29/120</f>
        <v>0</v>
      </c>
      <c r="L4" s="1163"/>
      <c r="N4" s="384"/>
      <c r="O4" s="385"/>
    </row>
    <row r="5" spans="1:15" ht="15" customHeight="1" thickTop="1" thickBot="1">
      <c r="A5" s="1193"/>
      <c r="B5" s="1193"/>
      <c r="C5" s="1193"/>
      <c r="H5" s="1203"/>
      <c r="I5" s="1204"/>
      <c r="J5" s="1167"/>
      <c r="K5" s="1162"/>
      <c r="L5" s="1163"/>
      <c r="N5" s="384"/>
      <c r="O5" s="385"/>
    </row>
    <row r="6" spans="1:15" ht="15" customHeight="1" thickTop="1" thickBot="1">
      <c r="E6" s="995" t="str">
        <f>IF(代理店入力用!N3="",'⓪表紙'!I25,代理店入力用!N3)</f>
        <v>株式会社クラスコ</v>
      </c>
      <c r="F6" s="995"/>
      <c r="G6" s="995"/>
      <c r="N6" s="27" t="s">
        <v>335</v>
      </c>
      <c r="O6" s="386">
        <f ca="1">F39</f>
        <v>0</v>
      </c>
    </row>
    <row r="7" spans="1:15" ht="15" customHeight="1" thickTop="1" thickBot="1">
      <c r="A7" s="108" t="s">
        <v>325</v>
      </c>
      <c r="B7" s="108"/>
      <c r="C7" s="108"/>
      <c r="E7" s="996" t="str">
        <f>IF(代理店入力用!N5="",'⓪表紙'!I26,'⓪表紙'!A26)</f>
        <v>〒920-0024石川県金沢市西念4丁目24-21</v>
      </c>
      <c r="F7" s="996"/>
      <c r="G7" s="996"/>
      <c r="K7" s="1168" t="s">
        <v>385</v>
      </c>
      <c r="L7" s="1169"/>
      <c r="N7" s="27" t="s">
        <v>337</v>
      </c>
      <c r="O7" s="386">
        <f ca="1">O6*1.1</f>
        <v>0</v>
      </c>
    </row>
    <row r="8" spans="1:15" ht="15" customHeight="1" thickTop="1" thickBot="1">
      <c r="A8" s="108" t="s">
        <v>326</v>
      </c>
      <c r="B8" s="108"/>
      <c r="C8" s="108"/>
      <c r="E8" s="996" t="str">
        <f>IF(代理店入力用!N6="",'⓪表紙'!I27,'⓪表紙'!A27)</f>
        <v>TEL：　076-222-1111</v>
      </c>
      <c r="F8" s="996"/>
      <c r="G8" s="996"/>
      <c r="J8" s="1166" t="s">
        <v>386</v>
      </c>
      <c r="K8" s="1164" t="str">
        <f ca="1">IFERROR((H4/K4)/12,"0")</f>
        <v>0</v>
      </c>
      <c r="L8" s="1165"/>
    </row>
    <row r="9" spans="1:15" ht="15" customHeight="1" thickTop="1" thickBot="1">
      <c r="J9" s="1167"/>
      <c r="K9" s="1164"/>
      <c r="L9" s="1165"/>
    </row>
    <row r="10" spans="1:15" ht="15" customHeight="1" thickTop="1">
      <c r="A10" s="1194" t="s">
        <v>329</v>
      </c>
      <c r="B10" s="1195"/>
      <c r="C10" s="109" t="s">
        <v>330</v>
      </c>
      <c r="E10" s="989" t="s">
        <v>336</v>
      </c>
      <c r="F10" s="991">
        <f ca="1">VLOOKUP(E10,N6:O7,2,FALSE)</f>
        <v>0</v>
      </c>
      <c r="G10" s="992"/>
    </row>
    <row r="11" spans="1:15" ht="15" customHeight="1" thickBot="1">
      <c r="A11" s="1196" t="s">
        <v>333</v>
      </c>
      <c r="B11" s="1197"/>
      <c r="C11" s="110" t="s">
        <v>334</v>
      </c>
      <c r="E11" s="990"/>
      <c r="F11" s="993"/>
      <c r="G11" s="994"/>
    </row>
    <row r="12" spans="1:15" ht="15" customHeight="1">
      <c r="E12" s="231" t="s">
        <v>351</v>
      </c>
      <c r="M12" s="388" t="s">
        <v>387</v>
      </c>
    </row>
    <row r="13" spans="1:15">
      <c r="A13" s="475" t="s">
        <v>340</v>
      </c>
      <c r="B13" s="474" t="s">
        <v>388</v>
      </c>
      <c r="C13" s="474" t="s">
        <v>389</v>
      </c>
      <c r="D13" s="475" t="s">
        <v>161</v>
      </c>
      <c r="E13" s="475" t="s">
        <v>358</v>
      </c>
      <c r="F13" s="976" t="s">
        <v>343</v>
      </c>
      <c r="G13" s="976"/>
    </row>
    <row r="14" spans="1:15">
      <c r="A14" s="162">
        <v>1</v>
      </c>
      <c r="B14" s="162">
        <f>☆入力!C16</f>
        <v>0</v>
      </c>
      <c r="C14" s="322" t="str">
        <f>IFERROR(VLOOKUP(☆入力!G16,選定!$C$3:$AG$100,11,FALSE)&amp;"　"&amp;VLOOKUP(☆入力!G16,選定!$C$3:$AG$100,1,FALSE),"")</f>
        <v/>
      </c>
      <c r="D14" s="163">
        <f>☆入力!L16</f>
        <v>0</v>
      </c>
      <c r="E14" s="163" t="str">
        <f>IFERROR(VLOOKUP(☆入力!G16,選定!$C$3:$AG$100,7,FALSE),"")</f>
        <v/>
      </c>
      <c r="F14" s="1198" t="str">
        <f>IFERROR(E14*D14,"")</f>
        <v/>
      </c>
      <c r="G14" s="1198"/>
    </row>
    <row r="15" spans="1:15">
      <c r="A15" s="164">
        <v>2</v>
      </c>
      <c r="B15" s="164">
        <f>☆入力!C17</f>
        <v>0</v>
      </c>
      <c r="C15" s="323" t="str">
        <f>IFERROR(VLOOKUP(☆入力!G17,選定!$C$3:$AG$100,11,FALSE)&amp;"　"&amp;VLOOKUP(☆入力!G17,選定!$C$3:$AG$100,1,FALSE),"")</f>
        <v/>
      </c>
      <c r="D15" s="165">
        <f>☆入力!L17</f>
        <v>0</v>
      </c>
      <c r="E15" s="165" t="str">
        <f>IFERROR(VLOOKUP(☆入力!G17,選定!$C$3:$AG$100,7,FALSE),"")</f>
        <v/>
      </c>
      <c r="F15" s="1173" t="str">
        <f t="shared" ref="F15:F26" si="0">IFERROR(E15*D15,"")</f>
        <v/>
      </c>
      <c r="G15" s="1173"/>
    </row>
    <row r="16" spans="1:15">
      <c r="A16" s="164">
        <v>3</v>
      </c>
      <c r="B16" s="164">
        <f>☆入力!C18</f>
        <v>0</v>
      </c>
      <c r="C16" s="323" t="str">
        <f>IFERROR(VLOOKUP(☆入力!G18,選定!$C$3:$AG$100,11,FALSE)&amp;"　"&amp;VLOOKUP(☆入力!G18,選定!$C$3:$AG$100,1,FALSE),"")</f>
        <v/>
      </c>
      <c r="D16" s="165">
        <f>☆入力!L18</f>
        <v>0</v>
      </c>
      <c r="E16" s="165" t="str">
        <f>IFERROR(VLOOKUP(☆入力!G18,選定!$C$3:$AG$100,7,FALSE),"")</f>
        <v/>
      </c>
      <c r="F16" s="1173" t="str">
        <f t="shared" si="0"/>
        <v/>
      </c>
      <c r="G16" s="1173"/>
    </row>
    <row r="17" spans="1:7">
      <c r="A17" s="164">
        <v>4</v>
      </c>
      <c r="B17" s="164">
        <f>☆入力!C19</f>
        <v>0</v>
      </c>
      <c r="C17" s="323" t="str">
        <f>IFERROR(VLOOKUP(☆入力!G19,選定!$C$3:$AG$100,11,FALSE)&amp;"　"&amp;VLOOKUP(☆入力!G19,選定!$C$3:$AG$100,1,FALSE),"")</f>
        <v/>
      </c>
      <c r="D17" s="165">
        <f>☆入力!L19</f>
        <v>0</v>
      </c>
      <c r="E17" s="165" t="str">
        <f>IFERROR(VLOOKUP(☆入力!G19,選定!$C$3:$AG$100,7,FALSE),"")</f>
        <v/>
      </c>
      <c r="F17" s="1173" t="str">
        <f t="shared" si="0"/>
        <v/>
      </c>
      <c r="G17" s="1173"/>
    </row>
    <row r="18" spans="1:7">
      <c r="A18" s="164">
        <v>5</v>
      </c>
      <c r="B18" s="164">
        <f>☆入力!C20</f>
        <v>0</v>
      </c>
      <c r="C18" s="323" t="str">
        <f>IFERROR(VLOOKUP(☆入力!G20,選定!$C$3:$AG$100,11,FALSE)&amp;"　"&amp;VLOOKUP(☆入力!G20,選定!$C$3:$AG$100,1,FALSE),"")</f>
        <v/>
      </c>
      <c r="D18" s="165">
        <f>☆入力!L20</f>
        <v>0</v>
      </c>
      <c r="E18" s="165" t="str">
        <f>IFERROR(VLOOKUP(☆入力!G20,選定!$C$3:$AG$100,7,FALSE),"")</f>
        <v/>
      </c>
      <c r="F18" s="1173" t="str">
        <f t="shared" si="0"/>
        <v/>
      </c>
      <c r="G18" s="1173"/>
    </row>
    <row r="19" spans="1:7">
      <c r="A19" s="164">
        <v>6</v>
      </c>
      <c r="B19" s="164">
        <f>☆入力!C21</f>
        <v>0</v>
      </c>
      <c r="C19" s="323" t="str">
        <f>IFERROR(VLOOKUP(☆入力!G21,選定!$C$3:$AG$100,11,FALSE)&amp;"　"&amp;VLOOKUP(☆入力!G21,選定!$C$3:$AG$100,1,FALSE),"")</f>
        <v/>
      </c>
      <c r="D19" s="165">
        <f>☆入力!L21</f>
        <v>0</v>
      </c>
      <c r="E19" s="165" t="str">
        <f>IFERROR(VLOOKUP(☆入力!G21,選定!$C$3:$AG$100,7,FALSE),"")</f>
        <v/>
      </c>
      <c r="F19" s="1173" t="str">
        <f t="shared" si="0"/>
        <v/>
      </c>
      <c r="G19" s="1173"/>
    </row>
    <row r="20" spans="1:7">
      <c r="A20" s="164">
        <v>7</v>
      </c>
      <c r="B20" s="164">
        <f>☆入力!C22</f>
        <v>0</v>
      </c>
      <c r="C20" s="323" t="str">
        <f>IFERROR(VLOOKUP(☆入力!G22,選定!$C$3:$AG$100,11,FALSE)&amp;"　"&amp;VLOOKUP(☆入力!G22,選定!$C$3:$AG$100,1,FALSE),"")</f>
        <v/>
      </c>
      <c r="D20" s="165">
        <f>☆入力!L22</f>
        <v>0</v>
      </c>
      <c r="E20" s="165" t="str">
        <f>IFERROR(VLOOKUP(☆入力!G22,選定!$C$3:$AG$100,7,FALSE),"")</f>
        <v/>
      </c>
      <c r="F20" s="1173" t="str">
        <f t="shared" si="0"/>
        <v/>
      </c>
      <c r="G20" s="1173"/>
    </row>
    <row r="21" spans="1:7">
      <c r="A21" s="164">
        <v>8</v>
      </c>
      <c r="B21" s="164">
        <f>☆入力!C23</f>
        <v>0</v>
      </c>
      <c r="C21" s="323" t="str">
        <f>IFERROR(VLOOKUP(☆入力!G23,選定!$C$3:$AG$100,11,FALSE)&amp;"　"&amp;VLOOKUP(☆入力!G23,選定!$C$3:$AG$100,1,FALSE),"")</f>
        <v/>
      </c>
      <c r="D21" s="165">
        <f>☆入力!L23</f>
        <v>0</v>
      </c>
      <c r="E21" s="165" t="str">
        <f>IFERROR(VLOOKUP(☆入力!G23,選定!$C$3:$AG$100,7,FALSE),"")</f>
        <v/>
      </c>
      <c r="F21" s="1173" t="str">
        <f>IFERROR(E21*D21,"")</f>
        <v/>
      </c>
      <c r="G21" s="1173"/>
    </row>
    <row r="22" spans="1:7">
      <c r="A22" s="164">
        <v>9</v>
      </c>
      <c r="B22" s="164">
        <f>☆入力!C24</f>
        <v>0</v>
      </c>
      <c r="C22" s="323" t="str">
        <f>IFERROR(VLOOKUP(☆入力!G24,選定!$C$3:$AG$100,11,FALSE)&amp;"　"&amp;VLOOKUP(☆入力!G24,選定!$C$3:$AG$100,1,FALSE),"")</f>
        <v/>
      </c>
      <c r="D22" s="165">
        <f>☆入力!L24</f>
        <v>0</v>
      </c>
      <c r="E22" s="165" t="str">
        <f>IFERROR(VLOOKUP(☆入力!G24,選定!$C$3:$AG$100,7,FALSE),"")</f>
        <v/>
      </c>
      <c r="F22" s="1173" t="str">
        <f>IFERROR(E22*D22,"")</f>
        <v/>
      </c>
      <c r="G22" s="1173"/>
    </row>
    <row r="23" spans="1:7">
      <c r="A23" s="166">
        <v>10</v>
      </c>
      <c r="B23" s="166">
        <f>☆入力!C25</f>
        <v>0</v>
      </c>
      <c r="C23" s="324" t="str">
        <f>IFERROR(VLOOKUP(☆入力!G25,選定!$C$3:$AG$100,11,FALSE)&amp;"　"&amp;VLOOKUP(☆入力!G25,選定!$C$3:$AG$100,1,FALSE),"")</f>
        <v/>
      </c>
      <c r="D23" s="180">
        <f>☆入力!L25</f>
        <v>0</v>
      </c>
      <c r="E23" s="180" t="str">
        <f>IFERROR(VLOOKUP(☆入力!G25,選定!$C$3:$AG$100,7,FALSE),"")</f>
        <v/>
      </c>
      <c r="F23" s="1171" t="str">
        <f>IFERROR(E23*D23,"")</f>
        <v/>
      </c>
      <c r="G23" s="1171"/>
    </row>
    <row r="24" spans="1:7">
      <c r="E24" s="212" t="s">
        <v>390</v>
      </c>
      <c r="F24" s="1172">
        <f>ROUNDDOWN(SUM(F14:G23),0)</f>
        <v>0</v>
      </c>
      <c r="G24" s="1172"/>
    </row>
    <row r="25" spans="1:7" ht="12" customHeight="1">
      <c r="A25" s="974" t="s">
        <v>361</v>
      </c>
      <c r="B25" s="1191"/>
      <c r="C25" s="975"/>
      <c r="D25" s="475" t="s">
        <v>161</v>
      </c>
      <c r="E25" s="480" t="s">
        <v>342</v>
      </c>
      <c r="F25" s="1189" t="s">
        <v>343</v>
      </c>
      <c r="G25" s="1189"/>
    </row>
    <row r="26" spans="1:7" ht="12" customHeight="1">
      <c r="A26" s="1174" t="s">
        <v>362</v>
      </c>
      <c r="B26" s="1175"/>
      <c r="C26" s="1176"/>
      <c r="D26" s="165">
        <f>VLOOKUP(☆入力!L14,LED計算式!M21:N26,2,TRUE)</f>
        <v>1</v>
      </c>
      <c r="E26" s="165">
        <v>20000</v>
      </c>
      <c r="F26" s="1173">
        <f t="shared" si="0"/>
        <v>20000</v>
      </c>
      <c r="G26" s="1173"/>
    </row>
    <row r="27" spans="1:7" ht="12" customHeight="1">
      <c r="A27" s="1003" t="s">
        <v>363</v>
      </c>
      <c r="B27" s="1177"/>
      <c r="C27" s="1004"/>
      <c r="D27" s="165">
        <f>LED計算式!O36</f>
        <v>0</v>
      </c>
      <c r="E27" s="340">
        <v>3000</v>
      </c>
      <c r="F27" s="1173">
        <f t="shared" ref="F27:F34" si="1">IFERROR(E27*D27,"")</f>
        <v>0</v>
      </c>
      <c r="G27" s="1173"/>
    </row>
    <row r="28" spans="1:7" ht="12" hidden="1" customHeight="1" outlineLevel="1">
      <c r="A28" s="1003" t="s">
        <v>391</v>
      </c>
      <c r="B28" s="1177"/>
      <c r="C28" s="1004"/>
      <c r="D28" s="165">
        <f>LED計算式!O37</f>
        <v>0</v>
      </c>
      <c r="E28" s="340">
        <v>4500</v>
      </c>
      <c r="F28" s="1173">
        <f t="shared" si="1"/>
        <v>0</v>
      </c>
      <c r="G28" s="1173"/>
    </row>
    <row r="29" spans="1:7" ht="12" hidden="1" customHeight="1" outlineLevel="1">
      <c r="A29" s="1003" t="s">
        <v>392</v>
      </c>
      <c r="B29" s="1177"/>
      <c r="C29" s="1004"/>
      <c r="D29" s="165">
        <f>LED計算式!O38</f>
        <v>0</v>
      </c>
      <c r="E29" s="340">
        <v>2000</v>
      </c>
      <c r="F29" s="1173">
        <f t="shared" si="1"/>
        <v>0</v>
      </c>
      <c r="G29" s="1173"/>
    </row>
    <row r="30" spans="1:7" ht="12" hidden="1" customHeight="1" outlineLevel="1">
      <c r="A30" s="1003" t="s">
        <v>366</v>
      </c>
      <c r="B30" s="1177"/>
      <c r="C30" s="1004"/>
      <c r="D30" s="165">
        <f>LED計算式!O39</f>
        <v>0</v>
      </c>
      <c r="E30" s="340">
        <v>600</v>
      </c>
      <c r="F30" s="1173">
        <f t="shared" si="1"/>
        <v>0</v>
      </c>
      <c r="G30" s="1173"/>
    </row>
    <row r="31" spans="1:7" ht="12" customHeight="1" collapsed="1">
      <c r="A31" s="1003" t="s">
        <v>367</v>
      </c>
      <c r="B31" s="1177"/>
      <c r="C31" s="1004"/>
      <c r="D31" s="165">
        <f>COUNTA(☆入力!AG16:AG45)</f>
        <v>1</v>
      </c>
      <c r="E31" s="165">
        <v>3000</v>
      </c>
      <c r="F31" s="1173">
        <f t="shared" si="1"/>
        <v>3000</v>
      </c>
      <c r="G31" s="1173"/>
    </row>
    <row r="32" spans="1:7" ht="12" customHeight="1">
      <c r="A32" s="1003" t="s">
        <v>368</v>
      </c>
      <c r="B32" s="1177"/>
      <c r="C32" s="1004"/>
      <c r="D32" s="165">
        <f>☆入力!L14</f>
        <v>0</v>
      </c>
      <c r="E32" s="165">
        <v>1000</v>
      </c>
      <c r="F32" s="1173">
        <f t="shared" si="1"/>
        <v>0</v>
      </c>
      <c r="G32" s="1173"/>
    </row>
    <row r="33" spans="1:7" ht="12" customHeight="1">
      <c r="A33" s="1003" t="s">
        <v>369</v>
      </c>
      <c r="B33" s="1177"/>
      <c r="C33" s="1004"/>
      <c r="D33" s="165">
        <f>COUNTA(☆入力!AG16:AG45)</f>
        <v>1</v>
      </c>
      <c r="E33" s="165">
        <v>5000</v>
      </c>
      <c r="F33" s="1173">
        <f t="shared" si="1"/>
        <v>5000</v>
      </c>
      <c r="G33" s="1173"/>
    </row>
    <row r="34" spans="1:7" ht="12" customHeight="1">
      <c r="A34" s="1010">
        <f>☆入力!AH12</f>
        <v>0</v>
      </c>
      <c r="B34" s="1178"/>
      <c r="C34" s="1011"/>
      <c r="D34" s="217" t="str">
        <f>IF(☆入力!AH12&lt;&gt;"","1","")</f>
        <v/>
      </c>
      <c r="E34" s="180">
        <f>☆入力!AJ12</f>
        <v>0</v>
      </c>
      <c r="F34" s="1171" t="str">
        <f t="shared" si="1"/>
        <v/>
      </c>
      <c r="G34" s="1171"/>
    </row>
    <row r="35" spans="1:7">
      <c r="E35" s="212" t="s">
        <v>393</v>
      </c>
      <c r="F35" s="1172">
        <f>ROUNDDOWN(SUM(F26:G34),0)</f>
        <v>28000</v>
      </c>
      <c r="G35" s="1172"/>
    </row>
    <row r="36" spans="1:7">
      <c r="E36" s="211"/>
      <c r="F36" s="213"/>
      <c r="G36" s="213"/>
    </row>
    <row r="37" spans="1:7">
      <c r="E37" s="212" t="s">
        <v>394</v>
      </c>
      <c r="F37" s="1170">
        <f>F24+F35</f>
        <v>28000</v>
      </c>
      <c r="G37" s="1170"/>
    </row>
    <row r="38" spans="1:7">
      <c r="E38" s="214" t="s">
        <v>375</v>
      </c>
      <c r="F38" s="1170">
        <f ca="1">(☆入力!AL14+代理店入力用!D5)-SUM(F24,F35)</f>
        <v>-28000</v>
      </c>
      <c r="G38" s="1170"/>
    </row>
    <row r="39" spans="1:7" ht="12.75" thickBot="1">
      <c r="E39" s="215" t="s">
        <v>19</v>
      </c>
      <c r="F39" s="1179">
        <f ca="1">F37+F38</f>
        <v>0</v>
      </c>
      <c r="G39" s="1179"/>
    </row>
    <row r="40" spans="1:7" ht="12.75" thickTop="1"/>
    <row r="41" spans="1:7">
      <c r="B41" s="1423" t="s">
        <v>346</v>
      </c>
      <c r="C41" s="1423"/>
      <c r="D41" s="1423"/>
      <c r="E41" s="1423"/>
      <c r="F41" s="1423"/>
    </row>
    <row r="42" spans="1:7">
      <c r="B42" s="1180">
        <f>☆入力!AH4</f>
        <v>0</v>
      </c>
      <c r="C42" s="1181"/>
      <c r="D42" s="1181"/>
      <c r="E42" s="1182"/>
      <c r="F42" s="360"/>
    </row>
    <row r="43" spans="1:7">
      <c r="B43" s="1183">
        <f>☆入力!AH5</f>
        <v>0</v>
      </c>
      <c r="C43" s="1184"/>
      <c r="D43" s="1184"/>
      <c r="E43" s="1185"/>
      <c r="F43" s="360"/>
    </row>
    <row r="44" spans="1:7">
      <c r="B44" s="1186">
        <f>☆入力!AH6</f>
        <v>0</v>
      </c>
      <c r="C44" s="1187"/>
      <c r="D44" s="1187"/>
      <c r="E44" s="1188"/>
      <c r="F44" s="360"/>
    </row>
  </sheetData>
  <mergeCells count="58">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 ref="F15:G15"/>
    <mergeCell ref="F19:G19"/>
    <mergeCell ref="F20:G20"/>
    <mergeCell ref="F25:G25"/>
    <mergeCell ref="F26:G26"/>
    <mergeCell ref="F18:G18"/>
    <mergeCell ref="F16:G16"/>
    <mergeCell ref="F17:G17"/>
    <mergeCell ref="F21:G21"/>
    <mergeCell ref="F22:G22"/>
    <mergeCell ref="B41:F41"/>
    <mergeCell ref="F39:G39"/>
    <mergeCell ref="B42:E42"/>
    <mergeCell ref="B43:E43"/>
    <mergeCell ref="B44:E44"/>
    <mergeCell ref="A26:C26"/>
    <mergeCell ref="A27:C27"/>
    <mergeCell ref="A28:C28"/>
    <mergeCell ref="F27:G27"/>
    <mergeCell ref="F37:G37"/>
    <mergeCell ref="A34:C34"/>
    <mergeCell ref="A29:C29"/>
    <mergeCell ref="A30:C30"/>
    <mergeCell ref="A31:C31"/>
    <mergeCell ref="A32:C32"/>
    <mergeCell ref="A33:C33"/>
    <mergeCell ref="F38:G38"/>
    <mergeCell ref="F34:G34"/>
    <mergeCell ref="F35:G35"/>
    <mergeCell ref="F23:G23"/>
    <mergeCell ref="F28:G28"/>
    <mergeCell ref="F29:G29"/>
    <mergeCell ref="F30:G30"/>
    <mergeCell ref="F24:G24"/>
    <mergeCell ref="F31:G31"/>
    <mergeCell ref="F32:G32"/>
    <mergeCell ref="F33:G33"/>
    <mergeCell ref="K4:L5"/>
    <mergeCell ref="K8:L9"/>
    <mergeCell ref="J4:J5"/>
    <mergeCell ref="J8:J9"/>
    <mergeCell ref="K7:L7"/>
  </mergeCells>
  <phoneticPr fontId="2"/>
  <conditionalFormatting sqref="B14:B23">
    <cfRule type="cellIs" dxfId="52" priority="1" operator="equal">
      <formula>0</formula>
    </cfRule>
  </conditionalFormatting>
  <conditionalFormatting sqref="B42:B44">
    <cfRule type="cellIs" dxfId="51"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BE35"/>
  <sheetViews>
    <sheetView view="pageBreakPreview" topLeftCell="AE1" zoomScale="50" zoomScaleNormal="85" zoomScaleSheetLayoutView="50" workbookViewId="0">
      <selection activeCell="BK19" sqref="BK19"/>
    </sheetView>
  </sheetViews>
  <sheetFormatPr defaultColWidth="3.625" defaultRowHeight="18.75" customHeight="1"/>
  <cols>
    <col min="1" max="1" width="0" style="3" hidden="1" customWidth="1"/>
    <col min="2" max="2" width="3.625" style="3" hidden="1" customWidth="1"/>
    <col min="3" max="4" width="0" style="3" hidden="1" customWidth="1"/>
    <col min="5" max="7" width="3.625" style="3" hidden="1" customWidth="1"/>
    <col min="8" max="30" width="0" style="3" hidden="1" customWidth="1"/>
    <col min="31" max="78" width="6.625" style="3" customWidth="1"/>
    <col min="79" max="16384" width="3.625" style="3"/>
  </cols>
  <sheetData>
    <row r="1" spans="1:57" ht="38.25">
      <c r="A1" s="703"/>
      <c r="B1" s="703"/>
      <c r="C1" s="703"/>
      <c r="D1" s="703"/>
      <c r="E1" s="703"/>
      <c r="F1" s="703"/>
      <c r="G1" s="703"/>
      <c r="H1" s="703"/>
      <c r="I1" s="703"/>
      <c r="J1" s="703"/>
      <c r="K1" s="703"/>
      <c r="L1" s="703"/>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3"/>
      <c r="AP1" s="703"/>
      <c r="AQ1" s="703"/>
      <c r="AR1" s="703"/>
      <c r="AS1" s="703"/>
      <c r="AT1" s="703"/>
      <c r="AU1" s="703"/>
      <c r="AV1" s="703"/>
      <c r="AW1" s="703"/>
      <c r="AX1" s="703"/>
      <c r="AY1" s="703"/>
    </row>
    <row r="2" spans="1:57" ht="21.95" customHeight="1">
      <c r="A2" s="1208" t="s">
        <v>395</v>
      </c>
      <c r="B2" s="1208"/>
      <c r="C2" s="1208"/>
      <c r="D2" s="1208"/>
      <c r="E2" s="1208"/>
      <c r="F2" s="1208"/>
      <c r="G2" s="1208"/>
      <c r="H2" s="1208"/>
      <c r="I2" s="1208"/>
      <c r="J2" s="1208"/>
      <c r="K2" s="1208"/>
      <c r="L2" s="1208"/>
      <c r="M2" s="1208"/>
      <c r="N2" s="1208"/>
      <c r="O2" s="1208"/>
      <c r="P2" s="1208"/>
      <c r="Q2" s="1208"/>
      <c r="R2" s="1208"/>
      <c r="S2" s="1208"/>
      <c r="T2" s="1208"/>
      <c r="U2" s="1208"/>
      <c r="V2" s="1208"/>
      <c r="W2" s="1208"/>
      <c r="X2" s="1208"/>
      <c r="Y2" s="1208"/>
      <c r="Z2" s="1208"/>
      <c r="AA2" s="1208"/>
      <c r="AB2" s="1208"/>
      <c r="AC2" s="1208"/>
      <c r="AD2" s="481"/>
      <c r="AF2" s="1226" t="s">
        <v>396</v>
      </c>
      <c r="AG2" s="1226"/>
      <c r="AH2" s="1226"/>
      <c r="AI2" s="1226"/>
      <c r="AJ2" s="1226"/>
      <c r="AK2" s="1226"/>
      <c r="AL2" s="1226"/>
      <c r="AM2" s="1226"/>
      <c r="AN2" s="1226"/>
      <c r="AO2" s="1226"/>
      <c r="AP2" s="1226"/>
      <c r="AQ2" s="1226"/>
      <c r="AR2" s="1226"/>
      <c r="AS2" s="1226"/>
      <c r="AT2" s="1226"/>
      <c r="AU2" s="1226"/>
      <c r="AV2" s="1226"/>
      <c r="AW2" s="1226"/>
      <c r="AX2" s="1226"/>
      <c r="AY2" s="1226"/>
      <c r="AZ2" s="1226"/>
      <c r="BA2" s="1226"/>
      <c r="BB2" s="1226"/>
      <c r="BC2" s="1226"/>
      <c r="BD2" s="1226"/>
      <c r="BE2" s="1226"/>
    </row>
    <row r="3" spans="1:57" ht="21.95" customHeight="1" thickBot="1">
      <c r="A3" s="1209"/>
      <c r="B3" s="1209"/>
      <c r="C3" s="1209"/>
      <c r="D3" s="1209"/>
      <c r="E3" s="1209"/>
      <c r="F3" s="1209"/>
      <c r="G3" s="1209"/>
      <c r="H3" s="1209"/>
      <c r="I3" s="1209"/>
      <c r="J3" s="1209"/>
      <c r="K3" s="1209"/>
      <c r="L3" s="1209"/>
      <c r="M3" s="1209"/>
      <c r="N3" s="1209"/>
      <c r="O3" s="1209"/>
      <c r="P3" s="1209"/>
      <c r="Q3" s="1209"/>
      <c r="R3" s="1209"/>
      <c r="S3" s="1209"/>
      <c r="T3" s="1209"/>
      <c r="U3" s="1209"/>
      <c r="V3" s="1209"/>
      <c r="W3" s="1209"/>
      <c r="X3" s="1209"/>
      <c r="Y3" s="1209"/>
      <c r="Z3" s="1209"/>
      <c r="AA3" s="1209"/>
      <c r="AB3" s="1209"/>
      <c r="AC3" s="1209"/>
      <c r="AD3" s="481"/>
      <c r="AF3" s="1227"/>
      <c r="AG3" s="1227"/>
      <c r="AH3" s="1227"/>
      <c r="AI3" s="1227"/>
      <c r="AJ3" s="1227"/>
      <c r="AK3" s="1227"/>
      <c r="AL3" s="1227"/>
      <c r="AM3" s="1227"/>
      <c r="AN3" s="1227"/>
      <c r="AO3" s="1227"/>
      <c r="AP3" s="1227"/>
      <c r="AQ3" s="1227"/>
      <c r="AR3" s="1227"/>
      <c r="AS3" s="1227"/>
      <c r="AT3" s="1227"/>
      <c r="AU3" s="1227"/>
      <c r="AV3" s="1227"/>
      <c r="AW3" s="1227"/>
      <c r="AX3" s="1227"/>
      <c r="AY3" s="1227"/>
      <c r="AZ3" s="1227"/>
      <c r="BA3" s="1227"/>
      <c r="BB3" s="1227"/>
      <c r="BC3" s="1227"/>
      <c r="BD3" s="1227"/>
      <c r="BE3" s="1227"/>
    </row>
    <row r="4" spans="1:57"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7" ht="21.95" customHeight="1" thickTop="1">
      <c r="A5" s="1210" t="s">
        <v>397</v>
      </c>
      <c r="B5" s="1210"/>
      <c r="C5" s="1210"/>
      <c r="D5" s="1210"/>
      <c r="E5" s="1210"/>
      <c r="F5" s="1210"/>
      <c r="G5" s="1210"/>
      <c r="H5" s="1210"/>
      <c r="I5" s="1210"/>
      <c r="J5" s="1210"/>
      <c r="K5" s="1210"/>
      <c r="L5" s="1210"/>
      <c r="M5" s="1210"/>
      <c r="N5" s="1211">
        <f ca="1">ROUNDDOWN((☆入力!AK14)*(100%-☆入力!AR11)+(代理店入力用!D5/54),0)</f>
        <v>0</v>
      </c>
      <c r="O5" s="1212"/>
      <c r="P5" s="1212"/>
      <c r="Q5" s="1212"/>
      <c r="R5" s="1213"/>
      <c r="S5" s="1217" t="s">
        <v>398</v>
      </c>
      <c r="T5" s="1217"/>
      <c r="U5" s="1218">
        <v>60</v>
      </c>
      <c r="V5" s="1218"/>
      <c r="W5" s="1218"/>
      <c r="X5" s="1218"/>
      <c r="Y5" s="1217" t="s">
        <v>386</v>
      </c>
      <c r="Z5" s="1219">
        <f ca="1">N5*U5</f>
        <v>0</v>
      </c>
      <c r="AA5" s="1219"/>
      <c r="AB5" s="1219"/>
      <c r="AC5" s="1219"/>
      <c r="AD5" s="97"/>
      <c r="AE5" s="62"/>
      <c r="AF5" s="1210" t="s">
        <v>399</v>
      </c>
      <c r="AG5" s="1210"/>
      <c r="AH5" s="1210"/>
      <c r="AI5" s="1210"/>
      <c r="AJ5" s="1210"/>
      <c r="AK5" s="1210"/>
      <c r="AL5" s="1210"/>
      <c r="AM5" s="1220">
        <f ca="1">ROUNDDOWN((☆入力!AL14)*(100%-☆入力!AR11)+代理店入力用!D5,0)</f>
        <v>0</v>
      </c>
      <c r="AN5" s="1221"/>
      <c r="AO5" s="1221"/>
      <c r="AP5" s="1221"/>
      <c r="AQ5" s="1221"/>
      <c r="AR5" s="1221"/>
      <c r="AS5" s="1222"/>
      <c r="AY5" s="84"/>
    </row>
    <row r="6" spans="1:57" ht="21.95" customHeight="1" thickBot="1">
      <c r="A6" s="1210"/>
      <c r="B6" s="1210"/>
      <c r="C6" s="1210"/>
      <c r="D6" s="1210"/>
      <c r="E6" s="1210"/>
      <c r="F6" s="1210"/>
      <c r="G6" s="1210"/>
      <c r="H6" s="1210"/>
      <c r="I6" s="1210"/>
      <c r="J6" s="1210"/>
      <c r="K6" s="1210"/>
      <c r="L6" s="1210"/>
      <c r="M6" s="1210"/>
      <c r="N6" s="1214"/>
      <c r="O6" s="1215"/>
      <c r="P6" s="1215"/>
      <c r="Q6" s="1215"/>
      <c r="R6" s="1216"/>
      <c r="S6" s="1217"/>
      <c r="T6" s="1217"/>
      <c r="U6" s="1218"/>
      <c r="V6" s="1218"/>
      <c r="W6" s="1218"/>
      <c r="X6" s="1218"/>
      <c r="Y6" s="1217"/>
      <c r="Z6" s="1219"/>
      <c r="AA6" s="1219"/>
      <c r="AB6" s="1219"/>
      <c r="AC6" s="1219"/>
      <c r="AD6" s="97"/>
      <c r="AE6" s="62"/>
      <c r="AF6" s="1210"/>
      <c r="AG6" s="1210"/>
      <c r="AH6" s="1210"/>
      <c r="AI6" s="1210"/>
      <c r="AJ6" s="1210"/>
      <c r="AK6" s="1210"/>
      <c r="AL6" s="1210"/>
      <c r="AM6" s="1223"/>
      <c r="AN6" s="1224"/>
      <c r="AO6" s="1224"/>
      <c r="AP6" s="1224"/>
      <c r="AQ6" s="1224"/>
      <c r="AR6" s="1224"/>
      <c r="AS6" s="1225"/>
      <c r="AY6" s="84"/>
    </row>
    <row r="7" spans="1:57" ht="21.95" customHeight="1" thickTop="1">
      <c r="B7" s="87" t="s">
        <v>400</v>
      </c>
      <c r="F7" s="14"/>
      <c r="G7" s="14"/>
      <c r="H7" s="14"/>
      <c r="I7" s="14"/>
      <c r="J7" s="14"/>
      <c r="K7" s="14"/>
      <c r="L7" s="14"/>
      <c r="M7" s="14"/>
      <c r="N7" s="1205" t="s">
        <v>401</v>
      </c>
      <c r="O7" s="1205"/>
      <c r="P7" s="1205"/>
      <c r="Q7" s="1205"/>
      <c r="R7" s="1205"/>
      <c r="S7" s="73"/>
      <c r="T7" s="82"/>
      <c r="U7" s="82"/>
      <c r="V7" s="82"/>
      <c r="W7" s="482"/>
      <c r="Z7" s="1206" t="s">
        <v>402</v>
      </c>
      <c r="AA7" s="1206"/>
      <c r="AB7" s="1206"/>
      <c r="AC7" s="1206"/>
      <c r="AD7" s="98"/>
      <c r="AE7" s="62"/>
      <c r="AF7" s="104"/>
      <c r="AG7" s="87" t="s">
        <v>400</v>
      </c>
      <c r="AI7" s="104"/>
      <c r="AJ7" s="104"/>
      <c r="AK7" s="104"/>
      <c r="AL7" s="104"/>
      <c r="AM7" s="1207" t="s">
        <v>401</v>
      </c>
      <c r="AN7" s="1207"/>
      <c r="AO7" s="1207"/>
      <c r="AP7" s="1207"/>
      <c r="AQ7" s="1207"/>
      <c r="AR7" s="1207"/>
      <c r="AS7" s="1207"/>
      <c r="AY7" s="7"/>
    </row>
    <row r="8" spans="1:57" ht="21.95" customHeight="1">
      <c r="AE8" s="62"/>
      <c r="AG8" s="10"/>
      <c r="AH8" s="10"/>
      <c r="AI8" s="8"/>
      <c r="AJ8" s="8"/>
      <c r="AK8" s="8"/>
      <c r="AL8" s="8"/>
      <c r="AM8" s="8"/>
      <c r="AN8" s="8"/>
      <c r="AO8" s="8"/>
      <c r="AP8" s="8"/>
      <c r="AQ8" s="6"/>
      <c r="AR8" s="6"/>
      <c r="AS8" s="6"/>
      <c r="AT8" s="6"/>
      <c r="AU8" s="6"/>
      <c r="AV8" s="6"/>
      <c r="AW8" s="7"/>
      <c r="AX8" s="7"/>
      <c r="AY8" s="7"/>
    </row>
    <row r="9" spans="1:57" ht="21.95" customHeight="1">
      <c r="A9" s="52" t="s">
        <v>403</v>
      </c>
      <c r="B9" s="9"/>
      <c r="C9" s="9"/>
      <c r="AE9" s="62"/>
      <c r="AF9" s="52" t="s">
        <v>404</v>
      </c>
      <c r="AG9" s="10"/>
      <c r="AH9" s="10"/>
      <c r="AI9" s="8"/>
      <c r="AJ9" s="8"/>
      <c r="AK9" s="8"/>
      <c r="AL9" s="8"/>
      <c r="AM9" s="8"/>
      <c r="AN9" s="8"/>
      <c r="AO9" s="8"/>
      <c r="AP9" s="8"/>
      <c r="AQ9" s="8"/>
      <c r="AR9" s="8"/>
      <c r="AS9" s="8"/>
      <c r="AT9" s="8"/>
      <c r="AU9" s="9"/>
      <c r="AV9" s="9"/>
      <c r="AW9" s="9"/>
      <c r="AX9" s="9"/>
      <c r="AY9" s="9"/>
    </row>
    <row r="10" spans="1:57" ht="21.6"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7"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7"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7"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7"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7"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7" ht="21.95" customHeight="1">
      <c r="B16" s="6"/>
      <c r="C16" s="6"/>
      <c r="AE16" s="62"/>
      <c r="AI16" s="59"/>
      <c r="AJ16" s="59"/>
      <c r="AK16" s="59"/>
      <c r="AL16" s="59"/>
      <c r="AM16" s="59"/>
      <c r="AN16" s="59"/>
      <c r="AO16" s="59"/>
      <c r="AP16" s="59"/>
      <c r="AQ16" s="59"/>
      <c r="AR16" s="59"/>
      <c r="AS16" s="59"/>
      <c r="AT16" s="59"/>
    </row>
    <row r="17" spans="1:57"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7"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7" s="18" customFormat="1" ht="21.95" customHeight="1">
      <c r="C19" s="19"/>
      <c r="U19" s="72"/>
      <c r="V19" s="72"/>
      <c r="W19" s="72"/>
      <c r="X19" s="72"/>
      <c r="Y19" s="72"/>
      <c r="Z19" s="72"/>
      <c r="AE19" s="86"/>
    </row>
    <row r="20" spans="1:57" s="18" customFormat="1" ht="21.95" customHeight="1">
      <c r="C20" s="19"/>
      <c r="U20" s="72"/>
      <c r="V20" s="72"/>
      <c r="W20" s="72"/>
      <c r="X20" s="72"/>
      <c r="Y20" s="72"/>
      <c r="Z20" s="72"/>
      <c r="AE20" s="86"/>
    </row>
    <row r="21" spans="1:57" s="18" customFormat="1" ht="21.95" customHeight="1">
      <c r="C21" s="19"/>
      <c r="T21" s="72"/>
      <c r="U21" s="72"/>
      <c r="V21" s="72"/>
      <c r="W21" s="72"/>
      <c r="X21" s="72"/>
      <c r="Y21" s="72"/>
      <c r="Z21" s="72"/>
      <c r="AE21" s="86"/>
    </row>
    <row r="22" spans="1:57"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7"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7"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7" ht="21.95" customHeight="1">
      <c r="A25" s="7"/>
      <c r="B25" s="7"/>
      <c r="C25" s="7"/>
      <c r="AE25" s="62"/>
      <c r="AI25" s="6"/>
      <c r="AJ25" s="6"/>
      <c r="AK25" s="6"/>
      <c r="AL25" s="6"/>
      <c r="AM25" s="6"/>
      <c r="AN25" s="6"/>
      <c r="AO25" s="6"/>
      <c r="AP25" s="6"/>
      <c r="AQ25" s="6"/>
      <c r="AR25" s="6"/>
      <c r="AS25" s="6"/>
      <c r="AT25" s="6"/>
      <c r="AU25" s="7"/>
      <c r="AV25" s="7"/>
      <c r="AW25" s="7"/>
      <c r="AX25" s="7"/>
      <c r="AY25" s="7"/>
    </row>
    <row r="26" spans="1:57" ht="21.95" customHeight="1" thickBot="1">
      <c r="A26" s="1228" t="s">
        <v>405</v>
      </c>
      <c r="B26" s="1228"/>
      <c r="C26" s="1228"/>
      <c r="D26" s="1228"/>
      <c r="E26" s="1228"/>
      <c r="F26" s="1228"/>
      <c r="G26" s="1228"/>
      <c r="H26" s="1228"/>
      <c r="I26" s="1228"/>
      <c r="J26" s="1228"/>
      <c r="K26" s="1228"/>
      <c r="L26" s="1228"/>
      <c r="M26" s="1228"/>
      <c r="N26" s="1228"/>
      <c r="O26" s="1228"/>
      <c r="P26" s="1228"/>
      <c r="Q26" s="1228"/>
      <c r="R26" s="1228"/>
      <c r="S26" s="1228"/>
      <c r="T26" s="1228"/>
      <c r="U26" s="1228"/>
      <c r="V26" s="1228"/>
      <c r="W26" s="1228"/>
      <c r="X26" s="1228"/>
      <c r="Y26" s="1228"/>
      <c r="Z26" s="1228"/>
      <c r="AA26" s="1228"/>
      <c r="AB26" s="1228"/>
      <c r="AC26" s="1228"/>
      <c r="AD26" s="1229"/>
      <c r="AE26" s="62"/>
      <c r="AN26" s="13"/>
      <c r="AO26" s="13"/>
      <c r="AP26" s="13"/>
      <c r="AQ26" s="13"/>
      <c r="AR26" s="13"/>
      <c r="AS26" s="13"/>
      <c r="AT26" s="13"/>
      <c r="AU26" s="13"/>
      <c r="AV26" s="13"/>
      <c r="AW26" s="13"/>
      <c r="AX26" s="13"/>
      <c r="AY26" s="13"/>
    </row>
    <row r="27" spans="1:57"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F27" s="1249" t="s">
        <v>382</v>
      </c>
      <c r="AG27" s="1250"/>
      <c r="AH27" s="1250"/>
      <c r="AI27" s="1250"/>
      <c r="AJ27" s="1250"/>
      <c r="AK27" s="1250"/>
      <c r="AL27" s="1250"/>
      <c r="AM27" s="1251"/>
      <c r="AN27" s="6"/>
      <c r="AO27" s="6"/>
      <c r="AP27" s="1252" t="s">
        <v>406</v>
      </c>
      <c r="AQ27" s="1253"/>
      <c r="AR27" s="1253"/>
      <c r="AS27" s="1253"/>
      <c r="AT27" s="1253"/>
      <c r="AU27" s="1253"/>
      <c r="AV27" s="1254"/>
      <c r="AY27" s="1246" t="s">
        <v>385</v>
      </c>
      <c r="AZ27" s="1247"/>
      <c r="BA27" s="1247"/>
      <c r="BB27" s="1247"/>
      <c r="BC27" s="1247"/>
      <c r="BD27" s="1247"/>
      <c r="BE27" s="1248"/>
    </row>
    <row r="28" spans="1:57" ht="21.95" customHeight="1" thickTop="1" thickBot="1">
      <c r="A28" s="13" t="s">
        <v>407</v>
      </c>
      <c r="V28" s="1241">
        <f ca="1">LED計算式!J23*60</f>
        <v>0</v>
      </c>
      <c r="W28" s="1242"/>
      <c r="X28" s="1242"/>
      <c r="Y28" s="1242"/>
      <c r="Z28" s="1242"/>
      <c r="AA28" s="1242"/>
      <c r="AB28" s="1242"/>
      <c r="AC28" s="1243"/>
      <c r="AD28" s="99"/>
      <c r="AE28" s="62"/>
      <c r="AF28" s="1220">
        <f ca="1">AM5</f>
        <v>0</v>
      </c>
      <c r="AG28" s="1221"/>
      <c r="AH28" s="1221"/>
      <c r="AI28" s="1221"/>
      <c r="AJ28" s="1221"/>
      <c r="AK28" s="1221"/>
      <c r="AL28" s="1221"/>
      <c r="AM28" s="1222"/>
      <c r="AN28" s="1244" t="s">
        <v>384</v>
      </c>
      <c r="AO28" s="1245"/>
      <c r="AP28" s="897">
        <f>④前後!BA29/120</f>
        <v>0</v>
      </c>
      <c r="AQ28" s="898"/>
      <c r="AR28" s="898"/>
      <c r="AS28" s="898"/>
      <c r="AT28" s="898"/>
      <c r="AU28" s="898"/>
      <c r="AV28" s="899"/>
      <c r="AW28" s="1233" t="s">
        <v>307</v>
      </c>
      <c r="AX28" s="1233"/>
      <c r="AY28" s="1234" t="str">
        <f ca="1">IFERROR((AF28/AP28)/12,"0")</f>
        <v>0</v>
      </c>
      <c r="AZ28" s="1235"/>
      <c r="BA28" s="1235"/>
      <c r="BB28" s="1235"/>
      <c r="BC28" s="1235"/>
      <c r="BD28" s="1235"/>
      <c r="BE28" s="1236"/>
    </row>
    <row r="29" spans="1:57" ht="21.95" customHeight="1" thickTop="1" thickBot="1">
      <c r="AE29" s="62"/>
      <c r="AF29" s="1223"/>
      <c r="AG29" s="1224"/>
      <c r="AH29" s="1224"/>
      <c r="AI29" s="1224"/>
      <c r="AJ29" s="1224"/>
      <c r="AK29" s="1224"/>
      <c r="AL29" s="1224"/>
      <c r="AM29" s="1225"/>
      <c r="AN29" s="1244"/>
      <c r="AO29" s="1245"/>
      <c r="AP29" s="900"/>
      <c r="AQ29" s="901"/>
      <c r="AR29" s="901"/>
      <c r="AS29" s="901"/>
      <c r="AT29" s="901"/>
      <c r="AU29" s="901"/>
      <c r="AV29" s="902"/>
      <c r="AW29" s="1233"/>
      <c r="AX29" s="1233"/>
      <c r="AY29" s="1237"/>
      <c r="AZ29" s="1238"/>
      <c r="BA29" s="1238"/>
      <c r="BB29" s="1238"/>
      <c r="BC29" s="1238"/>
      <c r="BD29" s="1238"/>
      <c r="BE29" s="1239"/>
    </row>
    <row r="30" spans="1:57" ht="21.95" customHeight="1" thickTop="1" thickBot="1">
      <c r="A30" s="13" t="s">
        <v>408</v>
      </c>
      <c r="V30" s="1241">
        <f>LED計算式!K23*60</f>
        <v>0</v>
      </c>
      <c r="W30" s="1242"/>
      <c r="X30" s="1242"/>
      <c r="Y30" s="1242"/>
      <c r="Z30" s="1242"/>
      <c r="AA30" s="1242"/>
      <c r="AB30" s="1242"/>
      <c r="AC30" s="1243"/>
      <c r="AD30" s="99"/>
      <c r="AE30" s="62"/>
      <c r="AW30" s="59"/>
      <c r="AX30" s="59"/>
      <c r="AY30" s="1240" t="str">
        <f ca="1">IFERROR(AF28/AP28,"0")</f>
        <v>0</v>
      </c>
      <c r="AZ30" s="1240"/>
      <c r="BA30" s="1240"/>
      <c r="BB30" s="1240"/>
      <c r="BC30" s="1240"/>
      <c r="BD30" s="1240"/>
      <c r="BE30" s="1240"/>
    </row>
    <row r="31" spans="1:57"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row>
    <row r="32" spans="1:57" ht="21.95" customHeight="1" thickTop="1" thickBot="1">
      <c r="A32" s="13" t="s">
        <v>409</v>
      </c>
      <c r="B32" s="16"/>
      <c r="C32" s="16"/>
      <c r="D32" s="13"/>
      <c r="E32" s="89"/>
      <c r="F32" s="89"/>
      <c r="G32" s="89"/>
      <c r="H32" s="89"/>
      <c r="I32" s="89"/>
      <c r="J32" s="89"/>
      <c r="K32" s="89"/>
      <c r="L32" s="89"/>
      <c r="M32" s="89"/>
      <c r="N32" s="89"/>
      <c r="O32" s="89"/>
      <c r="P32" s="89"/>
      <c r="Q32" s="89"/>
      <c r="R32" s="89"/>
      <c r="S32" s="89"/>
      <c r="T32" s="89"/>
      <c r="U32" s="89"/>
      <c r="V32" s="1230">
        <f ca="1">V28+V30</f>
        <v>0</v>
      </c>
      <c r="W32" s="1231"/>
      <c r="X32" s="1231"/>
      <c r="Y32" s="1231"/>
      <c r="Z32" s="1231"/>
      <c r="AA32" s="1231"/>
      <c r="AB32" s="1231"/>
      <c r="AC32" s="1232"/>
      <c r="AD32" s="100"/>
      <c r="AE32" s="62"/>
    </row>
    <row r="33" spans="2:46" ht="21.95" customHeight="1" thickTop="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row>
    <row r="34" spans="2:46" ht="21.95" customHeight="1">
      <c r="AJ34" s="59"/>
      <c r="AK34" s="59"/>
      <c r="AL34" s="59"/>
      <c r="AM34" s="59"/>
      <c r="AN34" s="59"/>
    </row>
    <row r="35" spans="2:46" ht="21.95" customHeight="1">
      <c r="AI35" s="59"/>
      <c r="AJ35" s="59"/>
      <c r="AK35" s="59"/>
      <c r="AL35" s="59"/>
      <c r="AM35" s="59"/>
      <c r="AN35" s="59"/>
      <c r="AO35" s="59"/>
      <c r="AP35" s="59"/>
      <c r="AQ35" s="59"/>
      <c r="AR35" s="59"/>
      <c r="AS35" s="59"/>
      <c r="AT35" s="59"/>
    </row>
  </sheetData>
  <mergeCells count="26">
    <mergeCell ref="A26:AD26"/>
    <mergeCell ref="V32:AC32"/>
    <mergeCell ref="AW28:AX29"/>
    <mergeCell ref="AY28:BE29"/>
    <mergeCell ref="AY30:BE30"/>
    <mergeCell ref="V28:AC28"/>
    <mergeCell ref="AF28:AM29"/>
    <mergeCell ref="AN28:AO29"/>
    <mergeCell ref="AP28:AV29"/>
    <mergeCell ref="V30:AC30"/>
    <mergeCell ref="AY27:BE27"/>
    <mergeCell ref="AF27:AM27"/>
    <mergeCell ref="AP27:AV27"/>
    <mergeCell ref="N7:R7"/>
    <mergeCell ref="Z7:AC7"/>
    <mergeCell ref="AM7:AS7"/>
    <mergeCell ref="A2:AC3"/>
    <mergeCell ref="A5:M6"/>
    <mergeCell ref="N5:R6"/>
    <mergeCell ref="S5:T6"/>
    <mergeCell ref="U5:X6"/>
    <mergeCell ref="Y5:Y6"/>
    <mergeCell ref="Z5:AC6"/>
    <mergeCell ref="AM5:AS6"/>
    <mergeCell ref="AF5:AL6"/>
    <mergeCell ref="AF2:BE3"/>
  </mergeCells>
  <phoneticPr fontId="2"/>
  <conditionalFormatting sqref="A10:A15">
    <cfRule type="cellIs" dxfId="50" priority="9" operator="equal">
      <formula>0</formula>
    </cfRule>
  </conditionalFormatting>
  <conditionalFormatting sqref="B10:C15 AJ17 AO17:AO18 AV17:AV18 B18:C18 C19">
    <cfRule type="cellIs" dxfId="49" priority="10" operator="equal">
      <formula>0</formula>
    </cfRule>
  </conditionalFormatting>
  <conditionalFormatting sqref="AI10:AY15 AI18">
    <cfRule type="cellIs" dxfId="48" priority="8" operator="equal">
      <formula>0</formula>
    </cfRule>
  </conditionalFormatting>
  <conditionalFormatting sqref="AM7">
    <cfRule type="cellIs" dxfId="47" priority="1" operator="equal">
      <formula>0</formula>
    </cfRule>
  </conditionalFormatting>
  <conditionalFormatting sqref="AN27:AP27 AY27:AY28 AN28 AW28">
    <cfRule type="cellIs" dxfId="46" priority="2" operator="equal">
      <formula>0</formula>
    </cfRule>
  </conditionalFormatting>
  <conditionalFormatting sqref="AP14">
    <cfRule type="cellIs" dxfId="45" priority="6" operator="equal">
      <formula>0</formula>
    </cfRule>
  </conditionalFormatting>
  <conditionalFormatting sqref="AP17">
    <cfRule type="cellIs" dxfId="44" priority="4" operator="equal">
      <formula>0</formula>
    </cfRule>
  </conditionalFormatting>
  <conditionalFormatting sqref="AQ8 AW8:AY8">
    <cfRule type="cellIs" dxfId="43" priority="7" operator="equal">
      <formula>0</formula>
    </cfRule>
  </conditionalFormatting>
  <conditionalFormatting sqref="AW14">
    <cfRule type="cellIs" dxfId="42" priority="5" operator="equal">
      <formula>0</formula>
    </cfRule>
  </conditionalFormatting>
  <conditionalFormatting sqref="AW17">
    <cfRule type="cellIs" dxfId="41" priority="3"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40" sqref="A40"/>
    </sheetView>
  </sheetViews>
  <sheetFormatPr defaultColWidth="3.625" defaultRowHeight="18.75" customHeight="1"/>
  <cols>
    <col min="1" max="1" width="3.625" style="3"/>
    <col min="2" max="2" width="3.625" style="3" customWidth="1"/>
    <col min="3" max="4" width="3.625" style="3"/>
    <col min="5" max="6" width="3.625" style="3" customWidth="1"/>
    <col min="7" max="23" width="3.625" style="3"/>
    <col min="24" max="24" width="3.625" style="3" customWidth="1"/>
    <col min="25" max="16384" width="3.625" style="3"/>
  </cols>
  <sheetData>
    <row r="1" spans="1:51" ht="38.25">
      <c r="A1" s="1272" t="s">
        <v>410</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1272"/>
      <c r="AE1" s="1272"/>
      <c r="AF1" s="1272"/>
      <c r="AG1" s="1272"/>
      <c r="AH1" s="1272"/>
      <c r="AI1" s="1272"/>
      <c r="AJ1" s="1272"/>
      <c r="AK1" s="1272"/>
      <c r="AL1" s="1272"/>
      <c r="AM1" s="1272"/>
      <c r="AN1" s="1272"/>
      <c r="AO1" s="1272"/>
      <c r="AP1" s="1272"/>
      <c r="AQ1" s="1272"/>
      <c r="AR1" s="1272"/>
      <c r="AS1" s="1272"/>
      <c r="AT1" s="1272"/>
      <c r="AU1" s="1272"/>
      <c r="AV1" s="1272"/>
      <c r="AW1" s="1272"/>
      <c r="AX1" s="1272"/>
      <c r="AY1" s="1272"/>
    </row>
    <row r="2" spans="1:51" ht="22.5">
      <c r="A2" s="1261" t="s">
        <v>411</v>
      </c>
      <c r="B2" s="1261"/>
      <c r="C2" s="1261"/>
      <c r="D2" s="1261"/>
      <c r="E2" s="1261"/>
      <c r="F2" s="1261"/>
      <c r="G2" s="1261"/>
      <c r="H2" s="1261"/>
      <c r="I2" s="1261"/>
      <c r="J2" s="1261"/>
      <c r="K2" s="1261"/>
      <c r="L2" s="1261"/>
      <c r="M2" s="1261"/>
      <c r="N2" s="1261"/>
      <c r="O2" s="1261"/>
      <c r="P2" s="1261"/>
      <c r="Q2" s="1261"/>
      <c r="R2" s="1261"/>
      <c r="S2" s="1261"/>
      <c r="T2" s="1261"/>
      <c r="U2" s="1261"/>
      <c r="V2" s="1261"/>
      <c r="W2" s="1261"/>
      <c r="X2" s="1261"/>
      <c r="Y2" s="1261"/>
      <c r="Z2" s="1261"/>
      <c r="AA2" s="1261"/>
      <c r="AB2" s="1261"/>
      <c r="AC2" s="1261"/>
      <c r="AD2" s="1261"/>
      <c r="AE2" s="1261"/>
      <c r="AF2" s="1261"/>
      <c r="AG2" s="1261"/>
      <c r="AH2" s="1261"/>
      <c r="AI2" s="1261"/>
      <c r="AJ2" s="1261"/>
      <c r="AK2" s="1261"/>
      <c r="AL2" s="1261"/>
      <c r="AM2" s="1261"/>
      <c r="AN2" s="1261"/>
      <c r="AO2" s="1261"/>
      <c r="AP2" s="1261"/>
      <c r="AQ2" s="1261"/>
      <c r="AR2" s="1261"/>
      <c r="AS2" s="1261"/>
      <c r="AT2" s="1261"/>
      <c r="AU2" s="1261"/>
      <c r="AV2" s="1261"/>
      <c r="AW2" s="1261"/>
      <c r="AX2" s="1261"/>
      <c r="AY2" s="1261"/>
    </row>
    <row r="3" spans="1:51" ht="21.95" customHeight="1">
      <c r="A3" s="1208" t="s">
        <v>395</v>
      </c>
      <c r="B3" s="1208"/>
      <c r="C3" s="1208"/>
      <c r="D3" s="1208"/>
      <c r="E3" s="1208"/>
      <c r="F3" s="1208"/>
      <c r="G3" s="1208"/>
      <c r="H3" s="1208"/>
      <c r="I3" s="1208"/>
      <c r="J3" s="1208"/>
      <c r="K3" s="1208"/>
      <c r="L3" s="1208"/>
      <c r="M3" s="1208"/>
      <c r="N3" s="1208"/>
      <c r="O3" s="1208"/>
      <c r="P3" s="1208"/>
      <c r="Q3" s="1208"/>
      <c r="R3" s="1208"/>
      <c r="S3" s="1208"/>
      <c r="T3" s="1208"/>
      <c r="U3" s="1208"/>
      <c r="V3" s="1208"/>
      <c r="W3" s="1208"/>
      <c r="X3" s="1208"/>
      <c r="Y3" s="1208"/>
      <c r="Z3" s="1208"/>
      <c r="AA3" s="1208"/>
      <c r="AB3" s="1208"/>
      <c r="AC3" s="1208"/>
      <c r="AD3" s="481"/>
      <c r="AF3" s="1208" t="s">
        <v>396</v>
      </c>
      <c r="AG3" s="1208"/>
      <c r="AH3" s="1208"/>
      <c r="AI3" s="1208"/>
      <c r="AJ3" s="1208"/>
      <c r="AK3" s="1208"/>
      <c r="AL3" s="1208"/>
      <c r="AM3" s="1208"/>
      <c r="AN3" s="1208"/>
      <c r="AO3" s="1208"/>
      <c r="AP3" s="1208"/>
      <c r="AQ3" s="1208"/>
      <c r="AR3" s="1208"/>
      <c r="AS3" s="1208"/>
      <c r="AT3" s="1208"/>
      <c r="AU3" s="1208"/>
      <c r="AV3" s="1208"/>
      <c r="AW3" s="1208"/>
      <c r="AX3" s="1208"/>
      <c r="AY3" s="85"/>
    </row>
    <row r="4" spans="1:51" ht="21.95" customHeight="1" thickBot="1">
      <c r="A4" s="1208"/>
      <c r="B4" s="1208"/>
      <c r="C4" s="1208"/>
      <c r="D4" s="1208"/>
      <c r="E4" s="1208"/>
      <c r="F4" s="1208"/>
      <c r="G4" s="1208"/>
      <c r="H4" s="1208"/>
      <c r="I4" s="1208"/>
      <c r="J4" s="1208"/>
      <c r="K4" s="1208"/>
      <c r="L4" s="1208"/>
      <c r="M4" s="1208"/>
      <c r="N4" s="1208"/>
      <c r="O4" s="1208"/>
      <c r="P4" s="1208"/>
      <c r="Q4" s="1208"/>
      <c r="R4" s="1208"/>
      <c r="S4" s="1208"/>
      <c r="T4" s="1208"/>
      <c r="U4" s="1208"/>
      <c r="V4" s="1208"/>
      <c r="W4" s="1208"/>
      <c r="X4" s="1208"/>
      <c r="Y4" s="1208"/>
      <c r="Z4" s="1208"/>
      <c r="AA4" s="1208"/>
      <c r="AB4" s="1208"/>
      <c r="AC4" s="1208"/>
      <c r="AD4" s="481"/>
      <c r="AF4" s="1208"/>
      <c r="AG4" s="1208"/>
      <c r="AH4" s="1208"/>
      <c r="AI4" s="1208"/>
      <c r="AJ4" s="1208"/>
      <c r="AK4" s="1208"/>
      <c r="AL4" s="1208"/>
      <c r="AM4" s="1208"/>
      <c r="AN4" s="1208"/>
      <c r="AO4" s="1208"/>
      <c r="AP4" s="1208"/>
      <c r="AQ4" s="1208"/>
      <c r="AR4" s="1208"/>
      <c r="AS4" s="1208"/>
      <c r="AT4" s="1208"/>
      <c r="AU4" s="1208"/>
      <c r="AV4" s="1208"/>
      <c r="AW4" s="1208"/>
      <c r="AX4" s="1208"/>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81" t="s">
        <v>412</v>
      </c>
      <c r="J6" s="1281"/>
      <c r="K6" s="1281"/>
      <c r="L6" s="1281"/>
      <c r="M6" s="1281"/>
      <c r="Q6" s="1281" t="s">
        <v>413</v>
      </c>
      <c r="R6" s="1281"/>
      <c r="S6" s="1281"/>
      <c r="T6" s="1281"/>
      <c r="U6" s="1281"/>
      <c r="V6" s="1281"/>
      <c r="W6" s="1281"/>
      <c r="AC6" s="190"/>
      <c r="AE6" s="62"/>
      <c r="AF6" s="191"/>
      <c r="AG6" s="67"/>
      <c r="AH6" s="1281" t="s">
        <v>412</v>
      </c>
      <c r="AI6" s="1281"/>
      <c r="AJ6" s="1281"/>
      <c r="AK6" s="1281"/>
      <c r="AL6" s="1281"/>
      <c r="AM6" s="67"/>
      <c r="AN6" s="67"/>
      <c r="AO6" s="67"/>
      <c r="AP6" s="67"/>
      <c r="AQ6" s="67"/>
      <c r="AR6" s="1281" t="s">
        <v>413</v>
      </c>
      <c r="AS6" s="1281"/>
      <c r="AT6" s="1281"/>
      <c r="AU6" s="1281"/>
      <c r="AV6" s="1281"/>
      <c r="AW6" s="1281"/>
      <c r="AX6" s="1281"/>
      <c r="AY6" s="195"/>
    </row>
    <row r="7" spans="1:51" ht="21.95" customHeight="1" thickTop="1">
      <c r="A7" s="189"/>
      <c r="B7" s="67"/>
      <c r="C7" s="68"/>
      <c r="I7" s="1279">
        <f ca="1">⑥非なし!N5</f>
        <v>0</v>
      </c>
      <c r="J7" s="1279"/>
      <c r="K7" s="1279"/>
      <c r="L7" s="1279"/>
      <c r="M7" s="1279"/>
      <c r="R7" s="1273">
        <f ca="1">AR7/54</f>
        <v>0</v>
      </c>
      <c r="S7" s="1274"/>
      <c r="T7" s="1274"/>
      <c r="U7" s="1274"/>
      <c r="V7" s="1275"/>
      <c r="AC7" s="190"/>
      <c r="AE7" s="62"/>
      <c r="AF7" s="191"/>
      <c r="AG7" s="1280">
        <f ca="1">ROUNDDOWN((☆入力!AL14)*(100%-☆入力!AR11)+代理店入力用!D5,0)</f>
        <v>0</v>
      </c>
      <c r="AH7" s="1280"/>
      <c r="AI7" s="1280"/>
      <c r="AJ7" s="1280"/>
      <c r="AK7" s="1280"/>
      <c r="AL7" s="1280"/>
      <c r="AM7" s="1280"/>
      <c r="AN7" s="67"/>
      <c r="AO7" s="67"/>
      <c r="AP7" s="67"/>
      <c r="AQ7" s="67"/>
      <c r="AR7" s="1262">
        <f ca="1">(AG7/(100%-☆入力!AR11))*(100%-☆入力!AR11-☆入力!AR12)</f>
        <v>0</v>
      </c>
      <c r="AS7" s="1263"/>
      <c r="AT7" s="1263"/>
      <c r="AU7" s="1263"/>
      <c r="AV7" s="1263"/>
      <c r="AW7" s="1263"/>
      <c r="AX7" s="1264"/>
      <c r="AY7" s="195"/>
    </row>
    <row r="8" spans="1:51" ht="21.95" customHeight="1" thickBot="1">
      <c r="A8" s="189"/>
      <c r="B8" s="67"/>
      <c r="C8" s="68"/>
      <c r="I8" s="1279"/>
      <c r="J8" s="1279"/>
      <c r="K8" s="1279"/>
      <c r="L8" s="1279"/>
      <c r="M8" s="1279"/>
      <c r="R8" s="1276"/>
      <c r="S8" s="1277"/>
      <c r="T8" s="1277"/>
      <c r="U8" s="1277"/>
      <c r="V8" s="1278"/>
      <c r="W8" s="3" t="s">
        <v>414</v>
      </c>
      <c r="AC8" s="190"/>
      <c r="AE8" s="62"/>
      <c r="AF8" s="191"/>
      <c r="AG8" s="1280"/>
      <c r="AH8" s="1280"/>
      <c r="AI8" s="1280"/>
      <c r="AJ8" s="1280"/>
      <c r="AK8" s="1280"/>
      <c r="AL8" s="1280"/>
      <c r="AM8" s="1280"/>
      <c r="AN8" s="67"/>
      <c r="AO8" s="67"/>
      <c r="AP8" s="67"/>
      <c r="AQ8" s="67"/>
      <c r="AR8" s="1265"/>
      <c r="AS8" s="1266"/>
      <c r="AT8" s="1266"/>
      <c r="AU8" s="1266"/>
      <c r="AV8" s="1266"/>
      <c r="AW8" s="1266"/>
      <c r="AX8" s="1267"/>
      <c r="AY8" s="195"/>
    </row>
    <row r="9" spans="1:51" ht="21.95" customHeight="1" thickTop="1">
      <c r="A9" s="1255" t="s">
        <v>415</v>
      </c>
      <c r="B9" s="1256"/>
      <c r="C9" s="1256"/>
      <c r="D9" s="1256"/>
      <c r="E9" s="1256"/>
      <c r="F9" s="1256"/>
      <c r="G9" s="1256"/>
      <c r="H9" s="1256"/>
      <c r="I9" s="1256"/>
      <c r="J9" s="1256"/>
      <c r="K9" s="1256"/>
      <c r="L9" s="1256"/>
      <c r="M9" s="1268">
        <f ca="1">I7-R7</f>
        <v>0</v>
      </c>
      <c r="N9" s="1269"/>
      <c r="O9" s="1269"/>
      <c r="P9" s="1269"/>
      <c r="Q9" s="1269"/>
      <c r="R9" s="1269"/>
      <c r="S9" s="804" t="s">
        <v>416</v>
      </c>
      <c r="T9" s="804"/>
      <c r="U9" s="804"/>
      <c r="V9" s="804"/>
      <c r="W9" s="804"/>
      <c r="X9" s="804"/>
      <c r="Y9" s="804"/>
      <c r="Z9" s="804"/>
      <c r="AA9" s="804"/>
      <c r="AB9" s="804"/>
      <c r="AC9" s="1257"/>
      <c r="AD9" s="97"/>
      <c r="AE9" s="62"/>
      <c r="AF9" s="1255" t="s">
        <v>417</v>
      </c>
      <c r="AG9" s="1256"/>
      <c r="AH9" s="1256"/>
      <c r="AI9" s="1256"/>
      <c r="AJ9" s="1256"/>
      <c r="AK9" s="1256"/>
      <c r="AL9" s="1256"/>
      <c r="AM9" s="1259">
        <f ca="1">AG7-AR7</f>
        <v>0</v>
      </c>
      <c r="AN9" s="1260"/>
      <c r="AO9" s="1260"/>
      <c r="AP9" s="1260"/>
      <c r="AQ9" s="1260"/>
      <c r="AR9" s="1260"/>
      <c r="AS9" s="804" t="s">
        <v>416</v>
      </c>
      <c r="AT9" s="804"/>
      <c r="AU9" s="804"/>
      <c r="AV9" s="804"/>
      <c r="AW9" s="804"/>
      <c r="AX9" s="804"/>
      <c r="AY9" s="1257"/>
    </row>
    <row r="10" spans="1:51" ht="21.95" customHeight="1">
      <c r="A10" s="1255"/>
      <c r="B10" s="1256"/>
      <c r="C10" s="1256"/>
      <c r="D10" s="1256"/>
      <c r="E10" s="1256"/>
      <c r="F10" s="1256"/>
      <c r="G10" s="1256"/>
      <c r="H10" s="1256"/>
      <c r="I10" s="1256"/>
      <c r="J10" s="1256"/>
      <c r="K10" s="1256"/>
      <c r="L10" s="1256"/>
      <c r="M10" s="1269"/>
      <c r="N10" s="1269"/>
      <c r="O10" s="1269"/>
      <c r="P10" s="1269"/>
      <c r="Q10" s="1269"/>
      <c r="R10" s="1269"/>
      <c r="S10" s="804"/>
      <c r="T10" s="804"/>
      <c r="U10" s="804"/>
      <c r="V10" s="804"/>
      <c r="W10" s="804"/>
      <c r="X10" s="804"/>
      <c r="Y10" s="804"/>
      <c r="Z10" s="804"/>
      <c r="AA10" s="804"/>
      <c r="AB10" s="804"/>
      <c r="AC10" s="1257"/>
      <c r="AD10" s="97"/>
      <c r="AE10" s="62"/>
      <c r="AF10" s="1255"/>
      <c r="AG10" s="1256"/>
      <c r="AH10" s="1256"/>
      <c r="AI10" s="1256"/>
      <c r="AJ10" s="1256"/>
      <c r="AK10" s="1256"/>
      <c r="AL10" s="1256"/>
      <c r="AM10" s="1260"/>
      <c r="AN10" s="1260"/>
      <c r="AO10" s="1260"/>
      <c r="AP10" s="1260"/>
      <c r="AQ10" s="1260"/>
      <c r="AR10" s="1260"/>
      <c r="AS10" s="804"/>
      <c r="AT10" s="804"/>
      <c r="AU10" s="804"/>
      <c r="AV10" s="804"/>
      <c r="AW10" s="804"/>
      <c r="AX10" s="804"/>
      <c r="AY10" s="1257"/>
    </row>
    <row r="11" spans="1:51" ht="21.95" customHeight="1" thickBot="1">
      <c r="A11" s="201"/>
      <c r="B11" s="202"/>
      <c r="C11" s="203"/>
      <c r="D11" s="1258">
        <f ca="1">M9</f>
        <v>0</v>
      </c>
      <c r="E11" s="1258"/>
      <c r="F11" s="1258"/>
      <c r="G11" s="1258"/>
      <c r="H11" s="1258"/>
      <c r="I11" s="1271" t="s">
        <v>418</v>
      </c>
      <c r="J11" s="1271"/>
      <c r="K11" s="1271"/>
      <c r="L11" s="1271"/>
      <c r="M11" s="1270">
        <f ca="1">D11*60</f>
        <v>0</v>
      </c>
      <c r="N11" s="1270"/>
      <c r="O11" s="1270"/>
      <c r="P11" s="1270"/>
      <c r="Q11" s="1270"/>
      <c r="R11" s="1270"/>
      <c r="S11" s="204" t="s">
        <v>419</v>
      </c>
      <c r="T11" s="205"/>
      <c r="U11" s="205"/>
      <c r="V11" s="205"/>
      <c r="W11" s="484"/>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403</v>
      </c>
      <c r="B13" s="9"/>
      <c r="C13" s="9"/>
      <c r="AE13" s="62"/>
      <c r="AF13" s="52" t="s">
        <v>404</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28" t="s">
        <v>405</v>
      </c>
      <c r="B30" s="1228"/>
      <c r="C30" s="1228"/>
      <c r="D30" s="1228"/>
      <c r="E30" s="1228"/>
      <c r="F30" s="1228"/>
      <c r="G30" s="1228"/>
      <c r="H30" s="1228"/>
      <c r="I30" s="1228"/>
      <c r="J30" s="1228"/>
      <c r="K30" s="1228"/>
      <c r="L30" s="1228"/>
      <c r="M30" s="1228"/>
      <c r="N30" s="1228"/>
      <c r="O30" s="1228"/>
      <c r="P30" s="1228"/>
      <c r="Q30" s="1228"/>
      <c r="R30" s="1228"/>
      <c r="S30" s="1228"/>
      <c r="T30" s="1228"/>
      <c r="U30" s="1228"/>
      <c r="V30" s="1228"/>
      <c r="W30" s="1228"/>
      <c r="X30" s="1228"/>
      <c r="Y30" s="1228"/>
      <c r="Z30" s="1228"/>
      <c r="AA30" s="1228"/>
      <c r="AB30" s="1228"/>
      <c r="AC30" s="1228"/>
      <c r="AD30" s="1229"/>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249" t="s">
        <v>382</v>
      </c>
      <c r="AH31" s="1250"/>
      <c r="AI31" s="1250"/>
      <c r="AJ31" s="1250"/>
      <c r="AK31" s="1250"/>
      <c r="AL31" s="1250"/>
      <c r="AM31" s="1250"/>
      <c r="AN31" s="1251"/>
      <c r="AO31" s="6"/>
      <c r="AP31" s="6"/>
      <c r="AQ31" s="1252" t="s">
        <v>406</v>
      </c>
      <c r="AR31" s="1253"/>
      <c r="AS31" s="1253"/>
      <c r="AT31" s="1253"/>
      <c r="AU31" s="1253"/>
      <c r="AV31" s="1253"/>
      <c r="AW31" s="1254"/>
      <c r="AX31" s="13"/>
      <c r="AY31" s="13"/>
    </row>
    <row r="32" spans="1:51" ht="21.95" hidden="1" customHeight="1" thickTop="1" thickBot="1">
      <c r="A32" s="13" t="s">
        <v>407</v>
      </c>
      <c r="V32" s="1241">
        <f ca="1">LED計算式!J36*60</f>
        <v>0</v>
      </c>
      <c r="W32" s="1242"/>
      <c r="X32" s="1242"/>
      <c r="Y32" s="1242"/>
      <c r="Z32" s="1242"/>
      <c r="AA32" s="1242"/>
      <c r="AB32" s="1242"/>
      <c r="AC32" s="1243"/>
      <c r="AD32" s="99"/>
      <c r="AE32" s="62"/>
      <c r="AG32" s="1220">
        <f ca="1">AR7</f>
        <v>0</v>
      </c>
      <c r="AH32" s="1221"/>
      <c r="AI32" s="1221"/>
      <c r="AJ32" s="1221"/>
      <c r="AK32" s="1221"/>
      <c r="AL32" s="1221"/>
      <c r="AM32" s="1221"/>
      <c r="AN32" s="1222"/>
      <c r="AO32" s="1244" t="s">
        <v>384</v>
      </c>
      <c r="AP32" s="1245"/>
      <c r="AQ32" s="897">
        <f>④前後!BA29/120</f>
        <v>0</v>
      </c>
      <c r="AR32" s="898"/>
      <c r="AS32" s="898"/>
      <c r="AT32" s="898"/>
      <c r="AU32" s="898"/>
      <c r="AV32" s="898"/>
      <c r="AW32" s="899"/>
      <c r="AX32" s="13"/>
      <c r="AY32" s="13"/>
    </row>
    <row r="33" spans="1:51" ht="21.95" hidden="1" customHeight="1" thickTop="1" thickBot="1">
      <c r="AE33" s="62"/>
      <c r="AG33" s="1223"/>
      <c r="AH33" s="1224"/>
      <c r="AI33" s="1224"/>
      <c r="AJ33" s="1224"/>
      <c r="AK33" s="1224"/>
      <c r="AL33" s="1224"/>
      <c r="AM33" s="1224"/>
      <c r="AN33" s="1225"/>
      <c r="AO33" s="1244"/>
      <c r="AP33" s="1245"/>
      <c r="AQ33" s="900"/>
      <c r="AR33" s="901"/>
      <c r="AS33" s="901"/>
      <c r="AT33" s="901"/>
      <c r="AU33" s="901"/>
      <c r="AV33" s="901"/>
      <c r="AW33" s="902"/>
      <c r="AX33" s="9"/>
      <c r="AY33" s="9"/>
    </row>
    <row r="34" spans="1:51" ht="21.95" hidden="1" customHeight="1" thickTop="1" thickBot="1">
      <c r="A34" s="13" t="s">
        <v>408</v>
      </c>
      <c r="V34" s="1241">
        <f>LED計算式!K36*60</f>
        <v>0</v>
      </c>
      <c r="W34" s="1242"/>
      <c r="X34" s="1242"/>
      <c r="Y34" s="1242"/>
      <c r="Z34" s="1242"/>
      <c r="AA34" s="1242"/>
      <c r="AB34" s="1242"/>
      <c r="AC34" s="1243"/>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46" t="s">
        <v>385</v>
      </c>
      <c r="AR35" s="1247"/>
      <c r="AS35" s="1247"/>
      <c r="AT35" s="1247"/>
      <c r="AU35" s="1247"/>
      <c r="AV35" s="1247"/>
      <c r="AW35" s="1248"/>
    </row>
    <row r="36" spans="1:51" ht="21.95" customHeight="1" thickTop="1" thickBot="1">
      <c r="A36" s="13" t="s">
        <v>409</v>
      </c>
      <c r="B36" s="16"/>
      <c r="C36" s="16"/>
      <c r="D36" s="13"/>
      <c r="E36" s="89"/>
      <c r="F36" s="89"/>
      <c r="G36" s="89"/>
      <c r="H36" s="89"/>
      <c r="I36" s="89"/>
      <c r="J36" s="89"/>
      <c r="K36" s="89"/>
      <c r="L36" s="89"/>
      <c r="M36" s="89"/>
      <c r="N36" s="89"/>
      <c r="O36" s="89"/>
      <c r="P36" s="89"/>
      <c r="Q36" s="89"/>
      <c r="R36" s="89"/>
      <c r="S36" s="89"/>
      <c r="T36" s="89"/>
      <c r="U36" s="89"/>
      <c r="V36" s="1230">
        <f ca="1">V32+V34</f>
        <v>0</v>
      </c>
      <c r="W36" s="1231"/>
      <c r="X36" s="1231"/>
      <c r="Y36" s="1231"/>
      <c r="Z36" s="1231"/>
      <c r="AA36" s="1231"/>
      <c r="AB36" s="1231"/>
      <c r="AC36" s="1232"/>
      <c r="AD36" s="100"/>
      <c r="AE36" s="62"/>
      <c r="AO36" s="1233"/>
      <c r="AP36" s="1233"/>
      <c r="AQ36" s="1234" t="str">
        <f ca="1">IFERROR((AG32/AQ32)/12,"0")</f>
        <v>0</v>
      </c>
      <c r="AR36" s="1235"/>
      <c r="AS36" s="1235"/>
      <c r="AT36" s="1235"/>
      <c r="AU36" s="1235"/>
      <c r="AV36" s="1235"/>
      <c r="AW36" s="1236"/>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33"/>
      <c r="AP37" s="1233"/>
      <c r="AQ37" s="1237"/>
      <c r="AR37" s="1238"/>
      <c r="AS37" s="1238"/>
      <c r="AT37" s="1238"/>
      <c r="AU37" s="1238"/>
      <c r="AV37" s="1238"/>
      <c r="AW37" s="1239"/>
    </row>
    <row r="38" spans="1:51" ht="21.95" customHeight="1" thickTop="1">
      <c r="AE38" s="62"/>
      <c r="AJ38" s="59"/>
      <c r="AK38" s="59"/>
      <c r="AL38" s="59"/>
      <c r="AM38" s="59"/>
      <c r="AN38" s="59"/>
      <c r="AO38" s="59"/>
      <c r="AP38" s="59"/>
      <c r="AQ38" s="1240" t="str">
        <f ca="1">IFERROR(AG32/AQ32,"0")</f>
        <v>0</v>
      </c>
      <c r="AR38" s="1240"/>
      <c r="AS38" s="1240"/>
      <c r="AT38" s="1240"/>
      <c r="AU38" s="1240"/>
      <c r="AV38" s="1240"/>
      <c r="AW38" s="1240"/>
    </row>
    <row r="39" spans="1:51" ht="21.95" customHeight="1">
      <c r="AI39" s="59"/>
      <c r="AJ39" s="59"/>
      <c r="AK39" s="59"/>
      <c r="AL39" s="59"/>
      <c r="AM39" s="59"/>
      <c r="AN39" s="59"/>
      <c r="AO39" s="59"/>
      <c r="AP39" s="59"/>
      <c r="AQ39" s="59"/>
      <c r="AR39" s="59"/>
      <c r="AS39" s="59"/>
      <c r="AT39" s="59"/>
      <c r="AY39" s="3">
        <v>7</v>
      </c>
    </row>
  </sheetData>
  <mergeCells count="34">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 ref="AQ32:AW33"/>
    <mergeCell ref="V34:AC34"/>
    <mergeCell ref="AQ35:AW35"/>
    <mergeCell ref="AR7:AX8"/>
    <mergeCell ref="A30:AD30"/>
    <mergeCell ref="AG31:AN31"/>
    <mergeCell ref="AQ31:AW31"/>
    <mergeCell ref="M9:R10"/>
    <mergeCell ref="M11:R11"/>
    <mergeCell ref="I11:L11"/>
    <mergeCell ref="AS9:AY10"/>
    <mergeCell ref="A9:L10"/>
    <mergeCell ref="S9:AC10"/>
    <mergeCell ref="D11:H11"/>
    <mergeCell ref="V36:AC36"/>
    <mergeCell ref="AO36:AP37"/>
    <mergeCell ref="AM9:AR10"/>
    <mergeCell ref="AF9:AL10"/>
    <mergeCell ref="AQ36:AW37"/>
  </mergeCells>
  <phoneticPr fontId="2"/>
  <conditionalFormatting sqref="A14:A19">
    <cfRule type="cellIs" dxfId="40" priority="9" operator="equal">
      <formula>0</formula>
    </cfRule>
  </conditionalFormatting>
  <conditionalFormatting sqref="B14:C19 AJ21 AO21:AO22 AV21:AV22 B22:C22 C23">
    <cfRule type="cellIs" dxfId="39" priority="10" operator="equal">
      <formula>0</formula>
    </cfRule>
  </conditionalFormatting>
  <conditionalFormatting sqref="AI14:AY19 AI22">
    <cfRule type="cellIs" dxfId="38" priority="8" operator="equal">
      <formula>0</formula>
    </cfRule>
  </conditionalFormatting>
  <conditionalFormatting sqref="AO31:AQ31 AO32 AQ35:AQ36 AO36">
    <cfRule type="cellIs" dxfId="37" priority="2" operator="equal">
      <formula>0</formula>
    </cfRule>
  </conditionalFormatting>
  <conditionalFormatting sqref="AP18">
    <cfRule type="cellIs" dxfId="36" priority="6" operator="equal">
      <formula>0</formula>
    </cfRule>
  </conditionalFormatting>
  <conditionalFormatting sqref="AP21">
    <cfRule type="cellIs" dxfId="35" priority="4" operator="equal">
      <formula>0</formula>
    </cfRule>
  </conditionalFormatting>
  <conditionalFormatting sqref="AQ12 AW12:AY12">
    <cfRule type="cellIs" dxfId="34" priority="7" operator="equal">
      <formula>0</formula>
    </cfRule>
  </conditionalFormatting>
  <conditionalFormatting sqref="AR11">
    <cfRule type="cellIs" dxfId="33" priority="1" operator="equal">
      <formula>0</formula>
    </cfRule>
  </conditionalFormatting>
  <conditionalFormatting sqref="AW18">
    <cfRule type="cellIs" dxfId="32" priority="5" operator="equal">
      <formula>0</formula>
    </cfRule>
  </conditionalFormatting>
  <conditionalFormatting sqref="AW21">
    <cfRule type="cellIs" dxfId="31" priority="3"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BE35"/>
  <sheetViews>
    <sheetView view="pageBreakPreview" topLeftCell="AE1" zoomScale="50" zoomScaleNormal="85" zoomScaleSheetLayoutView="50" workbookViewId="0">
      <selection activeCell="BK28" sqref="BK28"/>
    </sheetView>
  </sheetViews>
  <sheetFormatPr defaultColWidth="6.625" defaultRowHeight="18.75" customHeight="1"/>
  <cols>
    <col min="1" max="30" width="0" style="3" hidden="1" customWidth="1"/>
    <col min="31" max="16384" width="6.625" style="3"/>
  </cols>
  <sheetData>
    <row r="1" spans="1:57" ht="38.25">
      <c r="A1" s="703"/>
      <c r="B1" s="703"/>
      <c r="C1" s="703"/>
      <c r="D1" s="703"/>
      <c r="E1" s="703"/>
      <c r="F1" s="703"/>
      <c r="G1" s="703"/>
      <c r="H1" s="703"/>
      <c r="I1" s="703"/>
      <c r="J1" s="703"/>
      <c r="K1" s="703"/>
      <c r="L1" s="703"/>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3"/>
      <c r="AP1" s="703"/>
      <c r="AQ1" s="703"/>
      <c r="AR1" s="703"/>
      <c r="AS1" s="703"/>
      <c r="AT1" s="703"/>
      <c r="AU1" s="703"/>
      <c r="AV1" s="703"/>
      <c r="AW1" s="703"/>
      <c r="AX1" s="703"/>
      <c r="AY1" s="703"/>
    </row>
    <row r="2" spans="1:57" ht="21.95" customHeight="1">
      <c r="A2" s="1208" t="s">
        <v>395</v>
      </c>
      <c r="B2" s="1208"/>
      <c r="C2" s="1208"/>
      <c r="D2" s="1208"/>
      <c r="E2" s="1208"/>
      <c r="F2" s="1208"/>
      <c r="G2" s="1208"/>
      <c r="H2" s="1208"/>
      <c r="I2" s="1208"/>
      <c r="J2" s="1208"/>
      <c r="K2" s="1208"/>
      <c r="L2" s="1208"/>
      <c r="M2" s="1208"/>
      <c r="N2" s="1208"/>
      <c r="O2" s="1208"/>
      <c r="P2" s="1208"/>
      <c r="Q2" s="1208"/>
      <c r="R2" s="1208"/>
      <c r="S2" s="1208"/>
      <c r="T2" s="1208"/>
      <c r="U2" s="1208"/>
      <c r="V2" s="1208"/>
      <c r="W2" s="1208"/>
      <c r="X2" s="1208"/>
      <c r="Y2" s="1208"/>
      <c r="Z2" s="1208"/>
      <c r="AA2" s="1208"/>
      <c r="AB2" s="1208"/>
      <c r="AC2" s="1208"/>
      <c r="AD2" s="481"/>
      <c r="AF2" s="1226" t="s">
        <v>396</v>
      </c>
      <c r="AG2" s="1226"/>
      <c r="AH2" s="1226"/>
      <c r="AI2" s="1226"/>
      <c r="AJ2" s="1226"/>
      <c r="AK2" s="1226"/>
      <c r="AL2" s="1226"/>
      <c r="AM2" s="1226"/>
      <c r="AN2" s="1226"/>
      <c r="AO2" s="1226"/>
      <c r="AP2" s="1226"/>
      <c r="AQ2" s="1226"/>
      <c r="AR2" s="1226"/>
      <c r="AS2" s="1226"/>
      <c r="AT2" s="1226"/>
      <c r="AU2" s="1226"/>
      <c r="AV2" s="1226"/>
      <c r="AW2" s="1226"/>
      <c r="AX2" s="1226"/>
      <c r="AY2" s="1226"/>
      <c r="AZ2" s="1226"/>
      <c r="BA2" s="1226"/>
      <c r="BB2" s="1226"/>
      <c r="BC2" s="1226"/>
      <c r="BD2" s="1226"/>
      <c r="BE2" s="1226"/>
    </row>
    <row r="3" spans="1:57" ht="21.95" customHeight="1" thickBot="1">
      <c r="A3" s="1209"/>
      <c r="B3" s="1209"/>
      <c r="C3" s="1209"/>
      <c r="D3" s="1209"/>
      <c r="E3" s="1209"/>
      <c r="F3" s="1209"/>
      <c r="G3" s="1209"/>
      <c r="H3" s="1209"/>
      <c r="I3" s="1209"/>
      <c r="J3" s="1209"/>
      <c r="K3" s="1209"/>
      <c r="L3" s="1209"/>
      <c r="M3" s="1209"/>
      <c r="N3" s="1209"/>
      <c r="O3" s="1209"/>
      <c r="P3" s="1209"/>
      <c r="Q3" s="1209"/>
      <c r="R3" s="1209"/>
      <c r="S3" s="1209"/>
      <c r="T3" s="1209"/>
      <c r="U3" s="1209"/>
      <c r="V3" s="1209"/>
      <c r="W3" s="1209"/>
      <c r="X3" s="1209"/>
      <c r="Y3" s="1209"/>
      <c r="Z3" s="1209"/>
      <c r="AA3" s="1209"/>
      <c r="AB3" s="1209"/>
      <c r="AC3" s="1209"/>
      <c r="AD3" s="481"/>
      <c r="AF3" s="1227"/>
      <c r="AG3" s="1227"/>
      <c r="AH3" s="1227"/>
      <c r="AI3" s="1227"/>
      <c r="AJ3" s="1227"/>
      <c r="AK3" s="1227"/>
      <c r="AL3" s="1227"/>
      <c r="AM3" s="1227"/>
      <c r="AN3" s="1227"/>
      <c r="AO3" s="1227"/>
      <c r="AP3" s="1227"/>
      <c r="AQ3" s="1227"/>
      <c r="AR3" s="1227"/>
      <c r="AS3" s="1227"/>
      <c r="AT3" s="1227"/>
      <c r="AU3" s="1227"/>
      <c r="AV3" s="1227"/>
      <c r="AW3" s="1227"/>
      <c r="AX3" s="1227"/>
      <c r="AY3" s="1227"/>
      <c r="AZ3" s="1227"/>
      <c r="BA3" s="1227"/>
      <c r="BB3" s="1227"/>
      <c r="BC3" s="1227"/>
      <c r="BD3" s="1227"/>
      <c r="BE3" s="1227"/>
    </row>
    <row r="4" spans="1:57"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7" ht="21.95" customHeight="1" thickTop="1">
      <c r="A5" s="1210" t="s">
        <v>397</v>
      </c>
      <c r="B5" s="1210"/>
      <c r="C5" s="1210"/>
      <c r="D5" s="1210"/>
      <c r="E5" s="1210"/>
      <c r="F5" s="1210"/>
      <c r="G5" s="1210"/>
      <c r="H5" s="1210"/>
      <c r="I5" s="1210"/>
      <c r="J5" s="1210"/>
      <c r="K5" s="1210"/>
      <c r="L5" s="1210"/>
      <c r="M5" s="1210"/>
      <c r="N5" s="1211">
        <f ca="1">ROUNDDOWN((☆入力!AK14)*(100%-☆入力!AR11)+(代理店入力用!D5/54),0)</f>
        <v>0</v>
      </c>
      <c r="O5" s="1212"/>
      <c r="P5" s="1212"/>
      <c r="Q5" s="1212"/>
      <c r="R5" s="1213"/>
      <c r="S5" s="1217" t="s">
        <v>398</v>
      </c>
      <c r="T5" s="1217"/>
      <c r="U5" s="1218">
        <v>60</v>
      </c>
      <c r="V5" s="1218"/>
      <c r="W5" s="1218"/>
      <c r="X5" s="1218"/>
      <c r="Y5" s="1217" t="s">
        <v>386</v>
      </c>
      <c r="Z5" s="1219">
        <f ca="1">N5*U5</f>
        <v>0</v>
      </c>
      <c r="AA5" s="1219"/>
      <c r="AB5" s="1219"/>
      <c r="AC5" s="1219"/>
      <c r="AD5" s="97"/>
      <c r="AE5" s="62"/>
      <c r="AF5" s="1210" t="s">
        <v>399</v>
      </c>
      <c r="AG5" s="1210"/>
      <c r="AH5" s="1210"/>
      <c r="AI5" s="1210"/>
      <c r="AJ5" s="1210"/>
      <c r="AK5" s="1210"/>
      <c r="AL5" s="1210"/>
      <c r="AM5" s="1220">
        <f ca="1">ROUNDDOWN((☆入力!AL14)*(100%-☆入力!AR11)+代理店入力用!D5,0)</f>
        <v>0</v>
      </c>
      <c r="AN5" s="1221"/>
      <c r="AO5" s="1221"/>
      <c r="AP5" s="1221"/>
      <c r="AQ5" s="1221"/>
      <c r="AR5" s="1221"/>
      <c r="AS5" s="1222"/>
      <c r="AY5" s="84"/>
    </row>
    <row r="6" spans="1:57" ht="21.95" customHeight="1" thickBot="1">
      <c r="A6" s="1210"/>
      <c r="B6" s="1210"/>
      <c r="C6" s="1210"/>
      <c r="D6" s="1210"/>
      <c r="E6" s="1210"/>
      <c r="F6" s="1210"/>
      <c r="G6" s="1210"/>
      <c r="H6" s="1210"/>
      <c r="I6" s="1210"/>
      <c r="J6" s="1210"/>
      <c r="K6" s="1210"/>
      <c r="L6" s="1210"/>
      <c r="M6" s="1210"/>
      <c r="N6" s="1214"/>
      <c r="O6" s="1215"/>
      <c r="P6" s="1215"/>
      <c r="Q6" s="1215"/>
      <c r="R6" s="1216"/>
      <c r="S6" s="1217"/>
      <c r="T6" s="1217"/>
      <c r="U6" s="1218"/>
      <c r="V6" s="1218"/>
      <c r="W6" s="1218"/>
      <c r="X6" s="1218"/>
      <c r="Y6" s="1217"/>
      <c r="Z6" s="1219"/>
      <c r="AA6" s="1219"/>
      <c r="AB6" s="1219"/>
      <c r="AC6" s="1219"/>
      <c r="AD6" s="97"/>
      <c r="AE6" s="62"/>
      <c r="AF6" s="1210"/>
      <c r="AG6" s="1210"/>
      <c r="AH6" s="1210"/>
      <c r="AI6" s="1210"/>
      <c r="AJ6" s="1210"/>
      <c r="AK6" s="1210"/>
      <c r="AL6" s="1210"/>
      <c r="AM6" s="1223"/>
      <c r="AN6" s="1224"/>
      <c r="AO6" s="1224"/>
      <c r="AP6" s="1224"/>
      <c r="AQ6" s="1224"/>
      <c r="AR6" s="1224"/>
      <c r="AS6" s="1225"/>
      <c r="AY6" s="84"/>
    </row>
    <row r="7" spans="1:57" ht="21.95" customHeight="1" thickTop="1">
      <c r="B7" s="87" t="s">
        <v>400</v>
      </c>
      <c r="F7" s="14"/>
      <c r="G7" s="14"/>
      <c r="H7" s="14"/>
      <c r="I7" s="14"/>
      <c r="J7" s="14"/>
      <c r="K7" s="14"/>
      <c r="L7" s="14"/>
      <c r="M7" s="14"/>
      <c r="N7" s="1205" t="s">
        <v>401</v>
      </c>
      <c r="O7" s="1205"/>
      <c r="P7" s="1205"/>
      <c r="Q7" s="1205"/>
      <c r="R7" s="1205"/>
      <c r="S7" s="73"/>
      <c r="T7" s="82"/>
      <c r="U7" s="82"/>
      <c r="V7" s="82"/>
      <c r="W7" s="482"/>
      <c r="Z7" s="1206" t="s">
        <v>402</v>
      </c>
      <c r="AA7" s="1206"/>
      <c r="AB7" s="1206"/>
      <c r="AC7" s="1206"/>
      <c r="AD7" s="98"/>
      <c r="AE7" s="62"/>
      <c r="AF7" s="104"/>
      <c r="AG7" s="87" t="s">
        <v>400</v>
      </c>
      <c r="AI7" s="104"/>
      <c r="AJ7" s="104"/>
      <c r="AK7" s="104"/>
      <c r="AL7" s="104"/>
      <c r="AM7" s="1207" t="s">
        <v>401</v>
      </c>
      <c r="AN7" s="1207"/>
      <c r="AO7" s="1207"/>
      <c r="AP7" s="1207"/>
      <c r="AQ7" s="1207"/>
      <c r="AR7" s="1207"/>
      <c r="AS7" s="1207"/>
      <c r="AY7" s="7"/>
    </row>
    <row r="8" spans="1:57" ht="21.95" customHeight="1">
      <c r="AE8" s="62"/>
      <c r="AG8" s="10"/>
      <c r="AH8" s="10"/>
      <c r="AI8" s="8"/>
      <c r="AJ8" s="8"/>
      <c r="AK8" s="8"/>
      <c r="AL8" s="8"/>
      <c r="AM8" s="8"/>
      <c r="AN8" s="8"/>
      <c r="AO8" s="8"/>
      <c r="AP8" s="8"/>
      <c r="AQ8" s="6"/>
      <c r="AR8" s="6"/>
      <c r="AS8" s="6"/>
      <c r="AT8" s="6"/>
      <c r="AU8" s="6"/>
      <c r="AV8" s="6"/>
      <c r="AW8" s="7"/>
      <c r="AX8" s="7"/>
      <c r="AY8" s="7"/>
    </row>
    <row r="9" spans="1:57" ht="21.95" customHeight="1">
      <c r="A9" s="52" t="s">
        <v>403</v>
      </c>
      <c r="B9" s="9"/>
      <c r="C9" s="9"/>
      <c r="AE9" s="62"/>
      <c r="AF9" s="52" t="s">
        <v>404</v>
      </c>
      <c r="AG9" s="10"/>
      <c r="AH9" s="10"/>
      <c r="AI9" s="8"/>
      <c r="AJ9" s="8"/>
      <c r="AK9" s="8"/>
      <c r="AL9" s="8"/>
      <c r="AM9" s="8"/>
      <c r="AN9" s="8"/>
      <c r="AO9" s="8"/>
      <c r="AP9" s="8"/>
      <c r="AQ9" s="8"/>
      <c r="AR9" s="8"/>
      <c r="AS9" s="8"/>
      <c r="AT9" s="8"/>
      <c r="AU9" s="9"/>
      <c r="AV9" s="9"/>
      <c r="AW9" s="9"/>
      <c r="AX9" s="9"/>
      <c r="AY9" s="9"/>
    </row>
    <row r="10" spans="1:57" ht="21.95"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7"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7"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7"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7"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7"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7" ht="21.95" customHeight="1">
      <c r="B16" s="6"/>
      <c r="C16" s="6"/>
      <c r="AE16" s="62"/>
      <c r="AI16" s="59"/>
      <c r="AJ16" s="59"/>
      <c r="AK16" s="59"/>
      <c r="AL16" s="59"/>
      <c r="AM16" s="59"/>
      <c r="AN16" s="59"/>
      <c r="AO16" s="59"/>
      <c r="AP16" s="59"/>
      <c r="AQ16" s="59"/>
      <c r="AR16" s="59"/>
      <c r="AS16" s="59"/>
      <c r="AT16" s="59"/>
    </row>
    <row r="17" spans="1:57"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7"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7" s="18" customFormat="1" ht="21.95" customHeight="1">
      <c r="C19" s="19"/>
      <c r="U19" s="72"/>
      <c r="V19" s="72"/>
      <c r="W19" s="72"/>
      <c r="X19" s="72"/>
      <c r="Y19" s="72"/>
      <c r="Z19" s="72"/>
      <c r="AE19" s="86"/>
    </row>
    <row r="20" spans="1:57" s="18" customFormat="1" ht="21.95" customHeight="1">
      <c r="C20" s="19"/>
      <c r="U20" s="72"/>
      <c r="V20" s="72"/>
      <c r="W20" s="72"/>
      <c r="X20" s="72"/>
      <c r="Y20" s="72"/>
      <c r="Z20" s="72"/>
      <c r="AE20" s="86"/>
    </row>
    <row r="21" spans="1:57" s="18" customFormat="1" ht="21.95" customHeight="1">
      <c r="C21" s="19"/>
      <c r="T21" s="72"/>
      <c r="U21" s="72"/>
      <c r="V21" s="72"/>
      <c r="W21" s="72"/>
      <c r="X21" s="72"/>
      <c r="Y21" s="72"/>
      <c r="Z21" s="72"/>
      <c r="AE21" s="86"/>
    </row>
    <row r="22" spans="1:57"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7"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7"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7" ht="21.95" customHeight="1">
      <c r="A25" s="7"/>
      <c r="B25" s="7"/>
      <c r="C25" s="7"/>
      <c r="AE25" s="62"/>
      <c r="AI25" s="6"/>
      <c r="AJ25" s="6"/>
      <c r="AK25" s="6"/>
      <c r="AL25" s="6"/>
      <c r="AM25" s="6"/>
      <c r="AN25" s="6"/>
      <c r="AO25" s="6"/>
      <c r="AP25" s="6"/>
      <c r="AQ25" s="6"/>
      <c r="AR25" s="6"/>
      <c r="AS25" s="6"/>
      <c r="AT25" s="6"/>
      <c r="AU25" s="7"/>
      <c r="AV25" s="7"/>
      <c r="AW25" s="7"/>
      <c r="AX25" s="7"/>
      <c r="AY25" s="7"/>
    </row>
    <row r="26" spans="1:57" ht="21.95" customHeight="1" thickBot="1">
      <c r="A26" s="1228" t="s">
        <v>405</v>
      </c>
      <c r="B26" s="1228"/>
      <c r="C26" s="1228"/>
      <c r="D26" s="1228"/>
      <c r="E26" s="1228"/>
      <c r="F26" s="1228"/>
      <c r="G26" s="1228"/>
      <c r="H26" s="1228"/>
      <c r="I26" s="1228"/>
      <c r="J26" s="1228"/>
      <c r="K26" s="1228"/>
      <c r="L26" s="1228"/>
      <c r="M26" s="1228"/>
      <c r="N26" s="1228"/>
      <c r="O26" s="1228"/>
      <c r="P26" s="1228"/>
      <c r="Q26" s="1228"/>
      <c r="R26" s="1228"/>
      <c r="S26" s="1228"/>
      <c r="T26" s="1228"/>
      <c r="U26" s="1228"/>
      <c r="V26" s="1228"/>
      <c r="W26" s="1228"/>
      <c r="X26" s="1228"/>
      <c r="Y26" s="1228"/>
      <c r="Z26" s="1228"/>
      <c r="AA26" s="1228"/>
      <c r="AB26" s="1228"/>
      <c r="AC26" s="1228"/>
      <c r="AD26" s="1229"/>
      <c r="AE26" s="62"/>
      <c r="AN26" s="13"/>
      <c r="AO26" s="13"/>
      <c r="AP26" s="13"/>
      <c r="AQ26" s="13"/>
      <c r="AR26" s="13"/>
      <c r="AS26" s="13"/>
      <c r="AT26" s="13"/>
      <c r="AU26" s="13"/>
      <c r="AV26" s="13"/>
      <c r="AW26" s="13"/>
      <c r="AX26" s="13"/>
      <c r="AY26" s="13"/>
    </row>
    <row r="27" spans="1:57"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F27" s="1249" t="s">
        <v>382</v>
      </c>
      <c r="AG27" s="1250"/>
      <c r="AH27" s="1250"/>
      <c r="AI27" s="1250"/>
      <c r="AJ27" s="1250"/>
      <c r="AK27" s="1250"/>
      <c r="AL27" s="1250"/>
      <c r="AM27" s="1251"/>
      <c r="AN27" s="6"/>
      <c r="AO27" s="6"/>
      <c r="AP27" s="1252" t="s">
        <v>406</v>
      </c>
      <c r="AQ27" s="1253"/>
      <c r="AR27" s="1253"/>
      <c r="AS27" s="1253"/>
      <c r="AT27" s="1253"/>
      <c r="AU27" s="1253"/>
      <c r="AV27" s="1254"/>
      <c r="AY27" s="1246" t="s">
        <v>385</v>
      </c>
      <c r="AZ27" s="1247"/>
      <c r="BA27" s="1247"/>
      <c r="BB27" s="1247"/>
      <c r="BC27" s="1247"/>
      <c r="BD27" s="1247"/>
      <c r="BE27" s="1248"/>
    </row>
    <row r="28" spans="1:57" ht="21.95" customHeight="1" thickTop="1" thickBot="1">
      <c r="A28" s="13" t="s">
        <v>407</v>
      </c>
      <c r="V28" s="1241">
        <f ca="1">LED計算式!J23*60</f>
        <v>0</v>
      </c>
      <c r="W28" s="1242"/>
      <c r="X28" s="1242"/>
      <c r="Y28" s="1242"/>
      <c r="Z28" s="1242"/>
      <c r="AA28" s="1242"/>
      <c r="AB28" s="1242"/>
      <c r="AC28" s="1243"/>
      <c r="AD28" s="99"/>
      <c r="AE28" s="62"/>
      <c r="AF28" s="1220">
        <f ca="1">AM5</f>
        <v>0</v>
      </c>
      <c r="AG28" s="1221"/>
      <c r="AH28" s="1221"/>
      <c r="AI28" s="1221"/>
      <c r="AJ28" s="1221"/>
      <c r="AK28" s="1221"/>
      <c r="AL28" s="1221"/>
      <c r="AM28" s="1222"/>
      <c r="AN28" s="1244" t="s">
        <v>384</v>
      </c>
      <c r="AO28" s="1245"/>
      <c r="AP28" s="897">
        <f>④前後!BA29/120</f>
        <v>0</v>
      </c>
      <c r="AQ28" s="898"/>
      <c r="AR28" s="898"/>
      <c r="AS28" s="898"/>
      <c r="AT28" s="898"/>
      <c r="AU28" s="898"/>
      <c r="AV28" s="899"/>
      <c r="AW28" s="1233" t="s">
        <v>307</v>
      </c>
      <c r="AX28" s="1233"/>
      <c r="AY28" s="1234" t="str">
        <f ca="1">IFERROR((AF28/AP28)/12,"0")</f>
        <v>0</v>
      </c>
      <c r="AZ28" s="1235"/>
      <c r="BA28" s="1235"/>
      <c r="BB28" s="1235"/>
      <c r="BC28" s="1235"/>
      <c r="BD28" s="1235"/>
      <c r="BE28" s="1236"/>
    </row>
    <row r="29" spans="1:57" ht="21.95" customHeight="1" thickTop="1" thickBot="1">
      <c r="AE29" s="62"/>
      <c r="AF29" s="1223"/>
      <c r="AG29" s="1224"/>
      <c r="AH29" s="1224"/>
      <c r="AI29" s="1224"/>
      <c r="AJ29" s="1224"/>
      <c r="AK29" s="1224"/>
      <c r="AL29" s="1224"/>
      <c r="AM29" s="1225"/>
      <c r="AN29" s="1244"/>
      <c r="AO29" s="1245"/>
      <c r="AP29" s="900"/>
      <c r="AQ29" s="901"/>
      <c r="AR29" s="901"/>
      <c r="AS29" s="901"/>
      <c r="AT29" s="901"/>
      <c r="AU29" s="901"/>
      <c r="AV29" s="902"/>
      <c r="AW29" s="1233"/>
      <c r="AX29" s="1233"/>
      <c r="AY29" s="1237"/>
      <c r="AZ29" s="1238"/>
      <c r="BA29" s="1238"/>
      <c r="BB29" s="1238"/>
      <c r="BC29" s="1238"/>
      <c r="BD29" s="1238"/>
      <c r="BE29" s="1239"/>
    </row>
    <row r="30" spans="1:57" ht="21.95" customHeight="1" thickTop="1" thickBot="1">
      <c r="A30" s="13" t="s">
        <v>408</v>
      </c>
      <c r="V30" s="1241">
        <f>LED計算式!K23*60</f>
        <v>0</v>
      </c>
      <c r="W30" s="1242"/>
      <c r="X30" s="1242"/>
      <c r="Y30" s="1242"/>
      <c r="Z30" s="1242"/>
      <c r="AA30" s="1242"/>
      <c r="AB30" s="1242"/>
      <c r="AC30" s="1243"/>
      <c r="AD30" s="99"/>
      <c r="AE30" s="62"/>
      <c r="AW30" s="59"/>
      <c r="AX30" s="59"/>
      <c r="AY30" s="1240" t="str">
        <f ca="1">IFERROR(AF28/AP28,"0")</f>
        <v>0</v>
      </c>
      <c r="AZ30" s="1240"/>
      <c r="BA30" s="1240"/>
      <c r="BB30" s="1240"/>
      <c r="BC30" s="1240"/>
      <c r="BD30" s="1240"/>
      <c r="BE30" s="1240"/>
    </row>
    <row r="31" spans="1:57"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row>
    <row r="32" spans="1:57" ht="21.95" customHeight="1" thickTop="1" thickBot="1">
      <c r="A32" s="13" t="s">
        <v>409</v>
      </c>
      <c r="B32" s="16"/>
      <c r="C32" s="16"/>
      <c r="D32" s="13"/>
      <c r="E32" s="89"/>
      <c r="F32" s="89"/>
      <c r="G32" s="89"/>
      <c r="H32" s="89"/>
      <c r="I32" s="89"/>
      <c r="J32" s="89"/>
      <c r="K32" s="89"/>
      <c r="L32" s="89"/>
      <c r="M32" s="89"/>
      <c r="N32" s="89"/>
      <c r="O32" s="89"/>
      <c r="P32" s="89"/>
      <c r="Q32" s="89"/>
      <c r="R32" s="89"/>
      <c r="S32" s="89"/>
      <c r="T32" s="89"/>
      <c r="U32" s="89"/>
      <c r="V32" s="1230">
        <f ca="1">V28+V30</f>
        <v>0</v>
      </c>
      <c r="W32" s="1231"/>
      <c r="X32" s="1231"/>
      <c r="Y32" s="1231"/>
      <c r="Z32" s="1231"/>
      <c r="AA32" s="1231"/>
      <c r="AB32" s="1231"/>
      <c r="AC32" s="1232"/>
      <c r="AD32" s="100"/>
      <c r="AE32" s="62"/>
    </row>
    <row r="33" spans="2:51" ht="21.95" customHeight="1" thickTop="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row>
    <row r="34" spans="2:51" ht="21.95" customHeight="1">
      <c r="AJ34" s="59"/>
      <c r="AK34" s="59"/>
      <c r="AL34" s="59"/>
      <c r="AM34" s="59"/>
      <c r="AN34" s="59"/>
      <c r="AY34" s="3">
        <v>6</v>
      </c>
    </row>
    <row r="35" spans="2:51" ht="21.95" customHeight="1">
      <c r="AI35" s="59"/>
      <c r="AJ35" s="59"/>
      <c r="AK35" s="59"/>
      <c r="AL35" s="59"/>
      <c r="AM35" s="59"/>
      <c r="AN35" s="59"/>
      <c r="AO35" s="59"/>
      <c r="AP35" s="59"/>
      <c r="AQ35" s="59"/>
      <c r="AR35" s="59"/>
      <c r="AS35" s="59"/>
      <c r="AT35" s="59"/>
    </row>
  </sheetData>
  <mergeCells count="26">
    <mergeCell ref="V32:AC32"/>
    <mergeCell ref="S5:T6"/>
    <mergeCell ref="AF28:AM29"/>
    <mergeCell ref="AP28:AV29"/>
    <mergeCell ref="AN28:AO29"/>
    <mergeCell ref="AF5:AL6"/>
    <mergeCell ref="AF27:AM27"/>
    <mergeCell ref="AP27:AV27"/>
    <mergeCell ref="U5:X6"/>
    <mergeCell ref="Z5:AC6"/>
    <mergeCell ref="Y5:Y6"/>
    <mergeCell ref="Z7:AC7"/>
    <mergeCell ref="A26:AD26"/>
    <mergeCell ref="AM7:AS7"/>
    <mergeCell ref="AM5:AS6"/>
    <mergeCell ref="AF2:BE3"/>
    <mergeCell ref="AY30:BE30"/>
    <mergeCell ref="AY27:BE27"/>
    <mergeCell ref="V28:AC28"/>
    <mergeCell ref="V30:AC30"/>
    <mergeCell ref="AW28:AX29"/>
    <mergeCell ref="AY28:BE29"/>
    <mergeCell ref="A2:AC3"/>
    <mergeCell ref="A5:M6"/>
    <mergeCell ref="N5:R6"/>
    <mergeCell ref="N7:R7"/>
  </mergeCells>
  <phoneticPr fontId="2"/>
  <conditionalFormatting sqref="A10:A15">
    <cfRule type="cellIs" dxfId="30" priority="43" operator="equal">
      <formula>0</formula>
    </cfRule>
  </conditionalFormatting>
  <conditionalFormatting sqref="B10:C15 AJ17 AO17:AO18 AV17:AV18 B18:C18 C19">
    <cfRule type="cellIs" dxfId="29" priority="44" operator="equal">
      <formula>0</formula>
    </cfRule>
  </conditionalFormatting>
  <conditionalFormatting sqref="AI10:AY15 AI18">
    <cfRule type="cellIs" dxfId="28" priority="42" operator="equal">
      <formula>0</formula>
    </cfRule>
  </conditionalFormatting>
  <conditionalFormatting sqref="AM7">
    <cfRule type="cellIs" dxfId="27" priority="1" operator="equal">
      <formula>0</formula>
    </cfRule>
  </conditionalFormatting>
  <conditionalFormatting sqref="AN27:AP27 AY27:AY28 AN28 AW28">
    <cfRule type="cellIs" dxfId="26" priority="35" operator="equal">
      <formula>0</formula>
    </cfRule>
  </conditionalFormatting>
  <conditionalFormatting sqref="AP14">
    <cfRule type="cellIs" dxfId="25" priority="39" operator="equal">
      <formula>0</formula>
    </cfRule>
  </conditionalFormatting>
  <conditionalFormatting sqref="AP17">
    <cfRule type="cellIs" dxfId="24" priority="37" operator="equal">
      <formula>0</formula>
    </cfRule>
  </conditionalFormatting>
  <conditionalFormatting sqref="AQ8 AW8:AY8">
    <cfRule type="cellIs" dxfId="23" priority="41" operator="equal">
      <formula>0</formula>
    </cfRule>
  </conditionalFormatting>
  <conditionalFormatting sqref="AW14">
    <cfRule type="cellIs" dxfId="22" priority="38" operator="equal">
      <formula>0</formula>
    </cfRule>
  </conditionalFormatting>
  <conditionalFormatting sqref="AW17">
    <cfRule type="cellIs" dxfId="21"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AJ13" sqref="AJ13"/>
    </sheetView>
  </sheetViews>
  <sheetFormatPr defaultColWidth="3.625" defaultRowHeight="18.75" customHeight="1"/>
  <cols>
    <col min="1" max="1" width="3.625" style="3"/>
    <col min="2" max="2" width="3.625" style="3" customWidth="1"/>
    <col min="3" max="4" width="3.625" style="3"/>
    <col min="5" max="6" width="3.625" style="3" customWidth="1"/>
    <col min="7" max="16384" width="3.625" style="3"/>
  </cols>
  <sheetData>
    <row r="1" spans="1:51" ht="38.25">
      <c r="A1" s="1272" t="s">
        <v>410</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1272"/>
      <c r="AE1" s="1272"/>
      <c r="AF1" s="1272"/>
      <c r="AG1" s="1272"/>
      <c r="AH1" s="1272"/>
      <c r="AI1" s="1272"/>
      <c r="AJ1" s="1272"/>
      <c r="AK1" s="1272"/>
      <c r="AL1" s="1272"/>
      <c r="AM1" s="1272"/>
      <c r="AN1" s="1272"/>
      <c r="AO1" s="1272"/>
      <c r="AP1" s="1272"/>
      <c r="AQ1" s="1272"/>
      <c r="AR1" s="1272"/>
      <c r="AS1" s="1272"/>
      <c r="AT1" s="1272"/>
      <c r="AU1" s="1272"/>
      <c r="AV1" s="1272"/>
      <c r="AW1" s="1272"/>
      <c r="AX1" s="1272"/>
      <c r="AY1" s="1272"/>
    </row>
    <row r="2" spans="1:51" ht="22.5">
      <c r="A2" s="1261" t="s">
        <v>411</v>
      </c>
      <c r="B2" s="1261"/>
      <c r="C2" s="1261"/>
      <c r="D2" s="1261"/>
      <c r="E2" s="1261"/>
      <c r="F2" s="1261"/>
      <c r="G2" s="1261"/>
      <c r="H2" s="1261"/>
      <c r="I2" s="1261"/>
      <c r="J2" s="1261"/>
      <c r="K2" s="1261"/>
      <c r="L2" s="1261"/>
      <c r="M2" s="1261"/>
      <c r="N2" s="1261"/>
      <c r="O2" s="1261"/>
      <c r="P2" s="1261"/>
      <c r="Q2" s="1261"/>
      <c r="R2" s="1261"/>
      <c r="S2" s="1261"/>
      <c r="T2" s="1261"/>
      <c r="U2" s="1261"/>
      <c r="V2" s="1261"/>
      <c r="W2" s="1261"/>
      <c r="X2" s="1261"/>
      <c r="Y2" s="1261"/>
      <c r="Z2" s="1261"/>
      <c r="AA2" s="1261"/>
      <c r="AB2" s="1261"/>
      <c r="AC2" s="1261"/>
      <c r="AD2" s="1261"/>
      <c r="AE2" s="1261"/>
      <c r="AF2" s="1261"/>
      <c r="AG2" s="1261"/>
      <c r="AH2" s="1261"/>
      <c r="AI2" s="1261"/>
      <c r="AJ2" s="1261"/>
      <c r="AK2" s="1261"/>
      <c r="AL2" s="1261"/>
      <c r="AM2" s="1261"/>
      <c r="AN2" s="1261"/>
      <c r="AO2" s="1261"/>
      <c r="AP2" s="1261"/>
      <c r="AQ2" s="1261"/>
      <c r="AR2" s="1261"/>
      <c r="AS2" s="1261"/>
      <c r="AT2" s="1261"/>
      <c r="AU2" s="1261"/>
      <c r="AV2" s="1261"/>
      <c r="AW2" s="1261"/>
      <c r="AX2" s="1261"/>
      <c r="AY2" s="1261"/>
    </row>
    <row r="3" spans="1:51" ht="21.95" customHeight="1">
      <c r="A3" s="1208" t="s">
        <v>395</v>
      </c>
      <c r="B3" s="1208"/>
      <c r="C3" s="1208"/>
      <c r="D3" s="1208"/>
      <c r="E3" s="1208"/>
      <c r="F3" s="1208"/>
      <c r="G3" s="1208"/>
      <c r="H3" s="1208"/>
      <c r="I3" s="1208"/>
      <c r="J3" s="1208"/>
      <c r="K3" s="1208"/>
      <c r="L3" s="1208"/>
      <c r="M3" s="1208"/>
      <c r="N3" s="1208"/>
      <c r="O3" s="1208"/>
      <c r="P3" s="1208"/>
      <c r="Q3" s="1208"/>
      <c r="R3" s="1208"/>
      <c r="S3" s="1208"/>
      <c r="T3" s="1208"/>
      <c r="U3" s="1208"/>
      <c r="V3" s="1208"/>
      <c r="W3" s="1208"/>
      <c r="X3" s="1208"/>
      <c r="Y3" s="1208"/>
      <c r="Z3" s="1208"/>
      <c r="AA3" s="1208"/>
      <c r="AB3" s="1208"/>
      <c r="AC3" s="1208"/>
      <c r="AD3" s="481"/>
      <c r="AF3" s="1208" t="s">
        <v>396</v>
      </c>
      <c r="AG3" s="1208"/>
      <c r="AH3" s="1208"/>
      <c r="AI3" s="1208"/>
      <c r="AJ3" s="1208"/>
      <c r="AK3" s="1208"/>
      <c r="AL3" s="1208"/>
      <c r="AM3" s="1208"/>
      <c r="AN3" s="1208"/>
      <c r="AO3" s="1208"/>
      <c r="AP3" s="1208"/>
      <c r="AQ3" s="1208"/>
      <c r="AR3" s="1208"/>
      <c r="AS3" s="1208"/>
      <c r="AT3" s="1208"/>
      <c r="AU3" s="1208"/>
      <c r="AV3" s="1208"/>
      <c r="AW3" s="1208"/>
      <c r="AX3" s="1208"/>
      <c r="AY3" s="85"/>
    </row>
    <row r="4" spans="1:51" ht="21.95" customHeight="1" thickBot="1">
      <c r="A4" s="1282"/>
      <c r="B4" s="1282"/>
      <c r="C4" s="1282"/>
      <c r="D4" s="1282"/>
      <c r="E4" s="1282"/>
      <c r="F4" s="1282"/>
      <c r="G4" s="1282"/>
      <c r="H4" s="1282"/>
      <c r="I4" s="1282"/>
      <c r="J4" s="1282"/>
      <c r="K4" s="1282"/>
      <c r="L4" s="1282"/>
      <c r="M4" s="1282"/>
      <c r="N4" s="1282"/>
      <c r="O4" s="1282"/>
      <c r="P4" s="1282"/>
      <c r="Q4" s="1282"/>
      <c r="R4" s="1282"/>
      <c r="S4" s="1282"/>
      <c r="T4" s="1282"/>
      <c r="U4" s="1282"/>
      <c r="V4" s="1282"/>
      <c r="W4" s="1282"/>
      <c r="X4" s="1282"/>
      <c r="Y4" s="1282"/>
      <c r="Z4" s="1282"/>
      <c r="AA4" s="1282"/>
      <c r="AB4" s="1282"/>
      <c r="AC4" s="1282"/>
      <c r="AD4" s="481"/>
      <c r="AF4" s="1282"/>
      <c r="AG4" s="1282"/>
      <c r="AH4" s="1282"/>
      <c r="AI4" s="1282"/>
      <c r="AJ4" s="1282"/>
      <c r="AK4" s="1282"/>
      <c r="AL4" s="1282"/>
      <c r="AM4" s="1282"/>
      <c r="AN4" s="1282"/>
      <c r="AO4" s="1282"/>
      <c r="AP4" s="1282"/>
      <c r="AQ4" s="1282"/>
      <c r="AR4" s="1282"/>
      <c r="AS4" s="1282"/>
      <c r="AT4" s="1282"/>
      <c r="AU4" s="1282"/>
      <c r="AV4" s="1282"/>
      <c r="AW4" s="1282"/>
      <c r="AX4" s="1282"/>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81" t="s">
        <v>412</v>
      </c>
      <c r="J6" s="1281"/>
      <c r="K6" s="1281"/>
      <c r="L6" s="1281"/>
      <c r="M6" s="1281"/>
      <c r="Q6" s="1281" t="s">
        <v>413</v>
      </c>
      <c r="R6" s="1281"/>
      <c r="S6" s="1281"/>
      <c r="T6" s="1281"/>
      <c r="U6" s="1281"/>
      <c r="V6" s="1281"/>
      <c r="W6" s="1281"/>
      <c r="AC6" s="190"/>
      <c r="AE6" s="62"/>
      <c r="AF6" s="191"/>
      <c r="AG6" s="67"/>
      <c r="AH6" s="1281" t="s">
        <v>412</v>
      </c>
      <c r="AI6" s="1281"/>
      <c r="AJ6" s="1281"/>
      <c r="AK6" s="1281"/>
      <c r="AL6" s="1281"/>
      <c r="AM6" s="67"/>
      <c r="AN6" s="67"/>
      <c r="AO6" s="67"/>
      <c r="AP6" s="67"/>
      <c r="AQ6" s="67"/>
      <c r="AR6" s="1281" t="s">
        <v>413</v>
      </c>
      <c r="AS6" s="1281"/>
      <c r="AT6" s="1281"/>
      <c r="AU6" s="1281"/>
      <c r="AV6" s="1281"/>
      <c r="AW6" s="1281"/>
      <c r="AX6" s="1281"/>
      <c r="AY6" s="195"/>
    </row>
    <row r="7" spans="1:51" ht="21.95" customHeight="1" thickTop="1">
      <c r="A7" s="189"/>
      <c r="B7" s="67"/>
      <c r="C7" s="68"/>
      <c r="I7" s="1279">
        <f ca="1">⑨回収シミュレーション!N5</f>
        <v>0</v>
      </c>
      <c r="J7" s="1279"/>
      <c r="K7" s="1279"/>
      <c r="L7" s="1279"/>
      <c r="M7" s="1279"/>
      <c r="R7" s="1273">
        <f ca="1">AR7/54</f>
        <v>0</v>
      </c>
      <c r="S7" s="1274"/>
      <c r="T7" s="1274"/>
      <c r="U7" s="1274"/>
      <c r="V7" s="1275"/>
      <c r="AC7" s="190"/>
      <c r="AE7" s="62"/>
      <c r="AF7" s="191"/>
      <c r="AG7" s="1280">
        <f ca="1">ROUNDDOWN((☆入力!AL14)*(100%-☆入力!AR11)+代理店入力用!D5,0)</f>
        <v>0</v>
      </c>
      <c r="AH7" s="1280"/>
      <c r="AI7" s="1280"/>
      <c r="AJ7" s="1280"/>
      <c r="AK7" s="1280"/>
      <c r="AL7" s="1280"/>
      <c r="AM7" s="1280"/>
      <c r="AN7" s="67"/>
      <c r="AO7" s="67"/>
      <c r="AP7" s="67"/>
      <c r="AQ7" s="67"/>
      <c r="AR7" s="1262">
        <f ca="1">(AG7/(100%-☆入力!AR11))*(100%-☆入力!AR11-☆入力!AR12)</f>
        <v>0</v>
      </c>
      <c r="AS7" s="1263"/>
      <c r="AT7" s="1263"/>
      <c r="AU7" s="1263"/>
      <c r="AV7" s="1263"/>
      <c r="AW7" s="1263"/>
      <c r="AX7" s="1264"/>
      <c r="AY7" s="195"/>
    </row>
    <row r="8" spans="1:51" ht="21.95" customHeight="1" thickBot="1">
      <c r="A8" s="189"/>
      <c r="B8" s="67"/>
      <c r="C8" s="68"/>
      <c r="I8" s="1279"/>
      <c r="J8" s="1279"/>
      <c r="K8" s="1279"/>
      <c r="L8" s="1279"/>
      <c r="M8" s="1279"/>
      <c r="R8" s="1276"/>
      <c r="S8" s="1277"/>
      <c r="T8" s="1277"/>
      <c r="U8" s="1277"/>
      <c r="V8" s="1278"/>
      <c r="W8" s="3" t="s">
        <v>414</v>
      </c>
      <c r="AC8" s="190"/>
      <c r="AE8" s="62"/>
      <c r="AF8" s="191"/>
      <c r="AG8" s="1280"/>
      <c r="AH8" s="1280"/>
      <c r="AI8" s="1280"/>
      <c r="AJ8" s="1280"/>
      <c r="AK8" s="1280"/>
      <c r="AL8" s="1280"/>
      <c r="AM8" s="1280"/>
      <c r="AN8" s="67"/>
      <c r="AO8" s="67"/>
      <c r="AP8" s="67"/>
      <c r="AQ8" s="67"/>
      <c r="AR8" s="1265"/>
      <c r="AS8" s="1266"/>
      <c r="AT8" s="1266"/>
      <c r="AU8" s="1266"/>
      <c r="AV8" s="1266"/>
      <c r="AW8" s="1266"/>
      <c r="AX8" s="1267"/>
      <c r="AY8" s="195"/>
    </row>
    <row r="9" spans="1:51" ht="21.95" customHeight="1" thickTop="1">
      <c r="A9" s="1255" t="s">
        <v>415</v>
      </c>
      <c r="B9" s="1256"/>
      <c r="C9" s="1256"/>
      <c r="D9" s="1256"/>
      <c r="E9" s="1256"/>
      <c r="F9" s="1256"/>
      <c r="G9" s="1256"/>
      <c r="H9" s="1256"/>
      <c r="I9" s="1256"/>
      <c r="J9" s="1256"/>
      <c r="K9" s="1256"/>
      <c r="L9" s="1256"/>
      <c r="M9" s="1268">
        <f ca="1">I7-R7</f>
        <v>0</v>
      </c>
      <c r="N9" s="1269"/>
      <c r="O9" s="1269"/>
      <c r="P9" s="1269"/>
      <c r="Q9" s="1269"/>
      <c r="R9" s="1269"/>
      <c r="S9" s="804" t="s">
        <v>416</v>
      </c>
      <c r="T9" s="804"/>
      <c r="U9" s="804"/>
      <c r="V9" s="804"/>
      <c r="W9" s="804"/>
      <c r="X9" s="804"/>
      <c r="Y9" s="804"/>
      <c r="Z9" s="804"/>
      <c r="AA9" s="804"/>
      <c r="AB9" s="804"/>
      <c r="AC9" s="1257"/>
      <c r="AD9" s="97"/>
      <c r="AE9" s="62"/>
      <c r="AF9" s="1255" t="s">
        <v>417</v>
      </c>
      <c r="AG9" s="1256"/>
      <c r="AH9" s="1256"/>
      <c r="AI9" s="1256"/>
      <c r="AJ9" s="1256"/>
      <c r="AK9" s="1256"/>
      <c r="AL9" s="1256"/>
      <c r="AM9" s="1259">
        <f ca="1">AG7-AR7</f>
        <v>0</v>
      </c>
      <c r="AN9" s="1260"/>
      <c r="AO9" s="1260"/>
      <c r="AP9" s="1260"/>
      <c r="AQ9" s="1260"/>
      <c r="AR9" s="1260"/>
      <c r="AS9" s="804" t="s">
        <v>416</v>
      </c>
      <c r="AT9" s="804"/>
      <c r="AU9" s="804"/>
      <c r="AV9" s="804"/>
      <c r="AW9" s="804"/>
      <c r="AX9" s="804"/>
      <c r="AY9" s="1257"/>
    </row>
    <row r="10" spans="1:51" ht="21.95" customHeight="1">
      <c r="A10" s="1255"/>
      <c r="B10" s="1256"/>
      <c r="C10" s="1256"/>
      <c r="D10" s="1256"/>
      <c r="E10" s="1256"/>
      <c r="F10" s="1256"/>
      <c r="G10" s="1256"/>
      <c r="H10" s="1256"/>
      <c r="I10" s="1256"/>
      <c r="J10" s="1256"/>
      <c r="K10" s="1256"/>
      <c r="L10" s="1256"/>
      <c r="M10" s="1269"/>
      <c r="N10" s="1269"/>
      <c r="O10" s="1269"/>
      <c r="P10" s="1269"/>
      <c r="Q10" s="1269"/>
      <c r="R10" s="1269"/>
      <c r="S10" s="804"/>
      <c r="T10" s="804"/>
      <c r="U10" s="804"/>
      <c r="V10" s="804"/>
      <c r="W10" s="804"/>
      <c r="X10" s="804"/>
      <c r="Y10" s="804"/>
      <c r="Z10" s="804"/>
      <c r="AA10" s="804"/>
      <c r="AB10" s="804"/>
      <c r="AC10" s="1257"/>
      <c r="AD10" s="97"/>
      <c r="AE10" s="62"/>
      <c r="AF10" s="1255"/>
      <c r="AG10" s="1256"/>
      <c r="AH10" s="1256"/>
      <c r="AI10" s="1256"/>
      <c r="AJ10" s="1256"/>
      <c r="AK10" s="1256"/>
      <c r="AL10" s="1256"/>
      <c r="AM10" s="1260"/>
      <c r="AN10" s="1260"/>
      <c r="AO10" s="1260"/>
      <c r="AP10" s="1260"/>
      <c r="AQ10" s="1260"/>
      <c r="AR10" s="1260"/>
      <c r="AS10" s="804"/>
      <c r="AT10" s="804"/>
      <c r="AU10" s="804"/>
      <c r="AV10" s="804"/>
      <c r="AW10" s="804"/>
      <c r="AX10" s="804"/>
      <c r="AY10" s="1257"/>
    </row>
    <row r="11" spans="1:51" ht="21.95" customHeight="1" thickBot="1">
      <c r="A11" s="201"/>
      <c r="B11" s="202"/>
      <c r="C11" s="203"/>
      <c r="D11" s="1258">
        <f ca="1">M9</f>
        <v>0</v>
      </c>
      <c r="E11" s="1258"/>
      <c r="F11" s="1258"/>
      <c r="G11" s="1258"/>
      <c r="H11" s="1258"/>
      <c r="I11" s="1271" t="s">
        <v>418</v>
      </c>
      <c r="J11" s="1271"/>
      <c r="K11" s="1271"/>
      <c r="L11" s="1271"/>
      <c r="M11" s="1270">
        <f ca="1">D11*60</f>
        <v>0</v>
      </c>
      <c r="N11" s="1270"/>
      <c r="O11" s="1270"/>
      <c r="P11" s="1270"/>
      <c r="Q11" s="1270"/>
      <c r="R11" s="1270"/>
      <c r="S11" s="204" t="s">
        <v>419</v>
      </c>
      <c r="T11" s="205"/>
      <c r="U11" s="205"/>
      <c r="V11" s="205"/>
      <c r="W11" s="484"/>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403</v>
      </c>
      <c r="B13" s="9"/>
      <c r="C13" s="9"/>
      <c r="AE13" s="62"/>
      <c r="AF13" s="52" t="s">
        <v>404</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28" t="s">
        <v>405</v>
      </c>
      <c r="B30" s="1228"/>
      <c r="C30" s="1228"/>
      <c r="D30" s="1228"/>
      <c r="E30" s="1228"/>
      <c r="F30" s="1228"/>
      <c r="G30" s="1228"/>
      <c r="H30" s="1228"/>
      <c r="I30" s="1228"/>
      <c r="J30" s="1228"/>
      <c r="K30" s="1228"/>
      <c r="L30" s="1228"/>
      <c r="M30" s="1228"/>
      <c r="N30" s="1228"/>
      <c r="O30" s="1228"/>
      <c r="P30" s="1228"/>
      <c r="Q30" s="1228"/>
      <c r="R30" s="1228"/>
      <c r="S30" s="1228"/>
      <c r="T30" s="1228"/>
      <c r="U30" s="1228"/>
      <c r="V30" s="1228"/>
      <c r="W30" s="1228"/>
      <c r="X30" s="1228"/>
      <c r="Y30" s="1228"/>
      <c r="Z30" s="1228"/>
      <c r="AA30" s="1228"/>
      <c r="AB30" s="1228"/>
      <c r="AC30" s="1228"/>
      <c r="AD30" s="1229"/>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249" t="s">
        <v>382</v>
      </c>
      <c r="AH31" s="1250"/>
      <c r="AI31" s="1250"/>
      <c r="AJ31" s="1250"/>
      <c r="AK31" s="1250"/>
      <c r="AL31" s="1250"/>
      <c r="AM31" s="1250"/>
      <c r="AN31" s="1251"/>
      <c r="AO31" s="6"/>
      <c r="AP31" s="6"/>
      <c r="AQ31" s="1252" t="s">
        <v>406</v>
      </c>
      <c r="AR31" s="1253"/>
      <c r="AS31" s="1253"/>
      <c r="AT31" s="1253"/>
      <c r="AU31" s="1253"/>
      <c r="AV31" s="1253"/>
      <c r="AW31" s="1254"/>
      <c r="AX31" s="13"/>
      <c r="AY31" s="13"/>
    </row>
    <row r="32" spans="1:51" ht="21.95" hidden="1" customHeight="1" thickTop="1" thickBot="1">
      <c r="A32" s="13" t="s">
        <v>407</v>
      </c>
      <c r="V32" s="1241">
        <f ca="1">LED計算式!J36*60</f>
        <v>0</v>
      </c>
      <c r="W32" s="1242"/>
      <c r="X32" s="1242"/>
      <c r="Y32" s="1242"/>
      <c r="Z32" s="1242"/>
      <c r="AA32" s="1242"/>
      <c r="AB32" s="1242"/>
      <c r="AC32" s="1243"/>
      <c r="AD32" s="99"/>
      <c r="AE32" s="62"/>
      <c r="AG32" s="1220">
        <f ca="1">AR7</f>
        <v>0</v>
      </c>
      <c r="AH32" s="1221"/>
      <c r="AI32" s="1221"/>
      <c r="AJ32" s="1221"/>
      <c r="AK32" s="1221"/>
      <c r="AL32" s="1221"/>
      <c r="AM32" s="1221"/>
      <c r="AN32" s="1222"/>
      <c r="AO32" s="1244" t="s">
        <v>384</v>
      </c>
      <c r="AP32" s="1245"/>
      <c r="AQ32" s="897">
        <f>④前後!BA29/120</f>
        <v>0</v>
      </c>
      <c r="AR32" s="898"/>
      <c r="AS32" s="898"/>
      <c r="AT32" s="898"/>
      <c r="AU32" s="898"/>
      <c r="AV32" s="898"/>
      <c r="AW32" s="899"/>
      <c r="AX32" s="13"/>
      <c r="AY32" s="13"/>
    </row>
    <row r="33" spans="1:51" ht="21.95" hidden="1" customHeight="1" thickTop="1" thickBot="1">
      <c r="AE33" s="62"/>
      <c r="AG33" s="1223"/>
      <c r="AH33" s="1224"/>
      <c r="AI33" s="1224"/>
      <c r="AJ33" s="1224"/>
      <c r="AK33" s="1224"/>
      <c r="AL33" s="1224"/>
      <c r="AM33" s="1224"/>
      <c r="AN33" s="1225"/>
      <c r="AO33" s="1244"/>
      <c r="AP33" s="1245"/>
      <c r="AQ33" s="900"/>
      <c r="AR33" s="901"/>
      <c r="AS33" s="901"/>
      <c r="AT33" s="901"/>
      <c r="AU33" s="901"/>
      <c r="AV33" s="901"/>
      <c r="AW33" s="902"/>
      <c r="AX33" s="9"/>
      <c r="AY33" s="9"/>
    </row>
    <row r="34" spans="1:51" ht="21.95" hidden="1" customHeight="1" thickTop="1" thickBot="1">
      <c r="A34" s="13" t="s">
        <v>408</v>
      </c>
      <c r="V34" s="1241">
        <f>LED計算式!K36*60</f>
        <v>0</v>
      </c>
      <c r="W34" s="1242"/>
      <c r="X34" s="1242"/>
      <c r="Y34" s="1242"/>
      <c r="Z34" s="1242"/>
      <c r="AA34" s="1242"/>
      <c r="AB34" s="1242"/>
      <c r="AC34" s="1243"/>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46" t="s">
        <v>385</v>
      </c>
      <c r="AR35" s="1247"/>
      <c r="AS35" s="1247"/>
      <c r="AT35" s="1247"/>
      <c r="AU35" s="1247"/>
      <c r="AV35" s="1247"/>
      <c r="AW35" s="1248"/>
    </row>
    <row r="36" spans="1:51" ht="21.95" customHeight="1" thickTop="1" thickBot="1">
      <c r="A36" s="13" t="s">
        <v>409</v>
      </c>
      <c r="B36" s="16"/>
      <c r="C36" s="16"/>
      <c r="D36" s="13"/>
      <c r="E36" s="89"/>
      <c r="F36" s="89"/>
      <c r="G36" s="89"/>
      <c r="H36" s="89"/>
      <c r="I36" s="89"/>
      <c r="J36" s="89"/>
      <c r="K36" s="89"/>
      <c r="L36" s="89"/>
      <c r="M36" s="89"/>
      <c r="N36" s="89"/>
      <c r="O36" s="89"/>
      <c r="P36" s="89"/>
      <c r="Q36" s="89"/>
      <c r="R36" s="89"/>
      <c r="S36" s="89"/>
      <c r="T36" s="89"/>
      <c r="U36" s="89"/>
      <c r="V36" s="1230">
        <f ca="1">V32+V34</f>
        <v>0</v>
      </c>
      <c r="W36" s="1231"/>
      <c r="X36" s="1231"/>
      <c r="Y36" s="1231"/>
      <c r="Z36" s="1231"/>
      <c r="AA36" s="1231"/>
      <c r="AB36" s="1231"/>
      <c r="AC36" s="1232"/>
      <c r="AD36" s="100"/>
      <c r="AE36" s="62"/>
      <c r="AO36" s="1233"/>
      <c r="AP36" s="1233"/>
      <c r="AQ36" s="1234" t="str">
        <f ca="1">IFERROR((AG32/AQ32)/12,"0")</f>
        <v>0</v>
      </c>
      <c r="AR36" s="1235"/>
      <c r="AS36" s="1235"/>
      <c r="AT36" s="1235"/>
      <c r="AU36" s="1235"/>
      <c r="AV36" s="1235"/>
      <c r="AW36" s="1236"/>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33"/>
      <c r="AP37" s="1233"/>
      <c r="AQ37" s="1237"/>
      <c r="AR37" s="1238"/>
      <c r="AS37" s="1238"/>
      <c r="AT37" s="1238"/>
      <c r="AU37" s="1238"/>
      <c r="AV37" s="1238"/>
      <c r="AW37" s="1239"/>
    </row>
    <row r="38" spans="1:51" ht="21.95" customHeight="1" thickTop="1">
      <c r="AE38" s="62"/>
      <c r="AJ38" s="59"/>
      <c r="AK38" s="59"/>
      <c r="AL38" s="59"/>
      <c r="AM38" s="59"/>
      <c r="AN38" s="59"/>
      <c r="AO38" s="59"/>
      <c r="AP38" s="59"/>
      <c r="AQ38" s="1240" t="str">
        <f ca="1">IFERROR(AG32/AQ32,"0")</f>
        <v>0</v>
      </c>
      <c r="AR38" s="1240"/>
      <c r="AS38" s="1240"/>
      <c r="AT38" s="1240"/>
      <c r="AU38" s="1240"/>
      <c r="AV38" s="1240"/>
      <c r="AW38" s="1240"/>
    </row>
    <row r="39" spans="1:51" ht="21.95" customHeight="1">
      <c r="AI39" s="59"/>
      <c r="AJ39" s="59"/>
      <c r="AK39" s="59"/>
      <c r="AL39" s="59"/>
      <c r="AM39" s="59"/>
      <c r="AN39" s="59"/>
      <c r="AO39" s="59"/>
      <c r="AP39" s="59"/>
      <c r="AQ39" s="59"/>
      <c r="AR39" s="59"/>
      <c r="AS39" s="59"/>
      <c r="AT39" s="59"/>
      <c r="AY39" s="3">
        <v>7</v>
      </c>
    </row>
  </sheetData>
  <mergeCells count="34">
    <mergeCell ref="A1:AY1"/>
    <mergeCell ref="A3:AC4"/>
    <mergeCell ref="AF3:AX4"/>
    <mergeCell ref="I6:M6"/>
    <mergeCell ref="Q6:W6"/>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I7:M8"/>
    <mergeCell ref="R7:V8"/>
    <mergeCell ref="AG7:AM8"/>
    <mergeCell ref="AR7:AX8"/>
    <mergeCell ref="AS9:AY10"/>
    <mergeCell ref="S9:AC10"/>
    <mergeCell ref="AF9:AL10"/>
    <mergeCell ref="AM9:AR10"/>
    <mergeCell ref="D11:H11"/>
    <mergeCell ref="I11:L11"/>
    <mergeCell ref="M11:R11"/>
    <mergeCell ref="A9:L10"/>
    <mergeCell ref="M9:R10"/>
  </mergeCells>
  <phoneticPr fontId="2"/>
  <conditionalFormatting sqref="A14:A19">
    <cfRule type="cellIs" dxfId="20" priority="10" operator="equal">
      <formula>0</formula>
    </cfRule>
  </conditionalFormatting>
  <conditionalFormatting sqref="B14:C19 AJ21 AO21:AO22 AV21:AV22 B22:C22 C23">
    <cfRule type="cellIs" dxfId="19" priority="11" operator="equal">
      <formula>0</formula>
    </cfRule>
  </conditionalFormatting>
  <conditionalFormatting sqref="AI14:AY19 AI22">
    <cfRule type="cellIs" dxfId="18" priority="9" operator="equal">
      <formula>0</formula>
    </cfRule>
  </conditionalFormatting>
  <conditionalFormatting sqref="AO31:AQ31 AO32 AQ35:AQ36 AO36">
    <cfRule type="cellIs" dxfId="17" priority="3" operator="equal">
      <formula>0</formula>
    </cfRule>
  </conditionalFormatting>
  <conditionalFormatting sqref="AP18">
    <cfRule type="cellIs" dxfId="16" priority="7" operator="equal">
      <formula>0</formula>
    </cfRule>
  </conditionalFormatting>
  <conditionalFormatting sqref="AP21">
    <cfRule type="cellIs" dxfId="15" priority="5" operator="equal">
      <formula>0</formula>
    </cfRule>
  </conditionalFormatting>
  <conditionalFormatting sqref="AQ12 AW12:AY12">
    <cfRule type="cellIs" dxfId="14" priority="8" operator="equal">
      <formula>0</formula>
    </cfRule>
  </conditionalFormatting>
  <conditionalFormatting sqref="AR11">
    <cfRule type="cellIs" dxfId="13" priority="1" operator="equal">
      <formula>0</formula>
    </cfRule>
  </conditionalFormatting>
  <conditionalFormatting sqref="AW18">
    <cfRule type="cellIs" dxfId="12" priority="6" operator="equal">
      <formula>0</formula>
    </cfRule>
  </conditionalFormatting>
  <conditionalFormatting sqref="AW21">
    <cfRule type="cellIs" dxfId="11"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G9" sqref="BG9"/>
    </sheetView>
  </sheetViews>
  <sheetFormatPr defaultColWidth="3.625" defaultRowHeight="21.95" customHeight="1"/>
  <cols>
    <col min="1" max="25" width="3.625" style="390"/>
    <col min="26" max="28" width="3.5" style="390" customWidth="1"/>
    <col min="29" max="16384" width="3.625" style="390"/>
  </cols>
  <sheetData>
    <row r="1" spans="1:59" s="3" customFormat="1" ht="38.25">
      <c r="A1" s="1301" t="s">
        <v>420</v>
      </c>
      <c r="B1" s="1301"/>
      <c r="C1" s="1301"/>
      <c r="D1" s="1301"/>
      <c r="E1" s="1301"/>
      <c r="F1" s="1301"/>
      <c r="G1" s="1301"/>
      <c r="H1" s="1301"/>
      <c r="I1" s="1301"/>
      <c r="J1" s="1301"/>
      <c r="K1" s="1301"/>
      <c r="L1" s="1301"/>
      <c r="M1" s="1301"/>
      <c r="N1" s="1301"/>
      <c r="O1" s="1301"/>
      <c r="P1" s="1301"/>
      <c r="Q1" s="1301"/>
      <c r="R1" s="1301"/>
      <c r="S1" s="1301"/>
      <c r="T1" s="1301"/>
      <c r="U1" s="1301"/>
      <c r="V1" s="1301"/>
      <c r="W1" s="1301"/>
      <c r="X1" s="1301"/>
      <c r="Y1" s="1301"/>
      <c r="Z1" s="1301"/>
      <c r="AA1" s="1301"/>
      <c r="AB1" s="1301"/>
      <c r="AC1" s="1301"/>
      <c r="AD1" s="1301"/>
      <c r="AE1" s="1301"/>
      <c r="AF1" s="1301"/>
      <c r="AG1" s="1301"/>
      <c r="AH1" s="1301"/>
      <c r="AI1" s="1301"/>
      <c r="AJ1" s="1301"/>
      <c r="AK1" s="1301"/>
      <c r="AL1" s="1301"/>
      <c r="AM1" s="1301"/>
      <c r="AN1" s="1301"/>
      <c r="AO1" s="1301"/>
      <c r="AP1" s="1301"/>
      <c r="AQ1" s="1301"/>
      <c r="AR1" s="1301"/>
      <c r="AS1" s="1301"/>
      <c r="AT1" s="1301"/>
      <c r="AU1" s="1301"/>
      <c r="AV1" s="1301"/>
      <c r="AW1" s="1301"/>
      <c r="AX1" s="1301"/>
      <c r="AY1" s="1301"/>
      <c r="AZ1" s="1301"/>
      <c r="BA1" s="1301"/>
      <c r="BB1" s="1301"/>
      <c r="BC1" s="1301"/>
    </row>
    <row r="2" spans="1:59" ht="21.95" customHeight="1">
      <c r="C2" s="447"/>
      <c r="D2" s="447"/>
      <c r="E2" s="447"/>
      <c r="F2" s="447"/>
      <c r="G2" s="447"/>
      <c r="H2" s="447"/>
      <c r="I2" s="447"/>
      <c r="J2" s="447"/>
      <c r="K2" s="447"/>
      <c r="L2" s="447"/>
      <c r="M2" s="447"/>
      <c r="N2" s="447"/>
      <c r="O2" s="447"/>
      <c r="P2" s="447"/>
      <c r="Q2" s="447"/>
      <c r="R2" s="447"/>
      <c r="S2" s="447"/>
      <c r="T2" s="447"/>
      <c r="U2" s="447"/>
      <c r="V2" s="447"/>
      <c r="W2" s="447"/>
      <c r="X2" s="447"/>
      <c r="Y2" s="447"/>
      <c r="AD2" s="447"/>
      <c r="AE2" s="447"/>
      <c r="AF2" s="447"/>
      <c r="AG2" s="447"/>
      <c r="AH2" s="447"/>
      <c r="AI2" s="447"/>
      <c r="AJ2" s="447"/>
      <c r="AK2" s="447"/>
      <c r="AL2" s="447"/>
      <c r="AM2" s="447"/>
      <c r="AN2" s="447"/>
      <c r="AO2" s="447"/>
      <c r="AP2" s="447"/>
      <c r="AQ2" s="447"/>
      <c r="AR2" s="447"/>
      <c r="AS2" s="447"/>
      <c r="AT2" s="447"/>
      <c r="AU2" s="447"/>
      <c r="AV2" s="447"/>
      <c r="AW2" s="447"/>
      <c r="AX2" s="447"/>
      <c r="AY2" s="447"/>
      <c r="AZ2" s="447"/>
    </row>
    <row r="3" spans="1:59" s="66" customFormat="1" ht="21.95" customHeight="1">
      <c r="A3" s="1322">
        <f>LED計算式!B43</f>
        <v>0</v>
      </c>
      <c r="B3" s="1322"/>
      <c r="C3" s="1322"/>
      <c r="D3" s="1322"/>
      <c r="E3" s="1322"/>
      <c r="F3" s="1322"/>
      <c r="G3" s="1322"/>
      <c r="H3" s="1322"/>
      <c r="I3" s="1322"/>
      <c r="J3" s="1322"/>
      <c r="K3" s="1322"/>
      <c r="L3" s="1322"/>
      <c r="M3" s="1322"/>
      <c r="N3" s="1322"/>
      <c r="O3" s="1322"/>
      <c r="P3" s="1322"/>
      <c r="Q3" s="1322"/>
      <c r="R3" s="1322"/>
      <c r="S3" s="1322"/>
      <c r="T3" s="1322"/>
      <c r="U3" s="1322"/>
      <c r="V3" s="1322"/>
      <c r="W3" s="1322"/>
      <c r="X3" s="1322"/>
      <c r="Y3" s="1322"/>
      <c r="Z3" s="1322"/>
      <c r="AA3" s="1322"/>
      <c r="AC3" s="1323">
        <f>LED計算式!G43</f>
        <v>0</v>
      </c>
      <c r="AD3" s="1323"/>
      <c r="AE3" s="1323"/>
      <c r="AF3" s="1323"/>
      <c r="AG3" s="1323"/>
      <c r="AH3" s="1323"/>
      <c r="AI3" s="1323"/>
      <c r="AJ3" s="1323"/>
      <c r="AK3" s="1323"/>
      <c r="AL3" s="1323"/>
      <c r="AM3" s="1323"/>
      <c r="AN3" s="1323"/>
      <c r="AO3" s="1323"/>
      <c r="AP3" s="1323"/>
      <c r="AQ3" s="1323"/>
      <c r="AR3" s="1323"/>
      <c r="AS3" s="1323"/>
      <c r="AT3" s="1323"/>
      <c r="AU3" s="1323"/>
      <c r="AV3" s="1323"/>
      <c r="AW3" s="1323"/>
      <c r="AX3" s="1323"/>
      <c r="AY3" s="1323"/>
      <c r="AZ3" s="1323"/>
      <c r="BA3" s="1323"/>
      <c r="BB3" s="1323"/>
      <c r="BC3" s="1323"/>
    </row>
    <row r="4" spans="1:59" s="66" customFormat="1" ht="21.95" customHeight="1">
      <c r="A4" s="1313" t="s">
        <v>421</v>
      </c>
      <c r="B4" s="1314"/>
      <c r="C4" s="1314"/>
      <c r="D4" s="1314"/>
      <c r="E4" s="1314"/>
      <c r="F4" s="1314"/>
      <c r="G4" s="1314"/>
      <c r="H4" s="1314"/>
      <c r="I4" s="1314"/>
      <c r="J4" s="1314"/>
      <c r="K4" s="1314"/>
      <c r="L4" s="1314"/>
      <c r="M4" s="1314"/>
      <c r="N4" s="1314"/>
      <c r="O4" s="1315"/>
      <c r="P4" s="1316" t="s">
        <v>422</v>
      </c>
      <c r="Q4" s="1314"/>
      <c r="R4" s="1314"/>
      <c r="S4" s="1314"/>
      <c r="T4" s="1314"/>
      <c r="U4" s="1314"/>
      <c r="V4" s="1314"/>
      <c r="W4" s="1314"/>
      <c r="X4" s="1314"/>
      <c r="Y4" s="1314"/>
      <c r="Z4" s="1314"/>
      <c r="AA4" s="1314"/>
      <c r="AB4" s="459"/>
      <c r="AC4" s="1317" t="s">
        <v>421</v>
      </c>
      <c r="AD4" s="1318"/>
      <c r="AE4" s="1318"/>
      <c r="AF4" s="1318"/>
      <c r="AG4" s="1318"/>
      <c r="AH4" s="1318"/>
      <c r="AI4" s="1318"/>
      <c r="AJ4" s="1318"/>
      <c r="AK4" s="1318"/>
      <c r="AL4" s="1318"/>
      <c r="AM4" s="1318"/>
      <c r="AN4" s="1318"/>
      <c r="AO4" s="1318"/>
      <c r="AP4" s="1318"/>
      <c r="AQ4" s="1319"/>
      <c r="AR4" s="1320" t="s">
        <v>422</v>
      </c>
      <c r="AS4" s="1321"/>
      <c r="AT4" s="1321"/>
      <c r="AU4" s="1321"/>
      <c r="AV4" s="1321"/>
      <c r="AW4" s="1321"/>
      <c r="AX4" s="1321"/>
      <c r="AY4" s="1321"/>
      <c r="AZ4" s="1321"/>
      <c r="BA4" s="1321"/>
      <c r="BB4" s="1321"/>
      <c r="BC4" s="1321"/>
    </row>
    <row r="5" spans="1:59" ht="24" customHeight="1">
      <c r="A5" s="487"/>
      <c r="O5" s="497"/>
      <c r="AA5" s="488"/>
      <c r="AC5" s="487"/>
      <c r="AQ5" s="497"/>
      <c r="BC5" s="488"/>
    </row>
    <row r="6" spans="1:59" ht="24" customHeight="1">
      <c r="A6" s="487"/>
      <c r="O6" s="497"/>
      <c r="AA6" s="488"/>
      <c r="AC6" s="487"/>
      <c r="AQ6" s="497"/>
      <c r="BC6" s="488"/>
    </row>
    <row r="7" spans="1:59" ht="24" customHeight="1">
      <c r="A7" s="487"/>
      <c r="O7" s="497"/>
      <c r="AA7" s="488"/>
      <c r="AC7" s="487"/>
      <c r="AQ7" s="497"/>
      <c r="BC7" s="488"/>
      <c r="BG7" s="449"/>
    </row>
    <row r="8" spans="1:59" ht="24" customHeight="1">
      <c r="A8" s="487"/>
      <c r="O8" s="497"/>
      <c r="AA8" s="488"/>
      <c r="AC8" s="487"/>
      <c r="AQ8" s="497"/>
      <c r="BC8" s="488"/>
    </row>
    <row r="9" spans="1:59" ht="24" customHeight="1">
      <c r="A9" s="487"/>
      <c r="O9" s="497"/>
      <c r="AA9" s="488"/>
      <c r="AC9" s="487"/>
      <c r="AQ9" s="497"/>
      <c r="BC9" s="488"/>
    </row>
    <row r="10" spans="1:59" ht="24" customHeight="1">
      <c r="A10" s="487"/>
      <c r="O10" s="497"/>
      <c r="AA10" s="488"/>
      <c r="AC10" s="487"/>
      <c r="AQ10" s="497"/>
      <c r="BC10" s="488"/>
    </row>
    <row r="11" spans="1:59" ht="24" customHeight="1">
      <c r="A11" s="487"/>
      <c r="O11" s="497"/>
      <c r="AA11" s="488"/>
      <c r="AC11" s="487"/>
      <c r="AQ11" s="497"/>
      <c r="BC11" s="488"/>
    </row>
    <row r="12" spans="1:59" ht="24" customHeight="1" thickBot="1">
      <c r="A12" s="487"/>
      <c r="O12" s="497"/>
      <c r="AA12" s="488"/>
      <c r="AC12" s="487"/>
      <c r="AQ12" s="497"/>
      <c r="BC12" s="488"/>
    </row>
    <row r="13" spans="1:59" ht="16.899999999999999" customHeight="1" thickTop="1" thickBot="1">
      <c r="A13" s="487"/>
      <c r="I13" s="1324" t="s">
        <v>423</v>
      </c>
      <c r="J13" s="1325"/>
      <c r="K13" s="1325"/>
      <c r="L13" s="1325"/>
      <c r="M13" s="1325"/>
      <c r="N13" s="1326"/>
      <c r="O13" s="497"/>
      <c r="S13" s="1283" t="s">
        <v>424</v>
      </c>
      <c r="T13" s="1284"/>
      <c r="U13" s="1284"/>
      <c r="V13" s="1284"/>
      <c r="W13" s="1284"/>
      <c r="X13" s="1284"/>
      <c r="Y13" s="1284"/>
      <c r="Z13" s="1285"/>
      <c r="AA13" s="488"/>
      <c r="AC13" s="487"/>
      <c r="AK13" s="1327" t="s">
        <v>423</v>
      </c>
      <c r="AL13" s="1328"/>
      <c r="AM13" s="1328"/>
      <c r="AN13" s="1328"/>
      <c r="AO13" s="1328"/>
      <c r="AP13" s="1329"/>
      <c r="AQ13" s="497"/>
      <c r="AU13" s="1283" t="s">
        <v>424</v>
      </c>
      <c r="AV13" s="1284"/>
      <c r="AW13" s="1284"/>
      <c r="AX13" s="1284"/>
      <c r="AY13" s="1284"/>
      <c r="AZ13" s="1284"/>
      <c r="BA13" s="1284"/>
      <c r="BB13" s="1285"/>
      <c r="BC13" s="488"/>
    </row>
    <row r="14" spans="1:59" ht="16.149999999999999" customHeight="1" thickTop="1">
      <c r="A14" s="489"/>
      <c r="B14" s="441"/>
      <c r="C14" s="441"/>
      <c r="D14" s="441"/>
      <c r="E14" s="441"/>
      <c r="F14" s="441"/>
      <c r="G14" s="442"/>
      <c r="H14" s="442"/>
      <c r="I14" s="1310">
        <f ca="1">LED計算式!C50</f>
        <v>0</v>
      </c>
      <c r="J14" s="1311"/>
      <c r="K14" s="1311"/>
      <c r="L14" s="1311"/>
      <c r="M14" s="1311"/>
      <c r="N14" s="1312"/>
      <c r="O14" s="497"/>
      <c r="S14" s="1286" t="str">
        <f ca="1">IFERROR(S17/(LED計算式!C46+LED計算式!C47-LED計算式!D47)/12,"0")</f>
        <v>0</v>
      </c>
      <c r="T14" s="1287"/>
      <c r="U14" s="1287"/>
      <c r="V14" s="1287"/>
      <c r="W14" s="1287"/>
      <c r="X14" s="1287"/>
      <c r="Y14" s="1287"/>
      <c r="Z14" s="1288"/>
      <c r="AA14" s="490"/>
      <c r="AC14" s="487"/>
      <c r="AD14" s="441"/>
      <c r="AE14" s="441"/>
      <c r="AF14" s="441"/>
      <c r="AG14" s="441"/>
      <c r="AH14" s="441"/>
      <c r="AI14" s="441"/>
      <c r="AJ14" s="442"/>
      <c r="AK14" s="1310">
        <f ca="1">LED計算式!H50</f>
        <v>0</v>
      </c>
      <c r="AL14" s="1311"/>
      <c r="AM14" s="1311"/>
      <c r="AN14" s="1311"/>
      <c r="AO14" s="1311"/>
      <c r="AP14" s="1312"/>
      <c r="AQ14" s="500"/>
      <c r="AR14" s="441"/>
      <c r="AS14" s="441"/>
      <c r="AT14" s="441"/>
      <c r="AU14" s="1286" t="str">
        <f ca="1">IFERROR(AU17/(LED計算式!H46+LED計算式!H47-LED計算式!I47)/12,"0")</f>
        <v>0</v>
      </c>
      <c r="AV14" s="1287"/>
      <c r="AW14" s="1287"/>
      <c r="AX14" s="1287"/>
      <c r="AY14" s="1287"/>
      <c r="AZ14" s="1287"/>
      <c r="BA14" s="1287"/>
      <c r="BB14" s="1288"/>
      <c r="BC14" s="488"/>
    </row>
    <row r="15" spans="1:59" ht="16.149999999999999" customHeight="1" thickBot="1">
      <c r="A15" s="489"/>
      <c r="B15" s="441"/>
      <c r="C15" s="441"/>
      <c r="D15" s="441"/>
      <c r="E15" s="441"/>
      <c r="F15" s="441"/>
      <c r="G15" s="442"/>
      <c r="H15" s="442"/>
      <c r="I15" s="1324" t="s">
        <v>425</v>
      </c>
      <c r="J15" s="1325"/>
      <c r="K15" s="1325"/>
      <c r="L15" s="1325"/>
      <c r="M15" s="1325"/>
      <c r="N15" s="1326"/>
      <c r="O15" s="497"/>
      <c r="S15" s="1289"/>
      <c r="T15" s="1290"/>
      <c r="U15" s="1290"/>
      <c r="V15" s="1290"/>
      <c r="W15" s="1290"/>
      <c r="X15" s="1290"/>
      <c r="Y15" s="1290"/>
      <c r="Z15" s="1291"/>
      <c r="AA15" s="490"/>
      <c r="AC15" s="487"/>
      <c r="AD15" s="441"/>
      <c r="AE15" s="441"/>
      <c r="AF15" s="441"/>
      <c r="AG15" s="441"/>
      <c r="AH15" s="441"/>
      <c r="AI15" s="441"/>
      <c r="AJ15" s="442"/>
      <c r="AK15" s="1327" t="s">
        <v>425</v>
      </c>
      <c r="AL15" s="1328"/>
      <c r="AM15" s="1328"/>
      <c r="AN15" s="1328"/>
      <c r="AO15" s="1328"/>
      <c r="AP15" s="1329"/>
      <c r="AQ15" s="500"/>
      <c r="AR15" s="441"/>
      <c r="AS15" s="441"/>
      <c r="AT15" s="441"/>
      <c r="AU15" s="1289"/>
      <c r="AV15" s="1290"/>
      <c r="AW15" s="1290"/>
      <c r="AX15" s="1290"/>
      <c r="AY15" s="1290"/>
      <c r="AZ15" s="1290"/>
      <c r="BA15" s="1290"/>
      <c r="BB15" s="1291"/>
      <c r="BC15" s="488"/>
    </row>
    <row r="16" spans="1:59" ht="16.149999999999999" customHeight="1" thickTop="1" thickBot="1">
      <c r="A16" s="487"/>
      <c r="B16" s="1332"/>
      <c r="C16" s="1332"/>
      <c r="D16" s="1332"/>
      <c r="E16" s="1332"/>
      <c r="F16" s="1332"/>
      <c r="G16" s="1332"/>
      <c r="H16" s="448"/>
      <c r="I16" s="1310">
        <f>LED計算式!C51</f>
        <v>0</v>
      </c>
      <c r="J16" s="1311"/>
      <c r="K16" s="1311"/>
      <c r="L16" s="1311"/>
      <c r="M16" s="1311"/>
      <c r="N16" s="1312"/>
      <c r="O16" s="497"/>
      <c r="S16" s="1292" t="s">
        <v>426</v>
      </c>
      <c r="T16" s="1293"/>
      <c r="U16" s="1293"/>
      <c r="V16" s="1293"/>
      <c r="W16" s="1293"/>
      <c r="X16" s="1293"/>
      <c r="Y16" s="1293"/>
      <c r="Z16" s="1294"/>
      <c r="AA16" s="491"/>
      <c r="AC16" s="487"/>
      <c r="AD16" s="444"/>
      <c r="AE16" s="448"/>
      <c r="AK16" s="1310">
        <f>LED計算式!H51</f>
        <v>0</v>
      </c>
      <c r="AL16" s="1311"/>
      <c r="AM16" s="1311"/>
      <c r="AN16" s="1311"/>
      <c r="AO16" s="1311"/>
      <c r="AP16" s="1312"/>
      <c r="AQ16" s="497"/>
      <c r="AT16" s="448"/>
      <c r="AU16" s="1292" t="s">
        <v>426</v>
      </c>
      <c r="AV16" s="1293"/>
      <c r="AW16" s="1293"/>
      <c r="AX16" s="1293"/>
      <c r="AY16" s="1293"/>
      <c r="AZ16" s="1293"/>
      <c r="BA16" s="1293"/>
      <c r="BB16" s="1294"/>
      <c r="BC16" s="488"/>
    </row>
    <row r="17" spans="1:55" ht="16.149999999999999" customHeight="1" thickTop="1">
      <c r="A17" s="487"/>
      <c r="C17" s="447"/>
      <c r="D17" s="447"/>
      <c r="E17" s="447"/>
      <c r="F17" s="447"/>
      <c r="G17" s="447"/>
      <c r="H17" s="447"/>
      <c r="I17" s="1324" t="s">
        <v>427</v>
      </c>
      <c r="J17" s="1325"/>
      <c r="K17" s="1325"/>
      <c r="L17" s="1325"/>
      <c r="M17" s="1325"/>
      <c r="N17" s="1326"/>
      <c r="O17" s="498"/>
      <c r="P17" s="447"/>
      <c r="S17" s="1295">
        <f ca="1">☆入力!AO16</f>
        <v>0</v>
      </c>
      <c r="T17" s="1296"/>
      <c r="U17" s="1296"/>
      <c r="V17" s="1296"/>
      <c r="W17" s="1296"/>
      <c r="X17" s="1296"/>
      <c r="Y17" s="1296"/>
      <c r="Z17" s="1297"/>
      <c r="AA17" s="488"/>
      <c r="AC17" s="487"/>
      <c r="AF17" s="447"/>
      <c r="AG17" s="447"/>
      <c r="AH17" s="447"/>
      <c r="AI17" s="447"/>
      <c r="AJ17" s="447"/>
      <c r="AK17" s="1327" t="s">
        <v>427</v>
      </c>
      <c r="AL17" s="1328"/>
      <c r="AM17" s="1328"/>
      <c r="AN17" s="1328"/>
      <c r="AO17" s="1328"/>
      <c r="AP17" s="1329"/>
      <c r="AQ17" s="498"/>
      <c r="AR17" s="447"/>
      <c r="AS17" s="447"/>
      <c r="AT17" s="447"/>
      <c r="AU17" s="1295">
        <f ca="1">☆入力!AO17</f>
        <v>0</v>
      </c>
      <c r="AV17" s="1296"/>
      <c r="AW17" s="1296"/>
      <c r="AX17" s="1296"/>
      <c r="AY17" s="1296"/>
      <c r="AZ17" s="1296"/>
      <c r="BA17" s="1296"/>
      <c r="BB17" s="1297"/>
      <c r="BC17" s="488"/>
    </row>
    <row r="18" spans="1:55" ht="16.149999999999999" customHeight="1" thickBot="1">
      <c r="A18" s="487"/>
      <c r="C18" s="447"/>
      <c r="D18" s="447"/>
      <c r="E18" s="447"/>
      <c r="F18" s="447"/>
      <c r="G18" s="447"/>
      <c r="H18" s="447"/>
      <c r="I18" s="1310">
        <f ca="1">LED計算式!C52</f>
        <v>0</v>
      </c>
      <c r="J18" s="1311"/>
      <c r="K18" s="1311"/>
      <c r="L18" s="1311"/>
      <c r="M18" s="1311"/>
      <c r="N18" s="1312"/>
      <c r="O18" s="498"/>
      <c r="P18" s="447"/>
      <c r="S18" s="1298"/>
      <c r="T18" s="1299"/>
      <c r="U18" s="1299"/>
      <c r="V18" s="1299"/>
      <c r="W18" s="1299"/>
      <c r="X18" s="1299"/>
      <c r="Y18" s="1299"/>
      <c r="Z18" s="1300"/>
      <c r="AA18" s="488"/>
      <c r="AC18" s="487"/>
      <c r="AF18" s="447"/>
      <c r="AG18" s="447"/>
      <c r="AH18" s="447"/>
      <c r="AI18" s="447"/>
      <c r="AJ18" s="447"/>
      <c r="AK18" s="1310">
        <f ca="1">LED計算式!H52</f>
        <v>0</v>
      </c>
      <c r="AL18" s="1311"/>
      <c r="AM18" s="1311"/>
      <c r="AN18" s="1311"/>
      <c r="AO18" s="1311"/>
      <c r="AP18" s="1312"/>
      <c r="AQ18" s="498"/>
      <c r="AR18" s="447"/>
      <c r="AS18" s="447"/>
      <c r="AT18" s="447"/>
      <c r="AU18" s="1298"/>
      <c r="AV18" s="1299"/>
      <c r="AW18" s="1299"/>
      <c r="AX18" s="1299"/>
      <c r="AY18" s="1299"/>
      <c r="AZ18" s="1299"/>
      <c r="BA18" s="1299"/>
      <c r="BB18" s="1300"/>
      <c r="BC18" s="488"/>
    </row>
    <row r="19" spans="1:55" ht="9.6" customHeight="1" thickTop="1">
      <c r="A19" s="492"/>
      <c r="B19" s="493"/>
      <c r="C19" s="494"/>
      <c r="D19" s="494"/>
      <c r="E19" s="494"/>
      <c r="F19" s="494"/>
      <c r="G19" s="494"/>
      <c r="H19" s="494"/>
      <c r="I19" s="493"/>
      <c r="J19" s="493"/>
      <c r="K19" s="493"/>
      <c r="L19" s="493"/>
      <c r="M19" s="493"/>
      <c r="N19" s="493"/>
      <c r="O19" s="499"/>
      <c r="P19" s="494"/>
      <c r="Q19" s="494"/>
      <c r="R19" s="494"/>
      <c r="S19" s="494"/>
      <c r="T19" s="494"/>
      <c r="U19" s="495"/>
      <c r="V19" s="495"/>
      <c r="W19" s="495"/>
      <c r="X19" s="495"/>
      <c r="Y19" s="495"/>
      <c r="Z19" s="495"/>
      <c r="AA19" s="496"/>
      <c r="AC19" s="492"/>
      <c r="AD19" s="493"/>
      <c r="AE19" s="493"/>
      <c r="AF19" s="494"/>
      <c r="AG19" s="494"/>
      <c r="AH19" s="494"/>
      <c r="AI19" s="494"/>
      <c r="AJ19" s="494"/>
      <c r="AK19" s="494"/>
      <c r="AL19" s="494"/>
      <c r="AM19" s="494"/>
      <c r="AN19" s="494"/>
      <c r="AO19" s="494"/>
      <c r="AP19" s="494"/>
      <c r="AQ19" s="499"/>
      <c r="AR19" s="494"/>
      <c r="AS19" s="494"/>
      <c r="AT19" s="494"/>
      <c r="AU19" s="494"/>
      <c r="AV19" s="494"/>
      <c r="AW19" s="494"/>
      <c r="AX19" s="494"/>
      <c r="AY19" s="494"/>
      <c r="AZ19" s="494"/>
      <c r="BA19" s="494"/>
      <c r="BB19" s="494"/>
      <c r="BC19" s="496"/>
    </row>
    <row r="20" spans="1:55" ht="21.95" customHeight="1">
      <c r="C20" s="447"/>
      <c r="D20" s="447"/>
      <c r="E20" s="447"/>
      <c r="F20" s="447"/>
      <c r="G20" s="447"/>
      <c r="H20" s="447"/>
      <c r="I20" s="447"/>
      <c r="J20" s="447"/>
      <c r="K20" s="447"/>
      <c r="L20" s="447"/>
      <c r="M20" s="447"/>
      <c r="N20" s="447"/>
      <c r="O20" s="447"/>
      <c r="P20" s="447"/>
      <c r="Q20" s="447"/>
      <c r="R20" s="447"/>
      <c r="S20" s="447"/>
      <c r="T20" s="447"/>
      <c r="U20" s="447"/>
      <c r="V20" s="447"/>
      <c r="W20" s="447"/>
      <c r="X20" s="447"/>
      <c r="Y20" s="447"/>
      <c r="AD20" s="447"/>
      <c r="AE20" s="447"/>
      <c r="AF20" s="447"/>
      <c r="AG20" s="447"/>
      <c r="AH20" s="447"/>
      <c r="AI20" s="447"/>
      <c r="AJ20" s="447"/>
      <c r="AK20" s="447"/>
      <c r="AL20" s="447"/>
      <c r="AM20" s="447"/>
      <c r="AN20" s="447"/>
      <c r="AO20" s="447"/>
      <c r="AP20" s="447"/>
      <c r="AQ20" s="447"/>
      <c r="AR20" s="447"/>
      <c r="AS20" s="447"/>
      <c r="AT20" s="447"/>
      <c r="AU20" s="447"/>
      <c r="AV20" s="447"/>
      <c r="AW20" s="447"/>
      <c r="AX20" s="447"/>
      <c r="AY20" s="447"/>
      <c r="AZ20" s="447"/>
    </row>
    <row r="21" spans="1:55" s="66" customFormat="1" ht="21.95" customHeight="1">
      <c r="A21" s="1330">
        <f>LED計算式!L43</f>
        <v>0</v>
      </c>
      <c r="B21" s="1330"/>
      <c r="C21" s="1330"/>
      <c r="D21" s="1330"/>
      <c r="E21" s="1330"/>
      <c r="F21" s="1330"/>
      <c r="G21" s="1330"/>
      <c r="H21" s="1330"/>
      <c r="I21" s="1330"/>
      <c r="J21" s="1330"/>
      <c r="K21" s="1330"/>
      <c r="L21" s="1330"/>
      <c r="M21" s="1330"/>
      <c r="N21" s="1330"/>
      <c r="O21" s="1330"/>
      <c r="P21" s="1330"/>
      <c r="Q21" s="1330"/>
      <c r="R21" s="1330"/>
      <c r="S21" s="1330"/>
      <c r="T21" s="1330"/>
      <c r="U21" s="1330"/>
      <c r="V21" s="1330"/>
      <c r="W21" s="1330"/>
      <c r="X21" s="1330"/>
      <c r="Y21" s="1330"/>
      <c r="Z21" s="1330"/>
      <c r="AA21" s="1330"/>
      <c r="AC21" s="1331">
        <f>LED計算式!Q43</f>
        <v>0</v>
      </c>
      <c r="AD21" s="1331"/>
      <c r="AE21" s="1331"/>
      <c r="AF21" s="1331"/>
      <c r="AG21" s="1331"/>
      <c r="AH21" s="1331"/>
      <c r="AI21" s="1331"/>
      <c r="AJ21" s="1331"/>
      <c r="AK21" s="1331"/>
      <c r="AL21" s="1331"/>
      <c r="AM21" s="1331"/>
      <c r="AN21" s="1331"/>
      <c r="AO21" s="1331"/>
      <c r="AP21" s="1331"/>
      <c r="AQ21" s="1331"/>
      <c r="AR21" s="1331"/>
      <c r="AS21" s="1331"/>
      <c r="AT21" s="1331"/>
      <c r="AU21" s="1331"/>
      <c r="AV21" s="1331"/>
      <c r="AW21" s="1331"/>
      <c r="AX21" s="1331"/>
      <c r="AY21" s="1331"/>
      <c r="AZ21" s="1331"/>
      <c r="BA21" s="1331"/>
      <c r="BB21" s="1331"/>
      <c r="BC21" s="1331"/>
    </row>
    <row r="22" spans="1:55" ht="21.95" customHeight="1">
      <c r="A22" s="1302" t="s">
        <v>421</v>
      </c>
      <c r="B22" s="1303"/>
      <c r="C22" s="1303"/>
      <c r="D22" s="1303"/>
      <c r="E22" s="1303"/>
      <c r="F22" s="1303"/>
      <c r="G22" s="1303"/>
      <c r="H22" s="1303"/>
      <c r="I22" s="1303"/>
      <c r="J22" s="1303"/>
      <c r="K22" s="1303"/>
      <c r="L22" s="1303"/>
      <c r="M22" s="1303"/>
      <c r="N22" s="1303"/>
      <c r="O22" s="1304"/>
      <c r="P22" s="1305" t="s">
        <v>422</v>
      </c>
      <c r="Q22" s="1303"/>
      <c r="R22" s="1303"/>
      <c r="S22" s="1303"/>
      <c r="T22" s="1303"/>
      <c r="U22" s="1303"/>
      <c r="V22" s="1303"/>
      <c r="W22" s="1303"/>
      <c r="X22" s="1303"/>
      <c r="Y22" s="1303"/>
      <c r="Z22" s="1303"/>
      <c r="AA22" s="1303"/>
      <c r="AC22" s="1306" t="s">
        <v>421</v>
      </c>
      <c r="AD22" s="1307"/>
      <c r="AE22" s="1307"/>
      <c r="AF22" s="1307"/>
      <c r="AG22" s="1307"/>
      <c r="AH22" s="1307"/>
      <c r="AI22" s="1307"/>
      <c r="AJ22" s="1307"/>
      <c r="AK22" s="1307"/>
      <c r="AL22" s="1307"/>
      <c r="AM22" s="1307"/>
      <c r="AN22" s="1307"/>
      <c r="AO22" s="1307"/>
      <c r="AP22" s="1307"/>
      <c r="AQ22" s="1308"/>
      <c r="AR22" s="1309" t="s">
        <v>422</v>
      </c>
      <c r="AS22" s="1307"/>
      <c r="AT22" s="1307"/>
      <c r="AU22" s="1307"/>
      <c r="AV22" s="1307"/>
      <c r="AW22" s="1307"/>
      <c r="AX22" s="1307"/>
      <c r="AY22" s="1307"/>
      <c r="AZ22" s="1307"/>
      <c r="BA22" s="1307"/>
      <c r="BB22" s="1307"/>
      <c r="BC22" s="1307"/>
    </row>
    <row r="23" spans="1:55" ht="24" customHeight="1">
      <c r="A23" s="487"/>
      <c r="O23" s="497"/>
      <c r="AA23" s="488"/>
      <c r="AC23" s="487"/>
      <c r="AQ23" s="497"/>
      <c r="BC23" s="488"/>
    </row>
    <row r="24" spans="1:55" ht="24" customHeight="1">
      <c r="A24" s="487"/>
      <c r="O24" s="497"/>
      <c r="AA24" s="488"/>
      <c r="AC24" s="487"/>
      <c r="AQ24" s="497"/>
      <c r="BC24" s="488"/>
    </row>
    <row r="25" spans="1:55" ht="24" customHeight="1">
      <c r="A25" s="487"/>
      <c r="O25" s="497"/>
      <c r="AA25" s="488"/>
      <c r="AC25" s="487"/>
      <c r="AQ25" s="497"/>
      <c r="BC25" s="488"/>
    </row>
    <row r="26" spans="1:55" ht="24" customHeight="1">
      <c r="A26" s="487"/>
      <c r="O26" s="497"/>
      <c r="AA26" s="488"/>
      <c r="AC26" s="487"/>
      <c r="AQ26" s="497"/>
      <c r="BC26" s="488"/>
    </row>
    <row r="27" spans="1:55" ht="24" customHeight="1">
      <c r="A27" s="487"/>
      <c r="O27" s="497"/>
      <c r="AA27" s="488"/>
      <c r="AC27" s="487"/>
      <c r="AQ27" s="497"/>
      <c r="BC27" s="488"/>
    </row>
    <row r="28" spans="1:55" ht="24" customHeight="1">
      <c r="A28" s="487"/>
      <c r="O28" s="497"/>
      <c r="AA28" s="488"/>
      <c r="AC28" s="487"/>
      <c r="AQ28" s="497"/>
      <c r="BC28" s="488"/>
    </row>
    <row r="29" spans="1:55" ht="24" customHeight="1">
      <c r="A29" s="487"/>
      <c r="O29" s="497"/>
      <c r="AA29" s="488"/>
      <c r="AC29" s="487"/>
      <c r="AQ29" s="497"/>
      <c r="BC29" s="488"/>
    </row>
    <row r="30" spans="1:55" ht="35.450000000000003" customHeight="1" thickBot="1">
      <c r="A30" s="487"/>
      <c r="O30" s="497"/>
      <c r="AA30" s="488"/>
      <c r="AC30" s="487"/>
      <c r="AQ30" s="497"/>
      <c r="BC30" s="488"/>
    </row>
    <row r="31" spans="1:55" ht="16.899999999999999" customHeight="1" thickTop="1" thickBot="1">
      <c r="A31" s="489"/>
      <c r="B31" s="441"/>
      <c r="C31" s="441"/>
      <c r="D31" s="441"/>
      <c r="E31" s="441"/>
      <c r="F31" s="441"/>
      <c r="G31" s="442"/>
      <c r="H31" s="442"/>
      <c r="I31" s="1333" t="s">
        <v>423</v>
      </c>
      <c r="J31" s="1334"/>
      <c r="K31" s="1334"/>
      <c r="L31" s="1334"/>
      <c r="M31" s="1334"/>
      <c r="N31" s="1335"/>
      <c r="O31" s="500"/>
      <c r="P31" s="441"/>
      <c r="Q31" s="441"/>
      <c r="R31" s="441"/>
      <c r="S31" s="1283" t="s">
        <v>424</v>
      </c>
      <c r="T31" s="1284"/>
      <c r="U31" s="1284"/>
      <c r="V31" s="1284"/>
      <c r="W31" s="1284"/>
      <c r="X31" s="1284"/>
      <c r="Y31" s="1284"/>
      <c r="Z31" s="1285"/>
      <c r="AA31" s="490"/>
      <c r="AC31" s="487"/>
      <c r="AD31" s="441"/>
      <c r="AE31" s="441"/>
      <c r="AF31" s="441"/>
      <c r="AG31" s="441"/>
      <c r="AH31" s="441"/>
      <c r="AI31" s="441"/>
      <c r="AJ31" s="442"/>
      <c r="AK31" s="1336" t="s">
        <v>423</v>
      </c>
      <c r="AL31" s="1337"/>
      <c r="AM31" s="1337"/>
      <c r="AN31" s="1337"/>
      <c r="AO31" s="1337"/>
      <c r="AP31" s="1338"/>
      <c r="AQ31" s="500"/>
      <c r="AR31" s="441"/>
      <c r="AS31" s="441"/>
      <c r="AT31" s="441"/>
      <c r="AU31" s="1283" t="s">
        <v>424</v>
      </c>
      <c r="AV31" s="1284"/>
      <c r="AW31" s="1284"/>
      <c r="AX31" s="1284"/>
      <c r="AY31" s="1284"/>
      <c r="AZ31" s="1284"/>
      <c r="BA31" s="1284"/>
      <c r="BB31" s="1285"/>
      <c r="BC31" s="490"/>
    </row>
    <row r="32" spans="1:55" ht="16.899999999999999" customHeight="1" thickTop="1">
      <c r="A32" s="489"/>
      <c r="B32" s="441"/>
      <c r="C32" s="441"/>
      <c r="D32" s="441"/>
      <c r="E32" s="441"/>
      <c r="F32" s="441"/>
      <c r="G32" s="442"/>
      <c r="H32" s="442"/>
      <c r="I32" s="1310">
        <f ca="1">LED計算式!M50</f>
        <v>0</v>
      </c>
      <c r="J32" s="1311"/>
      <c r="K32" s="1311"/>
      <c r="L32" s="1311"/>
      <c r="M32" s="1311"/>
      <c r="N32" s="1312"/>
      <c r="O32" s="500"/>
      <c r="P32" s="441"/>
      <c r="Q32" s="441"/>
      <c r="R32" s="441"/>
      <c r="S32" s="1286" t="str">
        <f ca="1">IFERROR(S35/(LED計算式!M46+LED計算式!M47-LED計算式!N47)/12,"0")</f>
        <v>0</v>
      </c>
      <c r="T32" s="1287"/>
      <c r="U32" s="1287"/>
      <c r="V32" s="1287"/>
      <c r="W32" s="1287"/>
      <c r="X32" s="1287"/>
      <c r="Y32" s="1287"/>
      <c r="Z32" s="1288"/>
      <c r="AA32" s="490"/>
      <c r="AC32" s="487"/>
      <c r="AD32" s="441"/>
      <c r="AE32" s="441"/>
      <c r="AF32" s="441"/>
      <c r="AG32" s="441"/>
      <c r="AH32" s="441"/>
      <c r="AI32" s="441"/>
      <c r="AJ32" s="442"/>
      <c r="AK32" s="1310">
        <f ca="1">LED計算式!R50</f>
        <v>0</v>
      </c>
      <c r="AL32" s="1311"/>
      <c r="AM32" s="1311"/>
      <c r="AN32" s="1311"/>
      <c r="AO32" s="1311"/>
      <c r="AP32" s="1312"/>
      <c r="AQ32" s="500"/>
      <c r="AR32" s="441"/>
      <c r="AS32" s="441"/>
      <c r="AT32" s="441"/>
      <c r="AU32" s="1286" t="str">
        <f ca="1">IFERROR(AU35/(LED計算式!R46+LED計算式!R47-LED計算式!S47)/12,"0")</f>
        <v>0</v>
      </c>
      <c r="AV32" s="1287"/>
      <c r="AW32" s="1287"/>
      <c r="AX32" s="1287"/>
      <c r="AY32" s="1287"/>
      <c r="AZ32" s="1287"/>
      <c r="BA32" s="1287"/>
      <c r="BB32" s="1288"/>
      <c r="BC32" s="490"/>
    </row>
    <row r="33" spans="1:55" ht="16.899999999999999" customHeight="1" thickBot="1">
      <c r="A33" s="501"/>
      <c r="B33" s="448"/>
      <c r="I33" s="1333" t="s">
        <v>425</v>
      </c>
      <c r="J33" s="1334"/>
      <c r="K33" s="1334"/>
      <c r="L33" s="1334"/>
      <c r="M33" s="1334"/>
      <c r="N33" s="1335"/>
      <c r="O33" s="497"/>
      <c r="Q33" s="448"/>
      <c r="R33" s="448"/>
      <c r="S33" s="1289"/>
      <c r="T33" s="1290"/>
      <c r="U33" s="1290"/>
      <c r="V33" s="1290"/>
      <c r="W33" s="1290"/>
      <c r="X33" s="1290"/>
      <c r="Y33" s="1290"/>
      <c r="Z33" s="1291"/>
      <c r="AA33" s="491"/>
      <c r="AC33" s="487"/>
      <c r="AD33" s="444"/>
      <c r="AE33" s="448"/>
      <c r="AK33" s="1336" t="s">
        <v>425</v>
      </c>
      <c r="AL33" s="1337"/>
      <c r="AM33" s="1337"/>
      <c r="AN33" s="1337"/>
      <c r="AO33" s="1337"/>
      <c r="AP33" s="1338"/>
      <c r="AQ33" s="497"/>
      <c r="AT33" s="448"/>
      <c r="AU33" s="1289"/>
      <c r="AV33" s="1290"/>
      <c r="AW33" s="1290"/>
      <c r="AX33" s="1290"/>
      <c r="AY33" s="1290"/>
      <c r="AZ33" s="1290"/>
      <c r="BA33" s="1290"/>
      <c r="BB33" s="1291"/>
      <c r="BC33" s="491"/>
    </row>
    <row r="34" spans="1:55" ht="16.899999999999999" customHeight="1" thickTop="1" thickBot="1">
      <c r="A34" s="487"/>
      <c r="I34" s="1310">
        <f>LED計算式!M51</f>
        <v>0</v>
      </c>
      <c r="J34" s="1311"/>
      <c r="K34" s="1311"/>
      <c r="L34" s="1311"/>
      <c r="M34" s="1311"/>
      <c r="N34" s="1312"/>
      <c r="O34" s="497"/>
      <c r="S34" s="1292" t="s">
        <v>426</v>
      </c>
      <c r="T34" s="1293"/>
      <c r="U34" s="1293"/>
      <c r="V34" s="1293"/>
      <c r="W34" s="1293"/>
      <c r="X34" s="1293"/>
      <c r="Y34" s="1293"/>
      <c r="Z34" s="1294"/>
      <c r="AA34" s="488"/>
      <c r="AC34" s="487"/>
      <c r="AK34" s="1310">
        <f>LED計算式!R51</f>
        <v>0</v>
      </c>
      <c r="AL34" s="1311"/>
      <c r="AM34" s="1311"/>
      <c r="AN34" s="1311"/>
      <c r="AO34" s="1311"/>
      <c r="AP34" s="1312"/>
      <c r="AQ34" s="497"/>
      <c r="AU34" s="1292" t="s">
        <v>426</v>
      </c>
      <c r="AV34" s="1293"/>
      <c r="AW34" s="1293"/>
      <c r="AX34" s="1293"/>
      <c r="AY34" s="1293"/>
      <c r="AZ34" s="1293"/>
      <c r="BA34" s="1293"/>
      <c r="BB34" s="1294"/>
      <c r="BC34" s="488"/>
    </row>
    <row r="35" spans="1:55" ht="16.899999999999999" customHeight="1" thickTop="1">
      <c r="A35" s="487"/>
      <c r="I35" s="1333" t="s">
        <v>427</v>
      </c>
      <c r="J35" s="1334"/>
      <c r="K35" s="1334"/>
      <c r="L35" s="1334"/>
      <c r="M35" s="1334"/>
      <c r="N35" s="1335"/>
      <c r="O35" s="497"/>
      <c r="S35" s="1295">
        <f ca="1">☆入力!AO18</f>
        <v>0</v>
      </c>
      <c r="T35" s="1296"/>
      <c r="U35" s="1296"/>
      <c r="V35" s="1296"/>
      <c r="W35" s="1296"/>
      <c r="X35" s="1296"/>
      <c r="Y35" s="1296"/>
      <c r="Z35" s="1297"/>
      <c r="AA35" s="488"/>
      <c r="AC35" s="487"/>
      <c r="AK35" s="1336" t="s">
        <v>427</v>
      </c>
      <c r="AL35" s="1337"/>
      <c r="AM35" s="1337"/>
      <c r="AN35" s="1337"/>
      <c r="AO35" s="1337"/>
      <c r="AP35" s="1338"/>
      <c r="AQ35" s="497"/>
      <c r="AU35" s="1295">
        <f ca="1">☆入力!AO19</f>
        <v>0</v>
      </c>
      <c r="AV35" s="1296"/>
      <c r="AW35" s="1296"/>
      <c r="AX35" s="1296"/>
      <c r="AY35" s="1296"/>
      <c r="AZ35" s="1296"/>
      <c r="BA35" s="1296"/>
      <c r="BB35" s="1297"/>
      <c r="BC35" s="488"/>
    </row>
    <row r="36" spans="1:55" ht="16.899999999999999" customHeight="1" thickBot="1">
      <c r="A36" s="487"/>
      <c r="I36" s="1310">
        <f ca="1">LED計算式!M52</f>
        <v>0</v>
      </c>
      <c r="J36" s="1311"/>
      <c r="K36" s="1311"/>
      <c r="L36" s="1311"/>
      <c r="M36" s="1311"/>
      <c r="N36" s="1312"/>
      <c r="O36" s="497"/>
      <c r="S36" s="1298"/>
      <c r="T36" s="1299"/>
      <c r="U36" s="1299"/>
      <c r="V36" s="1299"/>
      <c r="W36" s="1299"/>
      <c r="X36" s="1299"/>
      <c r="Y36" s="1299"/>
      <c r="Z36" s="1300"/>
      <c r="AA36" s="488"/>
      <c r="AC36" s="487"/>
      <c r="AK36" s="1310">
        <f ca="1">LED計算式!R52</f>
        <v>0</v>
      </c>
      <c r="AL36" s="1311"/>
      <c r="AM36" s="1311"/>
      <c r="AN36" s="1311"/>
      <c r="AO36" s="1311"/>
      <c r="AP36" s="1312"/>
      <c r="AQ36" s="497"/>
      <c r="AU36" s="1298"/>
      <c r="AV36" s="1299"/>
      <c r="AW36" s="1299"/>
      <c r="AX36" s="1299"/>
      <c r="AY36" s="1299"/>
      <c r="AZ36" s="1299"/>
      <c r="BA36" s="1299"/>
      <c r="BB36" s="1300"/>
      <c r="BC36" s="488"/>
    </row>
    <row r="37" spans="1:55" ht="9.6" customHeight="1" thickTop="1">
      <c r="A37" s="492"/>
      <c r="B37" s="493"/>
      <c r="C37" s="493"/>
      <c r="D37" s="493"/>
      <c r="E37" s="493"/>
      <c r="F37" s="493"/>
      <c r="G37" s="493"/>
      <c r="H37" s="493"/>
      <c r="I37" s="493"/>
      <c r="J37" s="493"/>
      <c r="K37" s="493"/>
      <c r="L37" s="493"/>
      <c r="M37" s="493"/>
      <c r="N37" s="493"/>
      <c r="O37" s="502"/>
      <c r="P37" s="493"/>
      <c r="Q37" s="493"/>
      <c r="R37" s="493"/>
      <c r="S37" s="493"/>
      <c r="T37" s="493"/>
      <c r="U37" s="493"/>
      <c r="V37" s="493"/>
      <c r="W37" s="493"/>
      <c r="X37" s="493"/>
      <c r="Y37" s="493"/>
      <c r="Z37" s="493"/>
      <c r="AA37" s="496"/>
      <c r="AC37" s="492"/>
      <c r="AD37" s="493"/>
      <c r="AE37" s="493"/>
      <c r="AF37" s="493"/>
      <c r="AG37" s="493"/>
      <c r="AH37" s="493"/>
      <c r="AI37" s="493"/>
      <c r="AJ37" s="493"/>
      <c r="AK37" s="493"/>
      <c r="AL37" s="493"/>
      <c r="AM37" s="493"/>
      <c r="AN37" s="493"/>
      <c r="AO37" s="493"/>
      <c r="AP37" s="493"/>
      <c r="AQ37" s="502"/>
      <c r="AR37" s="493"/>
      <c r="AS37" s="493"/>
      <c r="AT37" s="493"/>
      <c r="AU37" s="493"/>
      <c r="AV37" s="493"/>
      <c r="AW37" s="493"/>
      <c r="AX37" s="493"/>
      <c r="AY37" s="493"/>
      <c r="AZ37" s="493"/>
      <c r="BA37" s="493"/>
      <c r="BB37" s="493"/>
      <c r="BC37" s="496"/>
    </row>
  </sheetData>
  <mergeCells count="54">
    <mergeCell ref="I34:N34"/>
    <mergeCell ref="AK34:AP34"/>
    <mergeCell ref="I35:N35"/>
    <mergeCell ref="AK35:AP35"/>
    <mergeCell ref="I36:N36"/>
    <mergeCell ref="AK36:AP36"/>
    <mergeCell ref="S34:Z34"/>
    <mergeCell ref="S35:Z36"/>
    <mergeCell ref="I31:N31"/>
    <mergeCell ref="AK31:AP31"/>
    <mergeCell ref="I32:N32"/>
    <mergeCell ref="AK32:AP32"/>
    <mergeCell ref="I33:N33"/>
    <mergeCell ref="AK33:AP33"/>
    <mergeCell ref="S31:Z31"/>
    <mergeCell ref="S32:Z3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S13:Z13"/>
    <mergeCell ref="S14:Z15"/>
    <mergeCell ref="AC4:AQ4"/>
    <mergeCell ref="AR4:BC4"/>
    <mergeCell ref="A3:AA3"/>
    <mergeCell ref="AC3:BC3"/>
    <mergeCell ref="I13:N13"/>
    <mergeCell ref="AK13:AP13"/>
    <mergeCell ref="AU13:BB13"/>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G9" sqref="BG9"/>
    </sheetView>
  </sheetViews>
  <sheetFormatPr defaultColWidth="3.625" defaultRowHeight="21.95" customHeight="1"/>
  <cols>
    <col min="1" max="25" width="3.625" style="390"/>
    <col min="26" max="28" width="3.5" style="390" customWidth="1"/>
    <col min="29" max="16384" width="3.625" style="390"/>
  </cols>
  <sheetData>
    <row r="1" spans="1:59" s="3" customFormat="1" ht="38.25">
      <c r="A1" s="1301" t="s">
        <v>420</v>
      </c>
      <c r="B1" s="1301"/>
      <c r="C1" s="1301"/>
      <c r="D1" s="1301"/>
      <c r="E1" s="1301"/>
      <c r="F1" s="1301"/>
      <c r="G1" s="1301"/>
      <c r="H1" s="1301"/>
      <c r="I1" s="1301"/>
      <c r="J1" s="1301"/>
      <c r="K1" s="1301"/>
      <c r="L1" s="1301"/>
      <c r="M1" s="1301"/>
      <c r="N1" s="1301"/>
      <c r="O1" s="1301"/>
      <c r="P1" s="1301"/>
      <c r="Q1" s="1301"/>
      <c r="R1" s="1301"/>
      <c r="S1" s="1301"/>
      <c r="T1" s="1301"/>
      <c r="U1" s="1301"/>
      <c r="V1" s="1301"/>
      <c r="W1" s="1301"/>
      <c r="X1" s="1301"/>
      <c r="Y1" s="1301"/>
      <c r="Z1" s="1301"/>
      <c r="AA1" s="1301"/>
      <c r="AB1" s="1301"/>
      <c r="AC1" s="1301"/>
      <c r="AD1" s="1301"/>
      <c r="AE1" s="1301"/>
      <c r="AF1" s="1301"/>
      <c r="AG1" s="1301"/>
      <c r="AH1" s="1301"/>
      <c r="AI1" s="1301"/>
      <c r="AJ1" s="1301"/>
      <c r="AK1" s="1301"/>
      <c r="AL1" s="1301"/>
      <c r="AM1" s="1301"/>
      <c r="AN1" s="1301"/>
      <c r="AO1" s="1301"/>
      <c r="AP1" s="1301"/>
      <c r="AQ1" s="1301"/>
      <c r="AR1" s="1301"/>
      <c r="AS1" s="1301"/>
      <c r="AT1" s="1301"/>
      <c r="AU1" s="1301"/>
      <c r="AV1" s="1301"/>
      <c r="AW1" s="1301"/>
      <c r="AX1" s="1301"/>
      <c r="AY1" s="1301"/>
      <c r="AZ1" s="1301"/>
      <c r="BA1" s="1301"/>
      <c r="BB1" s="1301"/>
      <c r="BC1" s="1301"/>
    </row>
    <row r="2" spans="1:59" ht="21.95" customHeight="1">
      <c r="C2" s="447"/>
      <c r="D2" s="447"/>
      <c r="E2" s="447"/>
      <c r="F2" s="447"/>
      <c r="G2" s="447"/>
      <c r="H2" s="447"/>
      <c r="I2" s="447"/>
      <c r="J2" s="447"/>
      <c r="K2" s="447"/>
      <c r="L2" s="447"/>
      <c r="M2" s="447"/>
      <c r="N2" s="447"/>
      <c r="O2" s="447"/>
      <c r="P2" s="447"/>
      <c r="Q2" s="447"/>
      <c r="R2" s="447"/>
      <c r="S2" s="447"/>
      <c r="T2" s="447"/>
      <c r="U2" s="447"/>
      <c r="V2" s="447"/>
      <c r="W2" s="447"/>
      <c r="X2" s="447"/>
      <c r="Y2" s="447"/>
      <c r="AD2" s="447"/>
      <c r="AE2" s="447"/>
      <c r="AF2" s="447"/>
      <c r="AG2" s="447"/>
      <c r="AH2" s="447"/>
      <c r="AI2" s="447"/>
      <c r="AJ2" s="447"/>
      <c r="AK2" s="447"/>
      <c r="AL2" s="447"/>
      <c r="AM2" s="447"/>
      <c r="AN2" s="447"/>
      <c r="AO2" s="447"/>
      <c r="AP2" s="447"/>
      <c r="AQ2" s="447"/>
      <c r="AR2" s="447"/>
      <c r="AS2" s="447"/>
      <c r="AT2" s="447"/>
      <c r="AU2" s="447"/>
      <c r="AV2" s="447"/>
      <c r="AW2" s="447"/>
      <c r="AX2" s="447"/>
      <c r="AY2" s="447"/>
      <c r="AZ2" s="447"/>
    </row>
    <row r="3" spans="1:59" s="66" customFormat="1" ht="21.95" customHeight="1">
      <c r="A3" s="1355">
        <f>LED計算式!B43</f>
        <v>0</v>
      </c>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7"/>
      <c r="AC3" s="1323">
        <f>LED計算式!G43</f>
        <v>0</v>
      </c>
      <c r="AD3" s="1323"/>
      <c r="AE3" s="1323"/>
      <c r="AF3" s="1323"/>
      <c r="AG3" s="1323"/>
      <c r="AH3" s="1323"/>
      <c r="AI3" s="1323"/>
      <c r="AJ3" s="1323"/>
      <c r="AK3" s="1323"/>
      <c r="AL3" s="1323"/>
      <c r="AM3" s="1323"/>
      <c r="AN3" s="1323"/>
      <c r="AO3" s="1323"/>
      <c r="AP3" s="1323"/>
      <c r="AQ3" s="1323"/>
      <c r="AR3" s="1323"/>
      <c r="AS3" s="1323"/>
      <c r="AT3" s="1323"/>
      <c r="AU3" s="1323"/>
      <c r="AV3" s="1323"/>
      <c r="AW3" s="1323"/>
      <c r="AX3" s="1323"/>
      <c r="AY3" s="1323"/>
      <c r="AZ3" s="1323"/>
      <c r="BA3" s="1323"/>
      <c r="BB3" s="1323"/>
      <c r="BC3" s="1323"/>
    </row>
    <row r="4" spans="1:59" s="66" customFormat="1" ht="21.95" customHeight="1">
      <c r="A4" s="1358" t="s">
        <v>421</v>
      </c>
      <c r="B4" s="1359"/>
      <c r="C4" s="1359"/>
      <c r="D4" s="1359"/>
      <c r="E4" s="1359"/>
      <c r="F4" s="1359"/>
      <c r="G4" s="1359"/>
      <c r="H4" s="1359"/>
      <c r="I4" s="1359"/>
      <c r="J4" s="1359"/>
      <c r="K4" s="1359"/>
      <c r="L4" s="1359"/>
      <c r="M4" s="1359"/>
      <c r="N4" s="1359"/>
      <c r="O4" s="1360"/>
      <c r="P4" s="1359" t="s">
        <v>422</v>
      </c>
      <c r="Q4" s="1359"/>
      <c r="R4" s="1359"/>
      <c r="S4" s="1359"/>
      <c r="T4" s="1359"/>
      <c r="U4" s="1359"/>
      <c r="V4" s="1359"/>
      <c r="W4" s="1359"/>
      <c r="X4" s="1359"/>
      <c r="Y4" s="1359"/>
      <c r="Z4" s="1359"/>
      <c r="AA4" s="1316"/>
      <c r="AB4" s="459"/>
      <c r="AC4" s="1317" t="s">
        <v>421</v>
      </c>
      <c r="AD4" s="1318"/>
      <c r="AE4" s="1318"/>
      <c r="AF4" s="1318"/>
      <c r="AG4" s="1318"/>
      <c r="AH4" s="1318"/>
      <c r="AI4" s="1318"/>
      <c r="AJ4" s="1318"/>
      <c r="AK4" s="1318"/>
      <c r="AL4" s="1318"/>
      <c r="AM4" s="1318"/>
      <c r="AN4" s="1318"/>
      <c r="AO4" s="1318"/>
      <c r="AP4" s="1318"/>
      <c r="AQ4" s="1319"/>
      <c r="AR4" s="1320" t="s">
        <v>422</v>
      </c>
      <c r="AS4" s="1321"/>
      <c r="AT4" s="1321"/>
      <c r="AU4" s="1321"/>
      <c r="AV4" s="1321"/>
      <c r="AW4" s="1321"/>
      <c r="AX4" s="1321"/>
      <c r="AY4" s="1321"/>
      <c r="AZ4" s="1321"/>
      <c r="BA4" s="1321"/>
      <c r="BB4" s="1321"/>
      <c r="BC4" s="1321"/>
    </row>
    <row r="5" spans="1:59" ht="24" customHeight="1">
      <c r="A5" s="487"/>
      <c r="O5" s="497"/>
      <c r="AA5" s="488"/>
      <c r="AC5" s="487"/>
      <c r="AQ5" s="497"/>
      <c r="BC5" s="488"/>
    </row>
    <row r="6" spans="1:59" ht="24" customHeight="1">
      <c r="A6" s="487"/>
      <c r="O6" s="497"/>
      <c r="AA6" s="488"/>
      <c r="AC6" s="487"/>
      <c r="AQ6" s="497"/>
      <c r="BC6" s="488"/>
    </row>
    <row r="7" spans="1:59" ht="24" customHeight="1">
      <c r="A7" s="487"/>
      <c r="O7" s="497"/>
      <c r="AA7" s="488"/>
      <c r="AC7" s="487"/>
      <c r="AQ7" s="497"/>
      <c r="BC7" s="488"/>
      <c r="BG7" s="449"/>
    </row>
    <row r="8" spans="1:59" ht="24" customHeight="1">
      <c r="A8" s="487"/>
      <c r="O8" s="497"/>
      <c r="AA8" s="488"/>
      <c r="AC8" s="487"/>
      <c r="AQ8" s="497"/>
      <c r="BC8" s="488"/>
    </row>
    <row r="9" spans="1:59" ht="24" customHeight="1">
      <c r="A9" s="487"/>
      <c r="O9" s="497"/>
      <c r="AA9" s="488"/>
      <c r="AC9" s="487"/>
      <c r="AQ9" s="497"/>
      <c r="BC9" s="488"/>
    </row>
    <row r="10" spans="1:59" ht="24" customHeight="1">
      <c r="A10" s="487"/>
      <c r="O10" s="497"/>
      <c r="AA10" s="488"/>
      <c r="AC10" s="487"/>
      <c r="AQ10" s="497"/>
      <c r="BC10" s="488"/>
    </row>
    <row r="11" spans="1:59" ht="24" customHeight="1">
      <c r="A11" s="487"/>
      <c r="O11" s="497"/>
      <c r="AA11" s="488"/>
      <c r="AC11" s="487"/>
      <c r="AQ11" s="497"/>
      <c r="BC11" s="488"/>
    </row>
    <row r="12" spans="1:59" ht="24" customHeight="1" thickBot="1">
      <c r="A12" s="487"/>
      <c r="O12" s="497"/>
      <c r="AA12" s="488"/>
      <c r="AC12" s="487"/>
      <c r="AQ12" s="497"/>
      <c r="BC12" s="488"/>
    </row>
    <row r="13" spans="1:59" ht="16.899999999999999" customHeight="1" thickTop="1" thickBot="1">
      <c r="A13" s="487"/>
      <c r="I13" s="1324" t="s">
        <v>423</v>
      </c>
      <c r="J13" s="1325"/>
      <c r="K13" s="1325"/>
      <c r="L13" s="1325"/>
      <c r="M13" s="1325"/>
      <c r="N13" s="1326"/>
      <c r="O13" s="497"/>
      <c r="S13" s="1283" t="s">
        <v>424</v>
      </c>
      <c r="T13" s="1284"/>
      <c r="U13" s="1284"/>
      <c r="V13" s="1284"/>
      <c r="W13" s="1284"/>
      <c r="X13" s="1284"/>
      <c r="Y13" s="1284"/>
      <c r="Z13" s="1285"/>
      <c r="AA13" s="488"/>
      <c r="AC13" s="487"/>
      <c r="AK13" s="1327" t="s">
        <v>423</v>
      </c>
      <c r="AL13" s="1328"/>
      <c r="AM13" s="1328"/>
      <c r="AN13" s="1328"/>
      <c r="AO13" s="1328"/>
      <c r="AP13" s="1329"/>
      <c r="AQ13" s="497"/>
      <c r="AU13" s="1283" t="s">
        <v>424</v>
      </c>
      <c r="AV13" s="1284"/>
      <c r="AW13" s="1284"/>
      <c r="AX13" s="1284"/>
      <c r="AY13" s="1284"/>
      <c r="AZ13" s="1284"/>
      <c r="BA13" s="1284"/>
      <c r="BB13" s="1285"/>
      <c r="BC13" s="488"/>
    </row>
    <row r="14" spans="1:59" ht="16.149999999999999" customHeight="1" thickTop="1">
      <c r="A14" s="489"/>
      <c r="B14" s="441"/>
      <c r="C14" s="441"/>
      <c r="D14" s="441"/>
      <c r="E14" s="441"/>
      <c r="F14" s="441"/>
      <c r="G14" s="442"/>
      <c r="H14" s="442"/>
      <c r="I14" s="1310">
        <f ca="1">LED計算式!C61</f>
        <v>0</v>
      </c>
      <c r="J14" s="1311"/>
      <c r="K14" s="1311"/>
      <c r="L14" s="1311"/>
      <c r="M14" s="1311"/>
      <c r="N14" s="1312"/>
      <c r="O14" s="497"/>
      <c r="S14" s="1286" t="str">
        <f ca="1">IFERROR(S17/((LED計算式!C57+LED計算式!C58)-(LED計算式!D58+LED計算式!D57))/12,"0")</f>
        <v>0</v>
      </c>
      <c r="T14" s="1287"/>
      <c r="U14" s="1287"/>
      <c r="V14" s="1287"/>
      <c r="W14" s="1287"/>
      <c r="X14" s="1287"/>
      <c r="Y14" s="1287"/>
      <c r="Z14" s="1288"/>
      <c r="AA14" s="490"/>
      <c r="AC14" s="487"/>
      <c r="AD14" s="441"/>
      <c r="AE14" s="441"/>
      <c r="AF14" s="441"/>
      <c r="AG14" s="441"/>
      <c r="AH14" s="441"/>
      <c r="AI14" s="441"/>
      <c r="AJ14" s="442"/>
      <c r="AK14" s="1310">
        <f ca="1">LED計算式!H61</f>
        <v>0</v>
      </c>
      <c r="AL14" s="1311"/>
      <c r="AM14" s="1311"/>
      <c r="AN14" s="1311"/>
      <c r="AO14" s="1311"/>
      <c r="AP14" s="1312"/>
      <c r="AQ14" s="500"/>
      <c r="AR14" s="441"/>
      <c r="AS14" s="441"/>
      <c r="AT14" s="441"/>
      <c r="AU14" s="1286" t="str">
        <f ca="1">IFERROR(AU17/((LED計算式!H57+LED計算式!H58)-(LED計算式!I58+LED計算式!I57))/12,"0")</f>
        <v>0</v>
      </c>
      <c r="AV14" s="1287"/>
      <c r="AW14" s="1287"/>
      <c r="AX14" s="1287"/>
      <c r="AY14" s="1287"/>
      <c r="AZ14" s="1287"/>
      <c r="BA14" s="1287"/>
      <c r="BB14" s="1288"/>
      <c r="BC14" s="488"/>
    </row>
    <row r="15" spans="1:59" ht="16.149999999999999" customHeight="1" thickBot="1">
      <c r="A15" s="489"/>
      <c r="B15" s="441"/>
      <c r="C15" s="441"/>
      <c r="D15" s="441"/>
      <c r="E15" s="441"/>
      <c r="F15" s="441"/>
      <c r="G15" s="442"/>
      <c r="H15" s="442"/>
      <c r="I15" s="1324" t="s">
        <v>425</v>
      </c>
      <c r="J15" s="1325"/>
      <c r="K15" s="1325"/>
      <c r="L15" s="1325"/>
      <c r="M15" s="1325"/>
      <c r="N15" s="1326"/>
      <c r="O15" s="497"/>
      <c r="S15" s="1289"/>
      <c r="T15" s="1290"/>
      <c r="U15" s="1290"/>
      <c r="V15" s="1290"/>
      <c r="W15" s="1290"/>
      <c r="X15" s="1290"/>
      <c r="Y15" s="1290"/>
      <c r="Z15" s="1291"/>
      <c r="AA15" s="490"/>
      <c r="AC15" s="487"/>
      <c r="AD15" s="441"/>
      <c r="AE15" s="441"/>
      <c r="AF15" s="441"/>
      <c r="AG15" s="441"/>
      <c r="AH15" s="441"/>
      <c r="AI15" s="441"/>
      <c r="AJ15" s="442"/>
      <c r="AK15" s="1327" t="s">
        <v>425</v>
      </c>
      <c r="AL15" s="1328"/>
      <c r="AM15" s="1328"/>
      <c r="AN15" s="1328"/>
      <c r="AO15" s="1328"/>
      <c r="AP15" s="1329"/>
      <c r="AQ15" s="500"/>
      <c r="AR15" s="441"/>
      <c r="AS15" s="441"/>
      <c r="AT15" s="441"/>
      <c r="AU15" s="1289"/>
      <c r="AV15" s="1290"/>
      <c r="AW15" s="1290"/>
      <c r="AX15" s="1290"/>
      <c r="AY15" s="1290"/>
      <c r="AZ15" s="1290"/>
      <c r="BA15" s="1290"/>
      <c r="BB15" s="1291"/>
      <c r="BC15" s="488"/>
    </row>
    <row r="16" spans="1:59" ht="16.149999999999999" customHeight="1" thickTop="1" thickBot="1">
      <c r="A16" s="487"/>
      <c r="B16" s="1332"/>
      <c r="C16" s="1332"/>
      <c r="D16" s="1332"/>
      <c r="E16" s="1332"/>
      <c r="F16" s="1332"/>
      <c r="G16" s="1332"/>
      <c r="H16" s="448"/>
      <c r="I16" s="1310">
        <f>LED計算式!C62</f>
        <v>0</v>
      </c>
      <c r="J16" s="1311"/>
      <c r="K16" s="1311"/>
      <c r="L16" s="1311"/>
      <c r="M16" s="1311"/>
      <c r="N16" s="1312"/>
      <c r="O16" s="497"/>
      <c r="S16" s="1292" t="s">
        <v>426</v>
      </c>
      <c r="T16" s="1293"/>
      <c r="U16" s="1293"/>
      <c r="V16" s="1293"/>
      <c r="W16" s="1293"/>
      <c r="X16" s="1293"/>
      <c r="Y16" s="1293"/>
      <c r="Z16" s="1294"/>
      <c r="AA16" s="491"/>
      <c r="AC16" s="487"/>
      <c r="AD16" s="444"/>
      <c r="AE16" s="448"/>
      <c r="AK16" s="1310">
        <f>LED計算式!H62</f>
        <v>0</v>
      </c>
      <c r="AL16" s="1311"/>
      <c r="AM16" s="1311"/>
      <c r="AN16" s="1311"/>
      <c r="AO16" s="1311"/>
      <c r="AP16" s="1312"/>
      <c r="AQ16" s="497"/>
      <c r="AT16" s="448"/>
      <c r="AU16" s="1292" t="s">
        <v>426</v>
      </c>
      <c r="AV16" s="1293"/>
      <c r="AW16" s="1293"/>
      <c r="AX16" s="1293"/>
      <c r="AY16" s="1293"/>
      <c r="AZ16" s="1293"/>
      <c r="BA16" s="1293"/>
      <c r="BB16" s="1294"/>
      <c r="BC16" s="488"/>
    </row>
    <row r="17" spans="1:55" ht="16.149999999999999" customHeight="1" thickTop="1">
      <c r="A17" s="487"/>
      <c r="C17" s="447"/>
      <c r="D17" s="447"/>
      <c r="E17" s="447"/>
      <c r="F17" s="447"/>
      <c r="G17" s="447"/>
      <c r="H17" s="447"/>
      <c r="I17" s="1324" t="s">
        <v>427</v>
      </c>
      <c r="J17" s="1325"/>
      <c r="K17" s="1325"/>
      <c r="L17" s="1325"/>
      <c r="M17" s="1325"/>
      <c r="N17" s="1326"/>
      <c r="O17" s="498"/>
      <c r="P17" s="447"/>
      <c r="S17" s="1295">
        <f ca="1">☆入力!AO16</f>
        <v>0</v>
      </c>
      <c r="T17" s="1296"/>
      <c r="U17" s="1296"/>
      <c r="V17" s="1296"/>
      <c r="W17" s="1296"/>
      <c r="X17" s="1296"/>
      <c r="Y17" s="1296"/>
      <c r="Z17" s="1297"/>
      <c r="AA17" s="488"/>
      <c r="AC17" s="487"/>
      <c r="AF17" s="447"/>
      <c r="AG17" s="447"/>
      <c r="AH17" s="447"/>
      <c r="AI17" s="447"/>
      <c r="AJ17" s="447"/>
      <c r="AK17" s="1327" t="s">
        <v>427</v>
      </c>
      <c r="AL17" s="1328"/>
      <c r="AM17" s="1328"/>
      <c r="AN17" s="1328"/>
      <c r="AO17" s="1328"/>
      <c r="AP17" s="1329"/>
      <c r="AQ17" s="498"/>
      <c r="AR17" s="447"/>
      <c r="AS17" s="447"/>
      <c r="AT17" s="447"/>
      <c r="AU17" s="1295">
        <f ca="1">☆入力!AO17</f>
        <v>0</v>
      </c>
      <c r="AV17" s="1296"/>
      <c r="AW17" s="1296"/>
      <c r="AX17" s="1296"/>
      <c r="AY17" s="1296"/>
      <c r="AZ17" s="1296"/>
      <c r="BA17" s="1296"/>
      <c r="BB17" s="1297"/>
      <c r="BC17" s="488"/>
    </row>
    <row r="18" spans="1:55" ht="16.149999999999999" customHeight="1" thickBot="1">
      <c r="A18" s="487"/>
      <c r="C18" s="447"/>
      <c r="D18" s="447"/>
      <c r="E18" s="447"/>
      <c r="F18" s="447"/>
      <c r="G18" s="447"/>
      <c r="H18" s="447"/>
      <c r="I18" s="1310">
        <f ca="1">LED計算式!C63</f>
        <v>0</v>
      </c>
      <c r="J18" s="1311"/>
      <c r="K18" s="1311"/>
      <c r="L18" s="1311"/>
      <c r="M18" s="1311"/>
      <c r="N18" s="1312"/>
      <c r="O18" s="498"/>
      <c r="P18" s="447"/>
      <c r="S18" s="1298"/>
      <c r="T18" s="1299"/>
      <c r="U18" s="1299"/>
      <c r="V18" s="1299"/>
      <c r="W18" s="1299"/>
      <c r="X18" s="1299"/>
      <c r="Y18" s="1299"/>
      <c r="Z18" s="1300"/>
      <c r="AA18" s="488"/>
      <c r="AC18" s="487"/>
      <c r="AF18" s="447"/>
      <c r="AG18" s="447"/>
      <c r="AH18" s="447"/>
      <c r="AI18" s="447"/>
      <c r="AJ18" s="447"/>
      <c r="AK18" s="1310">
        <f ca="1">LED計算式!H63</f>
        <v>0</v>
      </c>
      <c r="AL18" s="1311"/>
      <c r="AM18" s="1311"/>
      <c r="AN18" s="1311"/>
      <c r="AO18" s="1311"/>
      <c r="AP18" s="1312"/>
      <c r="AQ18" s="498"/>
      <c r="AR18" s="447"/>
      <c r="AS18" s="447"/>
      <c r="AT18" s="447"/>
      <c r="AU18" s="1298"/>
      <c r="AV18" s="1299"/>
      <c r="AW18" s="1299"/>
      <c r="AX18" s="1299"/>
      <c r="AY18" s="1299"/>
      <c r="AZ18" s="1299"/>
      <c r="BA18" s="1299"/>
      <c r="BB18" s="1300"/>
      <c r="BC18" s="488"/>
    </row>
    <row r="19" spans="1:55" ht="9.6" customHeight="1" thickTop="1">
      <c r="A19" s="492"/>
      <c r="B19" s="493"/>
      <c r="C19" s="494"/>
      <c r="D19" s="494"/>
      <c r="E19" s="494"/>
      <c r="F19" s="494"/>
      <c r="G19" s="494"/>
      <c r="H19" s="494"/>
      <c r="I19" s="493"/>
      <c r="J19" s="493"/>
      <c r="K19" s="493"/>
      <c r="L19" s="493"/>
      <c r="M19" s="493"/>
      <c r="N19" s="493"/>
      <c r="O19" s="499"/>
      <c r="P19" s="494"/>
      <c r="Q19" s="494"/>
      <c r="R19" s="494"/>
      <c r="S19" s="494"/>
      <c r="T19" s="494"/>
      <c r="U19" s="495"/>
      <c r="V19" s="495"/>
      <c r="W19" s="495"/>
      <c r="X19" s="495"/>
      <c r="Y19" s="495"/>
      <c r="Z19" s="495"/>
      <c r="AA19" s="496"/>
      <c r="AC19" s="492"/>
      <c r="AD19" s="493"/>
      <c r="AE19" s="493"/>
      <c r="AF19" s="494"/>
      <c r="AG19" s="494"/>
      <c r="AH19" s="494"/>
      <c r="AI19" s="494"/>
      <c r="AJ19" s="494"/>
      <c r="AK19" s="494"/>
      <c r="AL19" s="494"/>
      <c r="AM19" s="494"/>
      <c r="AN19" s="494"/>
      <c r="AO19" s="494"/>
      <c r="AP19" s="494"/>
      <c r="AQ19" s="499"/>
      <c r="AR19" s="494"/>
      <c r="AS19" s="494"/>
      <c r="AT19" s="494"/>
      <c r="AU19" s="494"/>
      <c r="AV19" s="494"/>
      <c r="AW19" s="494"/>
      <c r="AX19" s="494"/>
      <c r="AY19" s="494"/>
      <c r="AZ19" s="494"/>
      <c r="BA19" s="494"/>
      <c r="BB19" s="494"/>
      <c r="BC19" s="496"/>
    </row>
    <row r="20" spans="1:55" ht="21.95" customHeight="1">
      <c r="C20" s="447"/>
      <c r="D20" s="447"/>
      <c r="E20" s="447"/>
      <c r="F20" s="447"/>
      <c r="G20" s="447"/>
      <c r="H20" s="447"/>
      <c r="I20" s="447"/>
      <c r="J20" s="447"/>
      <c r="K20" s="447"/>
      <c r="L20" s="447"/>
      <c r="M20" s="447"/>
      <c r="N20" s="447"/>
      <c r="O20" s="447"/>
      <c r="P20" s="447"/>
      <c r="Q20" s="447"/>
      <c r="R20" s="447"/>
      <c r="S20" s="447"/>
      <c r="T20" s="447"/>
      <c r="U20" s="447"/>
      <c r="V20" s="447"/>
      <c r="W20" s="447"/>
      <c r="X20" s="447"/>
      <c r="Y20" s="447"/>
      <c r="AD20" s="447"/>
      <c r="AE20" s="447"/>
      <c r="AF20" s="447"/>
      <c r="AG20" s="447"/>
      <c r="AH20" s="447"/>
      <c r="AI20" s="447"/>
      <c r="AJ20" s="447"/>
      <c r="AK20" s="447"/>
      <c r="AL20" s="447"/>
      <c r="AM20" s="447"/>
      <c r="AN20" s="447"/>
      <c r="AO20" s="447"/>
      <c r="AP20" s="447"/>
      <c r="AQ20" s="447"/>
      <c r="AR20" s="447"/>
      <c r="AS20" s="447"/>
      <c r="AT20" s="447"/>
      <c r="AU20" s="447"/>
      <c r="AV20" s="447"/>
      <c r="AW20" s="447"/>
      <c r="AX20" s="447"/>
      <c r="AY20" s="447"/>
      <c r="AZ20" s="447"/>
    </row>
    <row r="21" spans="1:55" s="66" customFormat="1" ht="21.95" customHeight="1">
      <c r="A21" s="1339">
        <f>LED計算式!L43</f>
        <v>0</v>
      </c>
      <c r="B21" s="1340"/>
      <c r="C21" s="1340"/>
      <c r="D21" s="1340"/>
      <c r="E21" s="1340"/>
      <c r="F21" s="1340"/>
      <c r="G21" s="1340"/>
      <c r="H21" s="1340"/>
      <c r="I21" s="1340"/>
      <c r="J21" s="1340"/>
      <c r="K21" s="1340"/>
      <c r="L21" s="1340"/>
      <c r="M21" s="1340"/>
      <c r="N21" s="1340"/>
      <c r="O21" s="1340"/>
      <c r="P21" s="1340"/>
      <c r="Q21" s="1340"/>
      <c r="R21" s="1340"/>
      <c r="S21" s="1340"/>
      <c r="T21" s="1340"/>
      <c r="U21" s="1340"/>
      <c r="V21" s="1340"/>
      <c r="W21" s="1340"/>
      <c r="X21" s="1340"/>
      <c r="Y21" s="1340"/>
      <c r="Z21" s="1340"/>
      <c r="AA21" s="1341"/>
      <c r="AC21" s="1342">
        <f>LED計算式!Q43</f>
        <v>0</v>
      </c>
      <c r="AD21" s="1343"/>
      <c r="AE21" s="1343"/>
      <c r="AF21" s="1343"/>
      <c r="AG21" s="1343"/>
      <c r="AH21" s="1343"/>
      <c r="AI21" s="1343"/>
      <c r="AJ21" s="1343"/>
      <c r="AK21" s="1343"/>
      <c r="AL21" s="1343"/>
      <c r="AM21" s="1343"/>
      <c r="AN21" s="1343"/>
      <c r="AO21" s="1343"/>
      <c r="AP21" s="1343"/>
      <c r="AQ21" s="1343"/>
      <c r="AR21" s="1343"/>
      <c r="AS21" s="1343"/>
      <c r="AT21" s="1343"/>
      <c r="AU21" s="1343"/>
      <c r="AV21" s="1343"/>
      <c r="AW21" s="1343"/>
      <c r="AX21" s="1343"/>
      <c r="AY21" s="1343"/>
      <c r="AZ21" s="1343"/>
      <c r="BA21" s="1343"/>
      <c r="BB21" s="1343"/>
      <c r="BC21" s="1344"/>
    </row>
    <row r="22" spans="1:55" ht="21.95" customHeight="1">
      <c r="A22" s="1345" t="s">
        <v>421</v>
      </c>
      <c r="B22" s="1346"/>
      <c r="C22" s="1346"/>
      <c r="D22" s="1346"/>
      <c r="E22" s="1346"/>
      <c r="F22" s="1346"/>
      <c r="G22" s="1346"/>
      <c r="H22" s="1346"/>
      <c r="I22" s="1346"/>
      <c r="J22" s="1346"/>
      <c r="K22" s="1346"/>
      <c r="L22" s="1346"/>
      <c r="M22" s="1346"/>
      <c r="N22" s="1346"/>
      <c r="O22" s="1347"/>
      <c r="P22" s="1348" t="s">
        <v>422</v>
      </c>
      <c r="Q22" s="1346"/>
      <c r="R22" s="1346"/>
      <c r="S22" s="1346"/>
      <c r="T22" s="1346"/>
      <c r="U22" s="1346"/>
      <c r="V22" s="1346"/>
      <c r="W22" s="1346"/>
      <c r="X22" s="1346"/>
      <c r="Y22" s="1346"/>
      <c r="Z22" s="1346"/>
      <c r="AA22" s="1349"/>
      <c r="AC22" s="1350" t="s">
        <v>421</v>
      </c>
      <c r="AD22" s="1351"/>
      <c r="AE22" s="1351"/>
      <c r="AF22" s="1351"/>
      <c r="AG22" s="1351"/>
      <c r="AH22" s="1351"/>
      <c r="AI22" s="1351"/>
      <c r="AJ22" s="1351"/>
      <c r="AK22" s="1351"/>
      <c r="AL22" s="1351"/>
      <c r="AM22" s="1351"/>
      <c r="AN22" s="1351"/>
      <c r="AO22" s="1351"/>
      <c r="AP22" s="1351"/>
      <c r="AQ22" s="1352"/>
      <c r="AR22" s="1353" t="s">
        <v>422</v>
      </c>
      <c r="AS22" s="1351"/>
      <c r="AT22" s="1351"/>
      <c r="AU22" s="1351"/>
      <c r="AV22" s="1351"/>
      <c r="AW22" s="1351"/>
      <c r="AX22" s="1351"/>
      <c r="AY22" s="1351"/>
      <c r="AZ22" s="1351"/>
      <c r="BA22" s="1351"/>
      <c r="BB22" s="1351"/>
      <c r="BC22" s="1354"/>
    </row>
    <row r="23" spans="1:55" ht="24" customHeight="1">
      <c r="A23" s="487"/>
      <c r="O23" s="497"/>
      <c r="AA23" s="488"/>
      <c r="AC23" s="487"/>
      <c r="AQ23" s="497"/>
      <c r="BC23" s="488"/>
    </row>
    <row r="24" spans="1:55" ht="24" customHeight="1">
      <c r="A24" s="487"/>
      <c r="O24" s="497"/>
      <c r="AA24" s="488"/>
      <c r="AC24" s="487"/>
      <c r="AQ24" s="497"/>
      <c r="BC24" s="488"/>
    </row>
    <row r="25" spans="1:55" ht="24" customHeight="1">
      <c r="A25" s="487"/>
      <c r="O25" s="497"/>
      <c r="AA25" s="488"/>
      <c r="AC25" s="487"/>
      <c r="AQ25" s="497"/>
      <c r="BC25" s="488"/>
    </row>
    <row r="26" spans="1:55" ht="24" customHeight="1">
      <c r="A26" s="487"/>
      <c r="O26" s="497"/>
      <c r="AA26" s="488"/>
      <c r="AC26" s="487"/>
      <c r="AQ26" s="497"/>
      <c r="BC26" s="488"/>
    </row>
    <row r="27" spans="1:55" ht="24" customHeight="1">
      <c r="A27" s="487"/>
      <c r="O27" s="497"/>
      <c r="AA27" s="488"/>
      <c r="AC27" s="487"/>
      <c r="AQ27" s="497"/>
      <c r="BC27" s="488"/>
    </row>
    <row r="28" spans="1:55" ht="24" customHeight="1">
      <c r="A28" s="487"/>
      <c r="O28" s="497"/>
      <c r="AA28" s="488"/>
      <c r="AC28" s="487"/>
      <c r="AQ28" s="497"/>
      <c r="BC28" s="488"/>
    </row>
    <row r="29" spans="1:55" ht="24" customHeight="1">
      <c r="A29" s="487"/>
      <c r="O29" s="497"/>
      <c r="AA29" s="488"/>
      <c r="AC29" s="487"/>
      <c r="AQ29" s="497"/>
      <c r="BC29" s="488"/>
    </row>
    <row r="30" spans="1:55" ht="35.450000000000003" customHeight="1" thickBot="1">
      <c r="A30" s="487"/>
      <c r="O30" s="497"/>
      <c r="AA30" s="488"/>
      <c r="AC30" s="487"/>
      <c r="AQ30" s="497"/>
      <c r="BC30" s="488"/>
    </row>
    <row r="31" spans="1:55" ht="16.899999999999999" customHeight="1" thickTop="1" thickBot="1">
      <c r="A31" s="489"/>
      <c r="B31" s="441"/>
      <c r="C31" s="441"/>
      <c r="D31" s="441"/>
      <c r="E31" s="441"/>
      <c r="F31" s="441"/>
      <c r="G31" s="442"/>
      <c r="H31" s="442"/>
      <c r="I31" s="1333" t="s">
        <v>423</v>
      </c>
      <c r="J31" s="1334"/>
      <c r="K31" s="1334"/>
      <c r="L31" s="1334"/>
      <c r="M31" s="1334"/>
      <c r="N31" s="1335"/>
      <c r="O31" s="500"/>
      <c r="P31" s="441"/>
      <c r="Q31" s="441"/>
      <c r="R31" s="441"/>
      <c r="S31" s="1283" t="s">
        <v>424</v>
      </c>
      <c r="T31" s="1284"/>
      <c r="U31" s="1284"/>
      <c r="V31" s="1284"/>
      <c r="W31" s="1284"/>
      <c r="X31" s="1284"/>
      <c r="Y31" s="1284"/>
      <c r="Z31" s="1285"/>
      <c r="AA31" s="490"/>
      <c r="AC31" s="487"/>
      <c r="AD31" s="441"/>
      <c r="AE31" s="441"/>
      <c r="AF31" s="441"/>
      <c r="AG31" s="441"/>
      <c r="AH31" s="441"/>
      <c r="AI31" s="441"/>
      <c r="AJ31" s="442"/>
      <c r="AK31" s="1336" t="s">
        <v>423</v>
      </c>
      <c r="AL31" s="1337"/>
      <c r="AM31" s="1337"/>
      <c r="AN31" s="1337"/>
      <c r="AO31" s="1337"/>
      <c r="AP31" s="1338"/>
      <c r="AQ31" s="500"/>
      <c r="AR31" s="441"/>
      <c r="AS31" s="441"/>
      <c r="AT31" s="441"/>
      <c r="AU31" s="1283" t="s">
        <v>424</v>
      </c>
      <c r="AV31" s="1284"/>
      <c r="AW31" s="1284"/>
      <c r="AX31" s="1284"/>
      <c r="AY31" s="1284"/>
      <c r="AZ31" s="1284"/>
      <c r="BA31" s="1284"/>
      <c r="BB31" s="1285"/>
      <c r="BC31" s="490"/>
    </row>
    <row r="32" spans="1:55" ht="16.899999999999999" customHeight="1" thickTop="1">
      <c r="A32" s="489"/>
      <c r="B32" s="441"/>
      <c r="C32" s="441"/>
      <c r="D32" s="441"/>
      <c r="E32" s="441"/>
      <c r="F32" s="441"/>
      <c r="G32" s="442"/>
      <c r="H32" s="442"/>
      <c r="I32" s="1310">
        <f ca="1">LED計算式!M61</f>
        <v>0</v>
      </c>
      <c r="J32" s="1311"/>
      <c r="K32" s="1311"/>
      <c r="L32" s="1311"/>
      <c r="M32" s="1311"/>
      <c r="N32" s="1312"/>
      <c r="O32" s="500"/>
      <c r="P32" s="441"/>
      <c r="Q32" s="441"/>
      <c r="R32" s="441"/>
      <c r="S32" s="1286" t="str">
        <f ca="1">IFERROR(S35/((LED計算式!M57+LED計算式!M58)-(LED計算式!N58+LED計算式!N57))/12,"0")</f>
        <v>0</v>
      </c>
      <c r="T32" s="1287"/>
      <c r="U32" s="1287"/>
      <c r="V32" s="1287"/>
      <c r="W32" s="1287"/>
      <c r="X32" s="1287"/>
      <c r="Y32" s="1287"/>
      <c r="Z32" s="1288"/>
      <c r="AA32" s="490"/>
      <c r="AC32" s="487"/>
      <c r="AD32" s="441"/>
      <c r="AE32" s="441"/>
      <c r="AF32" s="441"/>
      <c r="AG32" s="441"/>
      <c r="AH32" s="441"/>
      <c r="AI32" s="441"/>
      <c r="AJ32" s="442"/>
      <c r="AK32" s="1310">
        <f ca="1">LED計算式!R61</f>
        <v>0</v>
      </c>
      <c r="AL32" s="1311"/>
      <c r="AM32" s="1311"/>
      <c r="AN32" s="1311"/>
      <c r="AO32" s="1311"/>
      <c r="AP32" s="1312"/>
      <c r="AQ32" s="500"/>
      <c r="AR32" s="441"/>
      <c r="AS32" s="441"/>
      <c r="AT32" s="441"/>
      <c r="AU32" s="1286" t="str">
        <f ca="1">IFERROR(AU35/((LED計算式!R57+LED計算式!R58)-(LED計算式!S58+LED計算式!S57))/12,"0")</f>
        <v>0</v>
      </c>
      <c r="AV32" s="1287"/>
      <c r="AW32" s="1287"/>
      <c r="AX32" s="1287"/>
      <c r="AY32" s="1287"/>
      <c r="AZ32" s="1287"/>
      <c r="BA32" s="1287"/>
      <c r="BB32" s="1288"/>
      <c r="BC32" s="490"/>
    </row>
    <row r="33" spans="1:55" ht="16.899999999999999" customHeight="1" thickBot="1">
      <c r="A33" s="501"/>
      <c r="B33" s="448"/>
      <c r="I33" s="1333" t="s">
        <v>425</v>
      </c>
      <c r="J33" s="1334"/>
      <c r="K33" s="1334"/>
      <c r="L33" s="1334"/>
      <c r="M33" s="1334"/>
      <c r="N33" s="1335"/>
      <c r="O33" s="497"/>
      <c r="Q33" s="448"/>
      <c r="R33" s="448"/>
      <c r="S33" s="1289"/>
      <c r="T33" s="1290"/>
      <c r="U33" s="1290"/>
      <c r="V33" s="1290"/>
      <c r="W33" s="1290"/>
      <c r="X33" s="1290"/>
      <c r="Y33" s="1290"/>
      <c r="Z33" s="1291"/>
      <c r="AA33" s="491"/>
      <c r="AC33" s="487"/>
      <c r="AD33" s="444"/>
      <c r="AE33" s="448"/>
      <c r="AK33" s="1336" t="s">
        <v>425</v>
      </c>
      <c r="AL33" s="1337"/>
      <c r="AM33" s="1337"/>
      <c r="AN33" s="1337"/>
      <c r="AO33" s="1337"/>
      <c r="AP33" s="1338"/>
      <c r="AQ33" s="497"/>
      <c r="AT33" s="448"/>
      <c r="AU33" s="1289"/>
      <c r="AV33" s="1290"/>
      <c r="AW33" s="1290"/>
      <c r="AX33" s="1290"/>
      <c r="AY33" s="1290"/>
      <c r="AZ33" s="1290"/>
      <c r="BA33" s="1290"/>
      <c r="BB33" s="1291"/>
      <c r="BC33" s="491"/>
    </row>
    <row r="34" spans="1:55" ht="16.899999999999999" customHeight="1" thickTop="1" thickBot="1">
      <c r="A34" s="487"/>
      <c r="I34" s="1310">
        <f>LED計算式!M62</f>
        <v>0</v>
      </c>
      <c r="J34" s="1311"/>
      <c r="K34" s="1311"/>
      <c r="L34" s="1311"/>
      <c r="M34" s="1311"/>
      <c r="N34" s="1312"/>
      <c r="O34" s="497"/>
      <c r="S34" s="1292" t="s">
        <v>426</v>
      </c>
      <c r="T34" s="1293"/>
      <c r="U34" s="1293"/>
      <c r="V34" s="1293"/>
      <c r="W34" s="1293"/>
      <c r="X34" s="1293"/>
      <c r="Y34" s="1293"/>
      <c r="Z34" s="1294"/>
      <c r="AA34" s="488"/>
      <c r="AC34" s="487"/>
      <c r="AK34" s="1310">
        <f>LED計算式!R62</f>
        <v>0</v>
      </c>
      <c r="AL34" s="1311"/>
      <c r="AM34" s="1311"/>
      <c r="AN34" s="1311"/>
      <c r="AO34" s="1311"/>
      <c r="AP34" s="1312"/>
      <c r="AQ34" s="497"/>
      <c r="AU34" s="1292" t="s">
        <v>426</v>
      </c>
      <c r="AV34" s="1293"/>
      <c r="AW34" s="1293"/>
      <c r="AX34" s="1293"/>
      <c r="AY34" s="1293"/>
      <c r="AZ34" s="1293"/>
      <c r="BA34" s="1293"/>
      <c r="BB34" s="1294"/>
      <c r="BC34" s="488"/>
    </row>
    <row r="35" spans="1:55" ht="16.899999999999999" customHeight="1" thickTop="1">
      <c r="A35" s="487"/>
      <c r="I35" s="1333" t="s">
        <v>427</v>
      </c>
      <c r="J35" s="1334"/>
      <c r="K35" s="1334"/>
      <c r="L35" s="1334"/>
      <c r="M35" s="1334"/>
      <c r="N35" s="1335"/>
      <c r="O35" s="497"/>
      <c r="S35" s="1295">
        <f ca="1">☆入力!AO18</f>
        <v>0</v>
      </c>
      <c r="T35" s="1296"/>
      <c r="U35" s="1296"/>
      <c r="V35" s="1296"/>
      <c r="W35" s="1296"/>
      <c r="X35" s="1296"/>
      <c r="Y35" s="1296"/>
      <c r="Z35" s="1297"/>
      <c r="AA35" s="488"/>
      <c r="AC35" s="487"/>
      <c r="AK35" s="1336" t="s">
        <v>427</v>
      </c>
      <c r="AL35" s="1337"/>
      <c r="AM35" s="1337"/>
      <c r="AN35" s="1337"/>
      <c r="AO35" s="1337"/>
      <c r="AP35" s="1338"/>
      <c r="AQ35" s="497"/>
      <c r="AU35" s="1295">
        <f ca="1">☆入力!AO19</f>
        <v>0</v>
      </c>
      <c r="AV35" s="1296"/>
      <c r="AW35" s="1296"/>
      <c r="AX35" s="1296"/>
      <c r="AY35" s="1296"/>
      <c r="AZ35" s="1296"/>
      <c r="BA35" s="1296"/>
      <c r="BB35" s="1297"/>
      <c r="BC35" s="488"/>
    </row>
    <row r="36" spans="1:55" ht="16.899999999999999" customHeight="1" thickBot="1">
      <c r="A36" s="487"/>
      <c r="I36" s="1310">
        <f ca="1">LED計算式!M63</f>
        <v>0</v>
      </c>
      <c r="J36" s="1311"/>
      <c r="K36" s="1311"/>
      <c r="L36" s="1311"/>
      <c r="M36" s="1311"/>
      <c r="N36" s="1312"/>
      <c r="O36" s="497"/>
      <c r="S36" s="1298"/>
      <c r="T36" s="1299"/>
      <c r="U36" s="1299"/>
      <c r="V36" s="1299"/>
      <c r="W36" s="1299"/>
      <c r="X36" s="1299"/>
      <c r="Y36" s="1299"/>
      <c r="Z36" s="1300"/>
      <c r="AA36" s="488"/>
      <c r="AC36" s="487"/>
      <c r="AK36" s="1310">
        <f ca="1">LED計算式!R63</f>
        <v>0</v>
      </c>
      <c r="AL36" s="1311"/>
      <c r="AM36" s="1311"/>
      <c r="AN36" s="1311"/>
      <c r="AO36" s="1311"/>
      <c r="AP36" s="1312"/>
      <c r="AQ36" s="497"/>
      <c r="AU36" s="1298"/>
      <c r="AV36" s="1299"/>
      <c r="AW36" s="1299"/>
      <c r="AX36" s="1299"/>
      <c r="AY36" s="1299"/>
      <c r="AZ36" s="1299"/>
      <c r="BA36" s="1299"/>
      <c r="BB36" s="1300"/>
      <c r="BC36" s="488"/>
    </row>
    <row r="37" spans="1:55" ht="9.6" customHeight="1" thickTop="1">
      <c r="A37" s="492"/>
      <c r="B37" s="493"/>
      <c r="C37" s="493"/>
      <c r="D37" s="493"/>
      <c r="E37" s="493"/>
      <c r="F37" s="493"/>
      <c r="G37" s="493"/>
      <c r="H37" s="493"/>
      <c r="I37" s="493"/>
      <c r="J37" s="493"/>
      <c r="K37" s="493"/>
      <c r="L37" s="493"/>
      <c r="M37" s="493"/>
      <c r="N37" s="493"/>
      <c r="O37" s="502"/>
      <c r="P37" s="493"/>
      <c r="Q37" s="493"/>
      <c r="R37" s="493"/>
      <c r="S37" s="493"/>
      <c r="T37" s="493"/>
      <c r="U37" s="493"/>
      <c r="V37" s="493"/>
      <c r="W37" s="493"/>
      <c r="X37" s="493"/>
      <c r="Y37" s="493"/>
      <c r="Z37" s="493"/>
      <c r="AA37" s="496"/>
      <c r="AC37" s="492"/>
      <c r="AD37" s="493"/>
      <c r="AE37" s="493"/>
      <c r="AF37" s="493"/>
      <c r="AG37" s="493"/>
      <c r="AH37" s="493"/>
      <c r="AI37" s="493"/>
      <c r="AJ37" s="493"/>
      <c r="AK37" s="493"/>
      <c r="AL37" s="493"/>
      <c r="AM37" s="493"/>
      <c r="AN37" s="493"/>
      <c r="AO37" s="493"/>
      <c r="AP37" s="493"/>
      <c r="AQ37" s="502"/>
      <c r="AR37" s="493"/>
      <c r="AS37" s="493"/>
      <c r="AT37" s="493"/>
      <c r="AU37" s="493"/>
      <c r="AV37" s="493"/>
      <c r="AW37" s="493"/>
      <c r="AX37" s="493"/>
      <c r="AY37" s="493"/>
      <c r="AZ37" s="493"/>
      <c r="BA37" s="493"/>
      <c r="BB37" s="493"/>
      <c r="BC37" s="496"/>
    </row>
  </sheetData>
  <mergeCells count="54">
    <mergeCell ref="A1:BC1"/>
    <mergeCell ref="A3:AA3"/>
    <mergeCell ref="AC3:BC3"/>
    <mergeCell ref="A4:O4"/>
    <mergeCell ref="P4:AA4"/>
    <mergeCell ref="AC4:AQ4"/>
    <mergeCell ref="AR4:BC4"/>
    <mergeCell ref="I13:N13"/>
    <mergeCell ref="S13:Z13"/>
    <mergeCell ref="AK13:AP13"/>
    <mergeCell ref="AU13:BB13"/>
    <mergeCell ref="I14:N14"/>
    <mergeCell ref="S14:Z15"/>
    <mergeCell ref="AK14:AP14"/>
    <mergeCell ref="AU14:BB15"/>
    <mergeCell ref="I15:N15"/>
    <mergeCell ref="AK15:AP15"/>
    <mergeCell ref="I17:N17"/>
    <mergeCell ref="S17:Z18"/>
    <mergeCell ref="AK17:AP17"/>
    <mergeCell ref="AU17:BB18"/>
    <mergeCell ref="I18:N18"/>
    <mergeCell ref="AK18:AP18"/>
    <mergeCell ref="B16:G16"/>
    <mergeCell ref="I16:N16"/>
    <mergeCell ref="S16:Z16"/>
    <mergeCell ref="AK16:AP16"/>
    <mergeCell ref="AU16:BB16"/>
    <mergeCell ref="A21:AA21"/>
    <mergeCell ref="AC21:BC21"/>
    <mergeCell ref="A22:O22"/>
    <mergeCell ref="P22:AA22"/>
    <mergeCell ref="AC22:AQ22"/>
    <mergeCell ref="AR22:BC22"/>
    <mergeCell ref="I31:N31"/>
    <mergeCell ref="S31:Z31"/>
    <mergeCell ref="AK31:AP31"/>
    <mergeCell ref="AU31:BB31"/>
    <mergeCell ref="I32:N32"/>
    <mergeCell ref="S32:Z33"/>
    <mergeCell ref="AK32:AP32"/>
    <mergeCell ref="AU32:BB33"/>
    <mergeCell ref="I33:N33"/>
    <mergeCell ref="AK33:AP33"/>
    <mergeCell ref="I34:N34"/>
    <mergeCell ref="S34:Z34"/>
    <mergeCell ref="AK34:AP34"/>
    <mergeCell ref="AU34:BB34"/>
    <mergeCell ref="I35:N35"/>
    <mergeCell ref="S35:Z36"/>
    <mergeCell ref="AK35:AP35"/>
    <mergeCell ref="AU35:BB36"/>
    <mergeCell ref="I36:N36"/>
    <mergeCell ref="AK36:AP36"/>
  </mergeCells>
  <phoneticPr fontId="2"/>
  <pageMargins left="0.25" right="0.25" top="0.75" bottom="0.75" header="0.3" footer="0.3"/>
  <pageSetup paperSize="9" scale="59"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zoomScaleNormal="70" zoomScaleSheetLayoutView="100" workbookViewId="0">
      <selection activeCell="B42" sqref="B42"/>
    </sheetView>
  </sheetViews>
  <sheetFormatPr defaultColWidth="15.375" defaultRowHeight="18.75" outlineLevelRow="1"/>
  <cols>
    <col min="1" max="1" width="15.375" style="5"/>
    <col min="2" max="7" width="15.375" style="4"/>
    <col min="8" max="8" width="15.375" style="5"/>
    <col min="9" max="14" width="15.375" style="4"/>
    <col min="15" max="15" width="15.375" style="5"/>
    <col min="16" max="21" width="15.375" style="4"/>
    <col min="22" max="22" width="15.375" style="5"/>
    <col min="23" max="28" width="15.375" style="4"/>
    <col min="29" max="29" width="15.375" style="5"/>
    <col min="30" max="16384" width="15.375" style="4"/>
  </cols>
  <sheetData>
    <row r="1" spans="1:32" ht="17.45" customHeight="1">
      <c r="A1" s="1361" t="s">
        <v>428</v>
      </c>
      <c r="B1" s="1361"/>
      <c r="C1" s="1361"/>
      <c r="D1" s="1361"/>
      <c r="E1" s="1361"/>
      <c r="F1" s="1361"/>
      <c r="G1" s="1361"/>
      <c r="H1" s="1361"/>
      <c r="I1" s="1361" t="s">
        <v>429</v>
      </c>
      <c r="J1" s="1361"/>
      <c r="K1" s="1361"/>
      <c r="L1" s="1361"/>
      <c r="M1" s="1361"/>
      <c r="N1" s="1361"/>
      <c r="O1" s="1361"/>
      <c r="P1" s="1361"/>
      <c r="Q1" s="1361" t="s">
        <v>430</v>
      </c>
      <c r="R1" s="1361"/>
      <c r="S1" s="1361"/>
      <c r="T1" s="1361"/>
      <c r="U1" s="1361"/>
      <c r="V1" s="1361"/>
      <c r="W1" s="1361"/>
      <c r="X1" s="1361"/>
      <c r="Y1" s="1361" t="s">
        <v>430</v>
      </c>
      <c r="Z1" s="1361"/>
      <c r="AA1" s="1361"/>
      <c r="AB1" s="1361"/>
      <c r="AC1" s="1361"/>
      <c r="AD1" s="1361"/>
      <c r="AE1" s="1361"/>
      <c r="AF1" s="610"/>
    </row>
    <row r="2" spans="1:32" ht="17.45" customHeight="1">
      <c r="A2" s="1361"/>
      <c r="B2" s="1361"/>
      <c r="C2" s="1361"/>
      <c r="D2" s="1361"/>
      <c r="E2" s="1361"/>
      <c r="F2" s="1361"/>
      <c r="G2" s="1361"/>
      <c r="H2" s="1361"/>
      <c r="I2" s="1361"/>
      <c r="J2" s="1361"/>
      <c r="K2" s="1361"/>
      <c r="L2" s="1361"/>
      <c r="M2" s="1361"/>
      <c r="N2" s="1361"/>
      <c r="O2" s="1361"/>
      <c r="P2" s="1361"/>
      <c r="Q2" s="1361"/>
      <c r="R2" s="1361"/>
      <c r="S2" s="1361"/>
      <c r="T2" s="1361"/>
      <c r="U2" s="1361"/>
      <c r="V2" s="1361"/>
      <c r="W2" s="1361"/>
      <c r="X2" s="1361"/>
      <c r="Y2" s="1361"/>
      <c r="Z2" s="1361"/>
      <c r="AA2" s="1361"/>
      <c r="AB2" s="1361"/>
      <c r="AC2" s="1361"/>
      <c r="AD2" s="1361"/>
      <c r="AE2" s="1361"/>
      <c r="AF2" s="610"/>
    </row>
    <row r="3" spans="1:32">
      <c r="A3" s="120"/>
    </row>
    <row r="4" spans="1:32" s="20" customFormat="1" ht="15">
      <c r="A4" s="580" t="s">
        <v>340</v>
      </c>
      <c r="B4" s="580">
        <v>1</v>
      </c>
      <c r="C4" s="580">
        <v>2</v>
      </c>
      <c r="D4" s="580">
        <v>3</v>
      </c>
      <c r="E4" s="580">
        <v>4</v>
      </c>
      <c r="F4" s="580">
        <v>5</v>
      </c>
      <c r="G4" s="580">
        <v>6</v>
      </c>
      <c r="H4" s="580">
        <v>7</v>
      </c>
      <c r="I4" s="580">
        <v>8</v>
      </c>
      <c r="J4" s="580">
        <v>9</v>
      </c>
      <c r="K4" s="580">
        <v>10</v>
      </c>
      <c r="L4" s="580">
        <v>11</v>
      </c>
      <c r="M4" s="580">
        <v>12</v>
      </c>
      <c r="N4" s="580">
        <v>13</v>
      </c>
      <c r="O4" s="580">
        <v>14</v>
      </c>
      <c r="P4" s="580">
        <v>15</v>
      </c>
      <c r="Q4" s="580">
        <v>16</v>
      </c>
      <c r="R4" s="580">
        <v>17</v>
      </c>
      <c r="S4" s="580">
        <v>18</v>
      </c>
      <c r="T4" s="580">
        <v>19</v>
      </c>
      <c r="U4" s="580">
        <v>20</v>
      </c>
      <c r="V4" s="580">
        <v>21</v>
      </c>
      <c r="W4" s="580">
        <v>22</v>
      </c>
      <c r="X4" s="580">
        <v>23</v>
      </c>
      <c r="Y4" s="580">
        <v>24</v>
      </c>
      <c r="Z4" s="580">
        <v>25</v>
      </c>
      <c r="AA4" s="580">
        <v>26</v>
      </c>
      <c r="AB4" s="580">
        <v>27</v>
      </c>
      <c r="AC4" s="580">
        <v>28</v>
      </c>
      <c r="AD4" s="580">
        <v>29</v>
      </c>
      <c r="AE4" s="580">
        <v>30</v>
      </c>
    </row>
    <row r="5" spans="1:32" s="20" customFormat="1" ht="15">
      <c r="A5" s="613" t="s">
        <v>52</v>
      </c>
      <c r="B5" s="613" t="str">
        <f>☆入力!$B$16</f>
        <v/>
      </c>
      <c r="C5" s="613" t="str">
        <f>☆入力!$B$17</f>
        <v/>
      </c>
      <c r="D5" s="613" t="str">
        <f>☆入力!$B$18</f>
        <v/>
      </c>
      <c r="E5" s="613" t="str">
        <f>☆入力!$B$19</f>
        <v/>
      </c>
      <c r="F5" s="613" t="str">
        <f>☆入力!$B$20</f>
        <v/>
      </c>
      <c r="G5" s="613" t="str">
        <f>☆入力!$B$21</f>
        <v/>
      </c>
      <c r="H5" s="613" t="str">
        <f>☆入力!$B$22</f>
        <v/>
      </c>
      <c r="I5" s="613" t="str">
        <f>☆入力!$B$23</f>
        <v/>
      </c>
      <c r="J5" s="613" t="str">
        <f>☆入力!$B$24</f>
        <v/>
      </c>
      <c r="K5" s="613" t="str">
        <f>☆入力!$B$25</f>
        <v/>
      </c>
      <c r="L5" s="613" t="str">
        <f>☆入力!$B$26</f>
        <v/>
      </c>
      <c r="M5" s="613" t="str">
        <f>☆入力!$B$27</f>
        <v/>
      </c>
      <c r="N5" s="613" t="str">
        <f>☆入力!$B$28</f>
        <v/>
      </c>
      <c r="O5" s="613" t="str">
        <f>☆入力!$B$29</f>
        <v/>
      </c>
      <c r="P5" s="613" t="str">
        <f>☆入力!$B$30</f>
        <v/>
      </c>
      <c r="Q5" s="613" t="str">
        <f>☆入力!$B$31</f>
        <v/>
      </c>
      <c r="R5" s="613" t="str">
        <f>☆入力!$B$32</f>
        <v/>
      </c>
      <c r="S5" s="613" t="str">
        <f>☆入力!$B$33</f>
        <v/>
      </c>
      <c r="T5" s="613" t="str">
        <f>☆入力!$B$34</f>
        <v/>
      </c>
      <c r="U5" s="613" t="str">
        <f>☆入力!$B$35</f>
        <v/>
      </c>
      <c r="V5" s="613" t="str">
        <f>☆入力!$B$36</f>
        <v/>
      </c>
      <c r="W5" s="613" t="str">
        <f>☆入力!$B$37</f>
        <v/>
      </c>
      <c r="X5" s="613" t="str">
        <f>☆入力!$B$38</f>
        <v/>
      </c>
      <c r="Y5" s="613" t="str">
        <f>☆入力!$B$39</f>
        <v/>
      </c>
      <c r="Z5" s="613" t="str">
        <f>☆入力!$B$40</f>
        <v/>
      </c>
      <c r="AA5" s="613" t="str">
        <f>☆入力!$B$41</f>
        <v/>
      </c>
      <c r="AB5" s="613" t="str">
        <f>☆入力!$B$42</f>
        <v/>
      </c>
      <c r="AC5" s="613" t="str">
        <f>☆入力!$B$43</f>
        <v/>
      </c>
      <c r="AD5" s="613" t="str">
        <f>☆入力!$B$44</f>
        <v/>
      </c>
      <c r="AE5" s="613" t="str">
        <f>☆入力!$B$45</f>
        <v/>
      </c>
    </row>
    <row r="6" spans="1:32" s="20" customFormat="1" ht="15">
      <c r="A6" s="581" t="s">
        <v>388</v>
      </c>
      <c r="B6" s="581">
        <f>☆入力!$C$16</f>
        <v>0</v>
      </c>
      <c r="C6" s="581">
        <f>☆入力!$C$17</f>
        <v>0</v>
      </c>
      <c r="D6" s="581">
        <f>☆入力!$C$18</f>
        <v>0</v>
      </c>
      <c r="E6" s="581">
        <f>☆入力!$C$19</f>
        <v>0</v>
      </c>
      <c r="F6" s="581">
        <f>☆入力!$C$20</f>
        <v>0</v>
      </c>
      <c r="G6" s="581">
        <f>☆入力!$C$21</f>
        <v>0</v>
      </c>
      <c r="H6" s="581">
        <f>☆入力!$C$22</f>
        <v>0</v>
      </c>
      <c r="I6" s="581">
        <f>☆入力!$C$23</f>
        <v>0</v>
      </c>
      <c r="J6" s="581">
        <f>☆入力!$C$24</f>
        <v>0</v>
      </c>
      <c r="K6" s="581">
        <f>☆入力!$C$25</f>
        <v>0</v>
      </c>
      <c r="L6" s="581">
        <f>☆入力!$C$26</f>
        <v>0</v>
      </c>
      <c r="M6" s="581">
        <f>☆入力!$C$27</f>
        <v>0</v>
      </c>
      <c r="N6" s="581">
        <f>☆入力!$C$28</f>
        <v>0</v>
      </c>
      <c r="O6" s="581">
        <f>☆入力!$C$29</f>
        <v>0</v>
      </c>
      <c r="P6" s="581">
        <f>☆入力!$C$30</f>
        <v>0</v>
      </c>
      <c r="Q6" s="581">
        <f>☆入力!$C$31</f>
        <v>0</v>
      </c>
      <c r="R6" s="581">
        <f>☆入力!$C$32</f>
        <v>0</v>
      </c>
      <c r="S6" s="581">
        <f>☆入力!$C$33</f>
        <v>0</v>
      </c>
      <c r="T6" s="581">
        <f>☆入力!$C$34</f>
        <v>0</v>
      </c>
      <c r="U6" s="581">
        <f>☆入力!$C$35</f>
        <v>0</v>
      </c>
      <c r="V6" s="581">
        <f>☆入力!$C$36</f>
        <v>0</v>
      </c>
      <c r="W6" s="581">
        <f>☆入力!$C$37</f>
        <v>0</v>
      </c>
      <c r="X6" s="581">
        <f>☆入力!$C$38</f>
        <v>0</v>
      </c>
      <c r="Y6" s="581">
        <f>☆入力!$C$39</f>
        <v>0</v>
      </c>
      <c r="Z6" s="581">
        <f>☆入力!$C$40</f>
        <v>0</v>
      </c>
      <c r="AA6" s="581">
        <f>☆入力!$C$41</f>
        <v>0</v>
      </c>
      <c r="AB6" s="581">
        <f>☆入力!$C$42</f>
        <v>0</v>
      </c>
      <c r="AC6" s="581">
        <f>☆入力!$C$43</f>
        <v>0</v>
      </c>
      <c r="AD6" s="581">
        <f>☆入力!$C$44</f>
        <v>0</v>
      </c>
      <c r="AE6" s="581">
        <f>☆入力!$C$45</f>
        <v>0</v>
      </c>
    </row>
    <row r="7" spans="1:32" s="20" customFormat="1" ht="71.099999999999994" customHeight="1">
      <c r="A7" s="580" t="s">
        <v>431</v>
      </c>
      <c r="B7" s="596" t="s">
        <v>432</v>
      </c>
      <c r="C7" s="596" t="s">
        <v>432</v>
      </c>
      <c r="D7" s="596" t="s">
        <v>432</v>
      </c>
      <c r="E7" s="596" t="s">
        <v>432</v>
      </c>
      <c r="F7" s="596" t="s">
        <v>432</v>
      </c>
      <c r="G7" s="596" t="s">
        <v>432</v>
      </c>
      <c r="H7" s="596" t="s">
        <v>432</v>
      </c>
      <c r="I7" s="596" t="s">
        <v>432</v>
      </c>
      <c r="J7" s="596" t="s">
        <v>432</v>
      </c>
      <c r="K7" s="596" t="s">
        <v>432</v>
      </c>
      <c r="L7" s="596" t="s">
        <v>432</v>
      </c>
      <c r="M7" s="596" t="s">
        <v>432</v>
      </c>
      <c r="N7" s="596" t="s">
        <v>432</v>
      </c>
      <c r="O7" s="596" t="s">
        <v>432</v>
      </c>
      <c r="P7" s="596" t="s">
        <v>432</v>
      </c>
      <c r="Q7" s="596" t="s">
        <v>432</v>
      </c>
      <c r="R7" s="596" t="s">
        <v>432</v>
      </c>
      <c r="S7" s="596" t="s">
        <v>432</v>
      </c>
      <c r="T7" s="596" t="s">
        <v>432</v>
      </c>
      <c r="U7" s="596" t="s">
        <v>432</v>
      </c>
      <c r="V7" s="596" t="s">
        <v>432</v>
      </c>
      <c r="W7" s="596" t="s">
        <v>432</v>
      </c>
      <c r="X7" s="596" t="s">
        <v>432</v>
      </c>
      <c r="Y7" s="596" t="s">
        <v>432</v>
      </c>
      <c r="Z7" s="596" t="s">
        <v>432</v>
      </c>
      <c r="AA7" s="596" t="s">
        <v>432</v>
      </c>
      <c r="AB7" s="596" t="s">
        <v>432</v>
      </c>
      <c r="AC7" s="596" t="s">
        <v>432</v>
      </c>
      <c r="AD7" s="596" t="s">
        <v>432</v>
      </c>
      <c r="AE7" s="596" t="s">
        <v>432</v>
      </c>
    </row>
    <row r="8" spans="1:32" s="20" customFormat="1" ht="15">
      <c r="A8" s="580" t="s">
        <v>433</v>
      </c>
      <c r="B8" s="582">
        <f>☆入力!$L$16</f>
        <v>0</v>
      </c>
      <c r="C8" s="582">
        <f>☆入力!$L$17</f>
        <v>0</v>
      </c>
      <c r="D8" s="582">
        <f>☆入力!$L$18</f>
        <v>0</v>
      </c>
      <c r="E8" s="582">
        <f>☆入力!$L$19</f>
        <v>0</v>
      </c>
      <c r="F8" s="582">
        <f>☆入力!$L$20</f>
        <v>0</v>
      </c>
      <c r="G8" s="582">
        <f>☆入力!$L$21</f>
        <v>0</v>
      </c>
      <c r="H8" s="582">
        <f>☆入力!$L$22</f>
        <v>0</v>
      </c>
      <c r="I8" s="582">
        <f>☆入力!$L$23</f>
        <v>0</v>
      </c>
      <c r="J8" s="582">
        <f>☆入力!$L$24</f>
        <v>0</v>
      </c>
      <c r="K8" s="582">
        <f>☆入力!$L$25</f>
        <v>0</v>
      </c>
      <c r="L8" s="582">
        <f>☆入力!$L$26</f>
        <v>0</v>
      </c>
      <c r="M8" s="582">
        <f>☆入力!$L$27</f>
        <v>0</v>
      </c>
      <c r="N8" s="582">
        <f>☆入力!$L$28</f>
        <v>0</v>
      </c>
      <c r="O8" s="582">
        <f>☆入力!$L$29</f>
        <v>0</v>
      </c>
      <c r="P8" s="582">
        <f>☆入力!$L$30</f>
        <v>0</v>
      </c>
      <c r="Q8" s="582">
        <f>☆入力!$L$31</f>
        <v>0</v>
      </c>
      <c r="R8" s="582">
        <f>☆入力!$L$32</f>
        <v>0</v>
      </c>
      <c r="S8" s="582">
        <f>☆入力!$L$33</f>
        <v>0</v>
      </c>
      <c r="T8" s="582">
        <f>☆入力!$L$34</f>
        <v>0</v>
      </c>
      <c r="U8" s="582">
        <f>☆入力!$L$35</f>
        <v>0</v>
      </c>
      <c r="V8" s="582">
        <f>☆入力!$L$36</f>
        <v>0</v>
      </c>
      <c r="W8" s="582">
        <f>☆入力!$L$37</f>
        <v>0</v>
      </c>
      <c r="X8" s="582">
        <f>☆入力!$L$38</f>
        <v>0</v>
      </c>
      <c r="Y8" s="582">
        <f>☆入力!$L$39</f>
        <v>0</v>
      </c>
      <c r="Z8" s="582">
        <f>☆入力!$L$40</f>
        <v>0</v>
      </c>
      <c r="AA8" s="582">
        <f>☆入力!$L$41</f>
        <v>0</v>
      </c>
      <c r="AB8" s="582">
        <f>☆入力!$L$42</f>
        <v>0</v>
      </c>
      <c r="AC8" s="582">
        <f>☆入力!$L$43</f>
        <v>0</v>
      </c>
      <c r="AD8" s="582">
        <f>☆入力!$L$44</f>
        <v>0</v>
      </c>
      <c r="AE8" s="582">
        <f>☆入力!$L$45</f>
        <v>0</v>
      </c>
    </row>
    <row r="9" spans="1:32" s="597" customFormat="1" ht="15.75" outlineLevel="1" thickBot="1">
      <c r="A9" s="583" t="s">
        <v>434</v>
      </c>
      <c r="B9" s="583">
        <f>☆入力!$H$16</f>
        <v>0</v>
      </c>
      <c r="C9" s="583">
        <f>☆入力!$H$17</f>
        <v>0</v>
      </c>
      <c r="D9" s="583">
        <f>☆入力!$H$18</f>
        <v>0</v>
      </c>
      <c r="E9" s="583">
        <f>☆入力!$H$19</f>
        <v>0</v>
      </c>
      <c r="F9" s="583">
        <f>☆入力!$H$20</f>
        <v>0</v>
      </c>
      <c r="G9" s="583">
        <f>☆入力!$H$21</f>
        <v>0</v>
      </c>
      <c r="H9" s="583">
        <f>☆入力!$H$22</f>
        <v>0</v>
      </c>
      <c r="I9" s="583">
        <f>☆入力!$H$23</f>
        <v>0</v>
      </c>
      <c r="J9" s="583">
        <f>☆入力!$H$24</f>
        <v>0</v>
      </c>
      <c r="K9" s="583">
        <f>☆入力!$H$25</f>
        <v>0</v>
      </c>
      <c r="L9" s="583">
        <f>☆入力!$H$26</f>
        <v>0</v>
      </c>
      <c r="M9" s="583">
        <f>☆入力!$H$27</f>
        <v>0</v>
      </c>
      <c r="N9" s="583">
        <f>☆入力!$H$28</f>
        <v>0</v>
      </c>
      <c r="O9" s="583">
        <f>☆入力!$H$29</f>
        <v>0</v>
      </c>
      <c r="P9" s="583">
        <f>☆入力!$H$30</f>
        <v>0</v>
      </c>
      <c r="Q9" s="583">
        <f>☆入力!$H$31</f>
        <v>0</v>
      </c>
      <c r="R9" s="583">
        <f>☆入力!$H$32</f>
        <v>0</v>
      </c>
      <c r="S9" s="583">
        <f>☆入力!$H$33</f>
        <v>0</v>
      </c>
      <c r="T9" s="583">
        <f>☆入力!$H$34</f>
        <v>0</v>
      </c>
      <c r="U9" s="583">
        <f>☆入力!$H$35</f>
        <v>0</v>
      </c>
      <c r="V9" s="583">
        <f>☆入力!$H$36</f>
        <v>0</v>
      </c>
      <c r="W9" s="583">
        <f>☆入力!$H$37</f>
        <v>0</v>
      </c>
      <c r="X9" s="583">
        <f>☆入力!$H$38</f>
        <v>0</v>
      </c>
      <c r="Y9" s="583">
        <f>☆入力!$H$39</f>
        <v>0</v>
      </c>
      <c r="Z9" s="583">
        <f>☆入力!$H$40</f>
        <v>0</v>
      </c>
      <c r="AA9" s="583">
        <f>☆入力!$H$41</f>
        <v>0</v>
      </c>
      <c r="AB9" s="583">
        <f>☆入力!$H$42</f>
        <v>0</v>
      </c>
      <c r="AC9" s="583">
        <f>☆入力!$H$43</f>
        <v>0</v>
      </c>
      <c r="AD9" s="583">
        <f>☆入力!$H$44</f>
        <v>0</v>
      </c>
      <c r="AE9" s="583">
        <f>☆入力!$H$45</f>
        <v>0</v>
      </c>
    </row>
    <row r="10" spans="1:32" s="20" customFormat="1" ht="15.75" thickBot="1">
      <c r="A10" s="584" t="s">
        <v>177</v>
      </c>
      <c r="B10" s="585">
        <f>☆入力!$D$16</f>
        <v>0</v>
      </c>
      <c r="C10" s="585">
        <f>☆入力!$D$17</f>
        <v>0</v>
      </c>
      <c r="D10" s="585">
        <f>☆入力!$D$18</f>
        <v>0</v>
      </c>
      <c r="E10" s="585">
        <f>☆入力!$D$19</f>
        <v>0</v>
      </c>
      <c r="F10" s="585">
        <f>☆入力!$D$20</f>
        <v>0</v>
      </c>
      <c r="G10" s="585">
        <f>☆入力!$D$21</f>
        <v>0</v>
      </c>
      <c r="H10" s="586">
        <f>☆入力!$D$22</f>
        <v>0</v>
      </c>
      <c r="I10" s="584">
        <f>☆入力!$D$23</f>
        <v>0</v>
      </c>
      <c r="J10" s="585">
        <f>☆入力!$D$24</f>
        <v>0</v>
      </c>
      <c r="K10" s="585">
        <f>☆入力!$D$25</f>
        <v>0</v>
      </c>
      <c r="L10" s="585">
        <f>☆入力!$D$26</f>
        <v>0</v>
      </c>
      <c r="M10" s="585">
        <f>☆入力!$D$27</f>
        <v>0</v>
      </c>
      <c r="N10" s="586">
        <f>☆入力!$D$28</f>
        <v>0</v>
      </c>
      <c r="O10" s="584">
        <f>☆入力!$D$29</f>
        <v>0</v>
      </c>
      <c r="P10" s="586">
        <f>☆入力!$D$30</f>
        <v>0</v>
      </c>
      <c r="Q10" s="584">
        <f>☆入力!$D$31</f>
        <v>0</v>
      </c>
      <c r="R10" s="585">
        <f>☆入力!$D$32</f>
        <v>0</v>
      </c>
      <c r="S10" s="585">
        <f>☆入力!$D$33</f>
        <v>0</v>
      </c>
      <c r="T10" s="585">
        <f>☆入力!$D$34</f>
        <v>0</v>
      </c>
      <c r="U10" s="586">
        <f>☆入力!$D$35</f>
        <v>0</v>
      </c>
      <c r="V10" s="584">
        <f>☆入力!$D$36</f>
        <v>0</v>
      </c>
      <c r="W10" s="585">
        <f>☆入力!$D$37</f>
        <v>0</v>
      </c>
      <c r="X10" s="586">
        <f>☆入力!$D$38</f>
        <v>0</v>
      </c>
      <c r="Y10" s="584">
        <f>☆入力!$D$39</f>
        <v>0</v>
      </c>
      <c r="Z10" s="585">
        <f>☆入力!$D$40</f>
        <v>0</v>
      </c>
      <c r="AA10" s="585">
        <f>☆入力!$D$41</f>
        <v>0</v>
      </c>
      <c r="AB10" s="586">
        <f>☆入力!$D$42</f>
        <v>0</v>
      </c>
      <c r="AC10" s="584">
        <f>☆入力!$D$43</f>
        <v>0</v>
      </c>
      <c r="AD10" s="585">
        <f>☆入力!$D$44</f>
        <v>0</v>
      </c>
      <c r="AE10" s="586">
        <f>☆入力!$D$45</f>
        <v>0</v>
      </c>
    </row>
    <row r="11" spans="1:32" s="135" customFormat="1" ht="15.75" thickBot="1">
      <c r="A11" s="620"/>
      <c r="B11" s="620" t="s">
        <v>435</v>
      </c>
      <c r="C11" s="620" t="s">
        <v>435</v>
      </c>
      <c r="D11" s="620" t="s">
        <v>435</v>
      </c>
      <c r="E11" s="620" t="s">
        <v>435</v>
      </c>
      <c r="F11" s="620" t="s">
        <v>435</v>
      </c>
      <c r="G11" s="620" t="s">
        <v>435</v>
      </c>
      <c r="H11" s="620" t="s">
        <v>435</v>
      </c>
      <c r="I11" s="620" t="s">
        <v>435</v>
      </c>
      <c r="J11" s="620" t="s">
        <v>435</v>
      </c>
      <c r="K11" s="620" t="s">
        <v>435</v>
      </c>
      <c r="L11" s="620" t="s">
        <v>435</v>
      </c>
      <c r="M11" s="620" t="s">
        <v>435</v>
      </c>
      <c r="N11" s="620" t="s">
        <v>435</v>
      </c>
      <c r="O11" s="620" t="s">
        <v>435</v>
      </c>
      <c r="P11" s="620" t="s">
        <v>435</v>
      </c>
      <c r="Q11" s="620" t="s">
        <v>435</v>
      </c>
      <c r="R11" s="620" t="s">
        <v>435</v>
      </c>
      <c r="S11" s="620" t="s">
        <v>435</v>
      </c>
      <c r="T11" s="620" t="s">
        <v>435</v>
      </c>
      <c r="U11" s="620" t="s">
        <v>435</v>
      </c>
      <c r="V11" s="620" t="s">
        <v>435</v>
      </c>
      <c r="W11" s="620" t="s">
        <v>435</v>
      </c>
      <c r="X11" s="620" t="s">
        <v>435</v>
      </c>
      <c r="Y11" s="620" t="s">
        <v>435</v>
      </c>
      <c r="Z11" s="620" t="s">
        <v>435</v>
      </c>
      <c r="AA11" s="620" t="s">
        <v>435</v>
      </c>
      <c r="AB11" s="620" t="s">
        <v>435</v>
      </c>
      <c r="AC11" s="620" t="s">
        <v>435</v>
      </c>
      <c r="AD11" s="620" t="s">
        <v>435</v>
      </c>
      <c r="AE11" s="620" t="s">
        <v>435</v>
      </c>
    </row>
    <row r="12" spans="1:32" s="587" customFormat="1" ht="15.75" thickBot="1">
      <c r="A12" s="584" t="s">
        <v>436</v>
      </c>
      <c r="B12" s="585">
        <f>☆入力!$G$16</f>
        <v>0</v>
      </c>
      <c r="C12" s="585">
        <f>☆入力!$G$17</f>
        <v>0</v>
      </c>
      <c r="D12" s="585">
        <f>☆入力!$G$18</f>
        <v>0</v>
      </c>
      <c r="E12" s="585">
        <f>☆入力!$G$19</f>
        <v>0</v>
      </c>
      <c r="F12" s="585">
        <f>☆入力!$G$20</f>
        <v>0</v>
      </c>
      <c r="G12" s="585">
        <f>☆入力!$G$21</f>
        <v>0</v>
      </c>
      <c r="H12" s="586">
        <f>☆入力!$G$22</f>
        <v>0</v>
      </c>
      <c r="I12" s="584">
        <f>☆入力!$G$23</f>
        <v>0</v>
      </c>
      <c r="J12" s="585">
        <f>☆入力!$G$24</f>
        <v>0</v>
      </c>
      <c r="K12" s="585">
        <f>☆入力!$G$25</f>
        <v>0</v>
      </c>
      <c r="L12" s="585">
        <f>☆入力!$G$26</f>
        <v>0</v>
      </c>
      <c r="M12" s="585">
        <f>☆入力!$G$27</f>
        <v>0</v>
      </c>
      <c r="N12" s="586">
        <f>☆入力!$G$28</f>
        <v>0</v>
      </c>
      <c r="O12" s="584">
        <f>☆入力!$G$29</f>
        <v>0</v>
      </c>
      <c r="P12" s="586">
        <f>☆入力!$G$30</f>
        <v>0</v>
      </c>
      <c r="Q12" s="584">
        <f>☆入力!$G$31</f>
        <v>0</v>
      </c>
      <c r="R12" s="585">
        <f>☆入力!$G$32</f>
        <v>0</v>
      </c>
      <c r="S12" s="585">
        <f>☆入力!$G$33</f>
        <v>0</v>
      </c>
      <c r="T12" s="585">
        <f>☆入力!$G$34</f>
        <v>0</v>
      </c>
      <c r="U12" s="586">
        <f>☆入力!$G$35</f>
        <v>0</v>
      </c>
      <c r="V12" s="584">
        <f>☆入力!$G$36</f>
        <v>0</v>
      </c>
      <c r="W12" s="585">
        <f>☆入力!$G$37</f>
        <v>0</v>
      </c>
      <c r="X12" s="586">
        <f>☆入力!$G$38</f>
        <v>0</v>
      </c>
      <c r="Y12" s="584">
        <f>☆入力!$G$39</f>
        <v>0</v>
      </c>
      <c r="Z12" s="585">
        <f>☆入力!$G$40</f>
        <v>0</v>
      </c>
      <c r="AA12" s="585">
        <f>☆入力!$G$41</f>
        <v>0</v>
      </c>
      <c r="AB12" s="586">
        <f>☆入力!$G$42</f>
        <v>0</v>
      </c>
      <c r="AC12" s="584">
        <f>☆入力!$G$43</f>
        <v>0</v>
      </c>
      <c r="AD12" s="585">
        <f>☆入力!$G$44</f>
        <v>0</v>
      </c>
      <c r="AE12" s="586">
        <f>☆入力!$G$45</f>
        <v>0</v>
      </c>
    </row>
    <row r="13" spans="1:32" s="20" customFormat="1" ht="15">
      <c r="A13" s="588" t="s">
        <v>349</v>
      </c>
      <c r="B13" s="588" t="str">
        <f>IFERROR(VLOOKUP(B$12,選定!$C$3:$AG$100,31,FALSE),"")</f>
        <v/>
      </c>
      <c r="C13" s="588" t="str">
        <f>IFERROR(VLOOKUP(C$12,選定!$C$3:$AG$100,31,FALSE),"")</f>
        <v/>
      </c>
      <c r="D13" s="588" t="str">
        <f>IFERROR(VLOOKUP(D$12,選定!$C$3:$AG$100,31,FALSE),"")</f>
        <v/>
      </c>
      <c r="E13" s="588" t="str">
        <f>IFERROR(VLOOKUP(E$12,選定!$C$3:$AG$100,31,FALSE),"")</f>
        <v/>
      </c>
      <c r="F13" s="588" t="str">
        <f>IFERROR(VLOOKUP(F$12,選定!$C$3:$AG$100,31,FALSE),"")</f>
        <v/>
      </c>
      <c r="G13" s="588" t="str">
        <f>IFERROR(VLOOKUP(G$12,選定!$C$3:$AG$100,31,FALSE),"")</f>
        <v/>
      </c>
      <c r="H13" s="588" t="str">
        <f>IFERROR(VLOOKUP(H$12,選定!$C$3:$AG$100,31,FALSE),"")</f>
        <v/>
      </c>
      <c r="I13" s="588" t="str">
        <f>IFERROR(VLOOKUP(I$12,選定!$C$3:$AG$100,31,FALSE),"")</f>
        <v/>
      </c>
      <c r="J13" s="588" t="str">
        <f>IFERROR(VLOOKUP(J$12,選定!$C$3:$AG$100,31,FALSE),"")</f>
        <v/>
      </c>
      <c r="K13" s="588" t="str">
        <f>IFERROR(VLOOKUP(K$12,選定!$C$3:$AG$100,31,FALSE),"")</f>
        <v/>
      </c>
      <c r="L13" s="588" t="str">
        <f>IFERROR(VLOOKUP(L$12,選定!$C$3:$AG$100,31,FALSE),"")</f>
        <v/>
      </c>
      <c r="M13" s="588" t="str">
        <f>IFERROR(VLOOKUP(M$12,選定!$C$3:$AG$100,31,FALSE),"")</f>
        <v/>
      </c>
      <c r="N13" s="588" t="str">
        <f>IFERROR(VLOOKUP(N$12,選定!$C$3:$AG$100,31,FALSE),"")</f>
        <v/>
      </c>
      <c r="O13" s="588" t="str">
        <f>IFERROR(VLOOKUP(O$12,選定!$C$3:$AG$100,31,FALSE),"")</f>
        <v/>
      </c>
      <c r="P13" s="588" t="str">
        <f>IFERROR(VLOOKUP(P$12,選定!$C$3:$AG$100,31,FALSE),"")</f>
        <v/>
      </c>
      <c r="Q13" s="588" t="str">
        <f>IFERROR(VLOOKUP(Q$12,選定!$C$3:$AG$100,31,FALSE),"")</f>
        <v/>
      </c>
      <c r="R13" s="588" t="str">
        <f>IFERROR(VLOOKUP(R$12,選定!$C$3:$AG$100,31,FALSE),"")</f>
        <v/>
      </c>
      <c r="S13" s="588" t="str">
        <f>IFERROR(VLOOKUP(S$12,選定!$C$3:$AG$100,31,FALSE),"")</f>
        <v/>
      </c>
      <c r="T13" s="588" t="str">
        <f>IFERROR(VLOOKUP(T$12,選定!$C$3:$AG$100,31,FALSE),"")</f>
        <v/>
      </c>
      <c r="U13" s="588" t="str">
        <f>IFERROR(VLOOKUP(U$12,選定!$C$3:$AG$100,31,FALSE),"")</f>
        <v/>
      </c>
      <c r="V13" s="588" t="str">
        <f>IFERROR(VLOOKUP(V$12,選定!$C$3:$AG$100,31,FALSE),"")</f>
        <v/>
      </c>
      <c r="W13" s="588" t="str">
        <f>IFERROR(VLOOKUP(W$12,選定!$C$3:$AG$100,31,FALSE),"")</f>
        <v/>
      </c>
      <c r="X13" s="588" t="str">
        <f>IFERROR(VLOOKUP(X$12,選定!$C$3:$AG$100,31,FALSE),"")</f>
        <v/>
      </c>
      <c r="Y13" s="588" t="str">
        <f>IFERROR(VLOOKUP(Y$12,選定!$C$3:$AG$100,31,FALSE),"")</f>
        <v/>
      </c>
      <c r="Z13" s="588" t="str">
        <f>IFERROR(VLOOKUP(Z$12,選定!$C$3:$AG$100,31,FALSE),"")</f>
        <v/>
      </c>
      <c r="AA13" s="588" t="str">
        <f>IFERROR(VLOOKUP(AA$12,選定!$C$3:$AG$100,31,FALSE),"")</f>
        <v/>
      </c>
      <c r="AB13" s="588" t="str">
        <f>IFERROR(VLOOKUP(AB$12,選定!$C$3:$AG$100,31,FALSE),"")</f>
        <v/>
      </c>
      <c r="AC13" s="588" t="str">
        <f>IFERROR(VLOOKUP(AC$12,選定!$C$3:$AG$100,31,FALSE),"")</f>
        <v/>
      </c>
      <c r="AD13" s="588" t="str">
        <f>IFERROR(VLOOKUP(AD$12,選定!$C$3:$AG$100,31,FALSE),"")</f>
        <v/>
      </c>
      <c r="AE13" s="588" t="str">
        <f>IFERROR(VLOOKUP(AE$12,選定!$C$3:$AG$100,31,FALSE),"")</f>
        <v/>
      </c>
    </row>
    <row r="14" spans="1:32" s="20" customFormat="1" ht="71.099999999999994" customHeight="1">
      <c r="A14" s="598" t="s">
        <v>437</v>
      </c>
      <c r="B14" s="596" t="s">
        <v>432</v>
      </c>
      <c r="C14" s="596" t="s">
        <v>432</v>
      </c>
      <c r="D14" s="596" t="s">
        <v>432</v>
      </c>
      <c r="E14" s="596" t="s">
        <v>432</v>
      </c>
      <c r="F14" s="596" t="s">
        <v>432</v>
      </c>
      <c r="G14" s="596" t="s">
        <v>432</v>
      </c>
      <c r="H14" s="596" t="s">
        <v>432</v>
      </c>
      <c r="I14" s="596" t="s">
        <v>432</v>
      </c>
      <c r="J14" s="596" t="s">
        <v>432</v>
      </c>
      <c r="K14" s="596" t="s">
        <v>432</v>
      </c>
      <c r="L14" s="596" t="s">
        <v>432</v>
      </c>
      <c r="M14" s="596" t="s">
        <v>432</v>
      </c>
      <c r="N14" s="596" t="s">
        <v>432</v>
      </c>
      <c r="O14" s="596" t="s">
        <v>432</v>
      </c>
      <c r="P14" s="596" t="s">
        <v>432</v>
      </c>
      <c r="Q14" s="596" t="s">
        <v>432</v>
      </c>
      <c r="R14" s="596" t="s">
        <v>432</v>
      </c>
      <c r="S14" s="596" t="s">
        <v>432</v>
      </c>
      <c r="T14" s="596" t="s">
        <v>432</v>
      </c>
      <c r="U14" s="596" t="s">
        <v>432</v>
      </c>
      <c r="V14" s="596" t="s">
        <v>432</v>
      </c>
      <c r="W14" s="596" t="s">
        <v>432</v>
      </c>
      <c r="X14" s="596" t="s">
        <v>432</v>
      </c>
      <c r="Y14" s="596" t="s">
        <v>432</v>
      </c>
      <c r="Z14" s="596" t="s">
        <v>432</v>
      </c>
      <c r="AA14" s="596" t="s">
        <v>432</v>
      </c>
      <c r="AB14" s="596" t="s">
        <v>432</v>
      </c>
      <c r="AC14" s="596" t="s">
        <v>432</v>
      </c>
      <c r="AD14" s="596" t="s">
        <v>432</v>
      </c>
      <c r="AE14" s="596" t="s">
        <v>432</v>
      </c>
    </row>
    <row r="15" spans="1:32" s="600" customFormat="1" ht="15">
      <c r="A15" s="613" t="s">
        <v>438</v>
      </c>
      <c r="B15" s="599" t="str">
        <f>IFERROR(VLOOKUP(B$12,選定!$C$3:$AG$100,2,FALSE),"")</f>
        <v/>
      </c>
      <c r="C15" s="599" t="str">
        <f>IFERROR(VLOOKUP(C$12,選定!$C$3:$AG$100,2,FALSE),"")</f>
        <v/>
      </c>
      <c r="D15" s="599" t="str">
        <f>IFERROR(VLOOKUP(D$12,選定!$C$3:$AG$100,2,FALSE),"")</f>
        <v/>
      </c>
      <c r="E15" s="599" t="str">
        <f>IFERROR(VLOOKUP(E$12,選定!$C$3:$AG$100,2,FALSE),"")</f>
        <v/>
      </c>
      <c r="F15" s="599" t="str">
        <f>IFERROR(VLOOKUP(F$12,選定!$C$3:$AG$100,2,FALSE),"")</f>
        <v/>
      </c>
      <c r="G15" s="599" t="str">
        <f>IFERROR(VLOOKUP(G$12,選定!$C$3:$AG$100,2,FALSE),"")</f>
        <v/>
      </c>
      <c r="H15" s="599" t="str">
        <f>IFERROR(VLOOKUP(H$12,選定!$C$3:$AG$100,2,FALSE),"")</f>
        <v/>
      </c>
      <c r="I15" s="599" t="str">
        <f>IFERROR(VLOOKUP(I$12,選定!$C$3:$AG$100,2,FALSE),"")</f>
        <v/>
      </c>
      <c r="J15" s="599" t="str">
        <f>IFERROR(VLOOKUP(J$12,選定!$C$3:$AG$100,2,FALSE),"")</f>
        <v/>
      </c>
      <c r="K15" s="599" t="str">
        <f>IFERROR(VLOOKUP(K$12,選定!$C$3:$AG$100,2,FALSE),"")</f>
        <v/>
      </c>
      <c r="L15" s="599" t="str">
        <f>IFERROR(VLOOKUP(L$12,選定!$C$3:$AG$100,2,FALSE),"")</f>
        <v/>
      </c>
      <c r="M15" s="599" t="str">
        <f>IFERROR(VLOOKUP(M$12,選定!$C$3:$AG$100,2,FALSE),"")</f>
        <v/>
      </c>
      <c r="N15" s="599" t="str">
        <f>IFERROR(VLOOKUP(N$12,選定!$C$3:$AG$100,2,FALSE),"")</f>
        <v/>
      </c>
      <c r="O15" s="599" t="str">
        <f>IFERROR(VLOOKUP(O$12,選定!$C$3:$AG$100,2,FALSE),"")</f>
        <v/>
      </c>
      <c r="P15" s="599" t="str">
        <f>IFERROR(VLOOKUP(P$12,選定!$C$3:$AG$100,2,FALSE),"")</f>
        <v/>
      </c>
      <c r="Q15" s="599" t="str">
        <f>IFERROR(VLOOKUP(Q$12,選定!$C$3:$AG$100,2,FALSE),"")</f>
        <v/>
      </c>
      <c r="R15" s="599" t="str">
        <f>IFERROR(VLOOKUP(R$12,選定!$C$3:$AG$100,2,FALSE),"")</f>
        <v/>
      </c>
      <c r="S15" s="599" t="str">
        <f>IFERROR(VLOOKUP(S$12,選定!$C$3:$AG$100,2,FALSE),"")</f>
        <v/>
      </c>
      <c r="T15" s="599" t="str">
        <f>IFERROR(VLOOKUP(T$12,選定!$C$3:$AG$100,2,FALSE),"")</f>
        <v/>
      </c>
      <c r="U15" s="599" t="str">
        <f>IFERROR(VLOOKUP(U$12,選定!$C$3:$AG$100,2,FALSE),"")</f>
        <v/>
      </c>
      <c r="V15" s="599" t="str">
        <f>IFERROR(VLOOKUP(V$12,選定!$C$3:$AG$100,2,FALSE),"")</f>
        <v/>
      </c>
      <c r="W15" s="599" t="str">
        <f>IFERROR(VLOOKUP(W$12,選定!$C$3:$AG$100,2,FALSE),"")</f>
        <v/>
      </c>
      <c r="X15" s="599" t="str">
        <f>IFERROR(VLOOKUP(X$12,選定!$C$3:$AG$100,2,FALSE),"")</f>
        <v/>
      </c>
      <c r="Y15" s="599" t="str">
        <f>IFERROR(VLOOKUP(Y$12,選定!$C$3:$AG$100,2,FALSE),"")</f>
        <v/>
      </c>
      <c r="Z15" s="599" t="str">
        <f>IFERROR(VLOOKUP(Z$12,選定!$C$3:$AG$100,2,FALSE),"")</f>
        <v/>
      </c>
      <c r="AA15" s="599" t="str">
        <f>IFERROR(VLOOKUP(AA$12,選定!$C$3:$AG$100,2,FALSE),"")</f>
        <v/>
      </c>
      <c r="AB15" s="599" t="str">
        <f>IFERROR(VLOOKUP(AB$12,選定!$C$3:$AG$100,2,FALSE),"")</f>
        <v/>
      </c>
      <c r="AC15" s="599" t="str">
        <f>IFERROR(VLOOKUP(AC$12,選定!$C$3:$AG$100,2,FALSE),"")</f>
        <v/>
      </c>
      <c r="AD15" s="599" t="str">
        <f>IFERROR(VLOOKUP(AD$12,選定!$C$3:$AG$100,2,FALSE),"")</f>
        <v/>
      </c>
      <c r="AE15" s="599" t="str">
        <f>IFERROR(VLOOKUP(AE$12,選定!$C$3:$AG$100,2,FALSE),"")</f>
        <v/>
      </c>
    </row>
    <row r="16" spans="1:32" s="600" customFormat="1" ht="15.75" thickBot="1">
      <c r="A16" s="614" t="s">
        <v>439</v>
      </c>
      <c r="B16" s="614" t="str">
        <f>IFERROR(VLOOKUP(B$12,選定!$C$3:$AG$100,3,FALSE),"")</f>
        <v/>
      </c>
      <c r="C16" s="614" t="str">
        <f>IFERROR(VLOOKUP(C$12,選定!$C$3:$AG$100,3,FALSE),"")</f>
        <v/>
      </c>
      <c r="D16" s="614" t="str">
        <f>IFERROR(VLOOKUP(D$12,選定!$C$3:$AG$100,3,FALSE),"")</f>
        <v/>
      </c>
      <c r="E16" s="614" t="str">
        <f>IFERROR(VLOOKUP(E$12,選定!$C$3:$AG$100,3,FALSE),"")</f>
        <v/>
      </c>
      <c r="F16" s="614" t="str">
        <f>IFERROR(VLOOKUP(F$12,選定!$C$3:$AG$100,3,FALSE),"")</f>
        <v/>
      </c>
      <c r="G16" s="614" t="str">
        <f>IFERROR(VLOOKUP(G$12,選定!$C$3:$AG$100,3,FALSE),"")</f>
        <v/>
      </c>
      <c r="H16" s="614" t="str">
        <f>IFERROR(VLOOKUP(H$12,選定!$C$3:$AG$100,3,FALSE),"")</f>
        <v/>
      </c>
      <c r="I16" s="614" t="str">
        <f>IFERROR(VLOOKUP(I$12,選定!$C$3:$AG$100,3,FALSE),"")</f>
        <v/>
      </c>
      <c r="J16" s="614" t="str">
        <f>IFERROR(VLOOKUP(J$12,選定!$C$3:$AG$100,3,FALSE),"")</f>
        <v/>
      </c>
      <c r="K16" s="614" t="str">
        <f>IFERROR(VLOOKUP(K$12,選定!$C$3:$AG$100,3,FALSE),"")</f>
        <v/>
      </c>
      <c r="L16" s="614" t="str">
        <f>IFERROR(VLOOKUP(L$12,選定!$C$3:$AG$100,3,FALSE),"")</f>
        <v/>
      </c>
      <c r="M16" s="614" t="str">
        <f>IFERROR(VLOOKUP(M$12,選定!$C$3:$AG$100,3,FALSE),"")</f>
        <v/>
      </c>
      <c r="N16" s="614" t="str">
        <f>IFERROR(VLOOKUP(N$12,選定!$C$3:$AG$100,3,FALSE),"")</f>
        <v/>
      </c>
      <c r="O16" s="614" t="str">
        <f>IFERROR(VLOOKUP(O$12,選定!$C$3:$AG$100,3,FALSE),"")</f>
        <v/>
      </c>
      <c r="P16" s="614" t="str">
        <f>IFERROR(VLOOKUP(P$12,選定!$C$3:$AG$100,3,FALSE),"")</f>
        <v/>
      </c>
      <c r="Q16" s="614" t="str">
        <f>IFERROR(VLOOKUP(Q$12,選定!$C$3:$AG$100,3,FALSE),"")</f>
        <v/>
      </c>
      <c r="R16" s="614" t="str">
        <f>IFERROR(VLOOKUP(R$12,選定!$C$3:$AG$100,3,FALSE),"")</f>
        <v/>
      </c>
      <c r="S16" s="614" t="str">
        <f>IFERROR(VLOOKUP(S$12,選定!$C$3:$AG$100,3,FALSE),"")</f>
        <v/>
      </c>
      <c r="T16" s="614" t="str">
        <f>IFERROR(VLOOKUP(T$12,選定!$C$3:$AG$100,3,FALSE),"")</f>
        <v/>
      </c>
      <c r="U16" s="614" t="str">
        <f>IFERROR(VLOOKUP(U$12,選定!$C$3:$AG$100,3,FALSE),"")</f>
        <v/>
      </c>
      <c r="V16" s="614" t="str">
        <f>IFERROR(VLOOKUP(V$12,選定!$C$3:$AG$100,3,FALSE),"")</f>
        <v/>
      </c>
      <c r="W16" s="614" t="str">
        <f>IFERROR(VLOOKUP(W$12,選定!$C$3:$AG$100,3,FALSE),"")</f>
        <v/>
      </c>
      <c r="X16" s="614" t="str">
        <f>IFERROR(VLOOKUP(X$12,選定!$C$3:$AG$100,3,FALSE),"")</f>
        <v/>
      </c>
      <c r="Y16" s="614" t="str">
        <f>IFERROR(VLOOKUP(Y$12,選定!$C$3:$AG$100,3,FALSE),"")</f>
        <v/>
      </c>
      <c r="Z16" s="614" t="str">
        <f>IFERROR(VLOOKUP(Z$12,選定!$C$3:$AG$100,3,FALSE),"")</f>
        <v/>
      </c>
      <c r="AA16" s="614" t="str">
        <f>IFERROR(VLOOKUP(AA$12,選定!$C$3:$AG$100,3,FALSE),"")</f>
        <v/>
      </c>
      <c r="AB16" s="614" t="str">
        <f>IFERROR(VLOOKUP(AB$12,選定!$C$3:$AG$100,3,FALSE),"")</f>
        <v/>
      </c>
      <c r="AC16" s="614" t="str">
        <f>IFERROR(VLOOKUP(AC$12,選定!$C$3:$AG$100,3,FALSE),"")</f>
        <v/>
      </c>
      <c r="AD16" s="614" t="str">
        <f>IFERROR(VLOOKUP(AD$12,選定!$C$3:$AG$100,3,FALSE),"")</f>
        <v/>
      </c>
      <c r="AE16" s="614" t="str">
        <f>IFERROR(VLOOKUP(AE$12,選定!$C$3:$AG$100,3,FALSE),"")</f>
        <v/>
      </c>
    </row>
    <row r="17" spans="1:31" s="600" customFormat="1" ht="15.75" thickTop="1">
      <c r="A17" s="687" t="s">
        <v>440</v>
      </c>
      <c r="B17" s="599" t="str">
        <f>IFERROR(VLOOKUP(B$12,選定!$C$3:$AG$100,4,FALSE),"")</f>
        <v/>
      </c>
      <c r="C17" s="599" t="str">
        <f>IFERROR(VLOOKUP(C$12,選定!$C$3:$AG$100,4,FALSE),"")</f>
        <v/>
      </c>
      <c r="D17" s="599" t="str">
        <f>IFERROR(VLOOKUP(D$12,選定!$C$3:$AG$100,4,FALSE),"")</f>
        <v/>
      </c>
      <c r="E17" s="599" t="str">
        <f>IFERROR(VLOOKUP(E$12,選定!$C$3:$AG$100,4,FALSE),"")</f>
        <v/>
      </c>
      <c r="F17" s="599" t="str">
        <f>IFERROR(VLOOKUP(F$12,選定!$C$3:$AG$100,4,FALSE),"")</f>
        <v/>
      </c>
      <c r="G17" s="599" t="str">
        <f>IFERROR(VLOOKUP(G$12,選定!$C$3:$AG$100,4,FALSE),"")</f>
        <v/>
      </c>
      <c r="H17" s="599" t="str">
        <f>IFERROR(VLOOKUP(H$12,選定!$C$3:$AG$100,4,FALSE),"")</f>
        <v/>
      </c>
      <c r="I17" s="599" t="str">
        <f>IFERROR(VLOOKUP(I$12,選定!$C$3:$AG$100,4,FALSE),"")</f>
        <v/>
      </c>
      <c r="J17" s="599" t="str">
        <f>IFERROR(VLOOKUP(J$12,選定!$C$3:$AG$100,4,FALSE),"")</f>
        <v/>
      </c>
      <c r="K17" s="599" t="str">
        <f>IFERROR(VLOOKUP(K$12,選定!$C$3:$AG$100,4,FALSE),"")</f>
        <v/>
      </c>
      <c r="L17" s="599" t="str">
        <f>IFERROR(VLOOKUP(L$12,選定!$C$3:$AG$100,4,FALSE),"")</f>
        <v/>
      </c>
      <c r="M17" s="599" t="str">
        <f>IFERROR(VLOOKUP(M$12,選定!$C$3:$AG$100,4,FALSE),"")</f>
        <v/>
      </c>
      <c r="N17" s="599" t="str">
        <f>IFERROR(VLOOKUP(N$12,選定!$C$3:$AG$100,4,FALSE),"")</f>
        <v/>
      </c>
      <c r="O17" s="599" t="str">
        <f>IFERROR(VLOOKUP(O$12,選定!$C$3:$AG$100,4,FALSE),"")</f>
        <v/>
      </c>
      <c r="P17" s="599" t="str">
        <f>IFERROR(VLOOKUP(P$12,選定!$C$3:$AG$100,4,FALSE),"")</f>
        <v/>
      </c>
      <c r="Q17" s="599" t="str">
        <f>IFERROR(VLOOKUP(Q$12,選定!$C$3:$AG$100,4,FALSE),"")</f>
        <v/>
      </c>
      <c r="R17" s="599" t="str">
        <f>IFERROR(VLOOKUP(R$12,選定!$C$3:$AG$100,4,FALSE),"")</f>
        <v/>
      </c>
      <c r="S17" s="599" t="str">
        <f>IFERROR(VLOOKUP(S$12,選定!$C$3:$AG$100,4,FALSE),"")</f>
        <v/>
      </c>
      <c r="T17" s="599" t="str">
        <f>IFERROR(VLOOKUP(T$12,選定!$C$3:$AG$100,4,FALSE),"")</f>
        <v/>
      </c>
      <c r="U17" s="599" t="str">
        <f>IFERROR(VLOOKUP(U$12,選定!$C$3:$AG$100,4,FALSE),"")</f>
        <v/>
      </c>
      <c r="V17" s="599" t="str">
        <f>IFERROR(VLOOKUP(V$12,選定!$C$3:$AG$100,4,FALSE),"")</f>
        <v/>
      </c>
      <c r="W17" s="599" t="str">
        <f>IFERROR(VLOOKUP(W$12,選定!$C$3:$AG$100,4,FALSE),"")</f>
        <v/>
      </c>
      <c r="X17" s="599" t="str">
        <f>IFERROR(VLOOKUP(X$12,選定!$C$3:$AG$100,4,FALSE),"")</f>
        <v/>
      </c>
      <c r="Y17" s="599" t="str">
        <f>IFERROR(VLOOKUP(Y$12,選定!$C$3:$AG$100,4,FALSE),"")</f>
        <v/>
      </c>
      <c r="Z17" s="599" t="str">
        <f>IFERROR(VLOOKUP(Z$12,選定!$C$3:$AG$100,4,FALSE),"")</f>
        <v/>
      </c>
      <c r="AA17" s="599" t="str">
        <f>IFERROR(VLOOKUP(AA$12,選定!$C$3:$AG$100,4,FALSE),"")</f>
        <v/>
      </c>
      <c r="AB17" s="599" t="str">
        <f>IFERROR(VLOOKUP(AB$12,選定!$C$3:$AG$100,4,FALSE),"")</f>
        <v/>
      </c>
      <c r="AC17" s="599" t="str">
        <f>IFERROR(VLOOKUP(AC$12,選定!$C$3:$AG$100,4,FALSE),"")</f>
        <v/>
      </c>
      <c r="AD17" s="599" t="str">
        <f>IFERROR(VLOOKUP(AD$12,選定!$C$3:$AG$100,4,FALSE),"")</f>
        <v/>
      </c>
      <c r="AE17" s="599" t="str">
        <f>IFERROR(VLOOKUP(AE$12,選定!$C$3:$AG$100,4,FALSE),"")</f>
        <v/>
      </c>
    </row>
    <row r="18" spans="1:31" s="603" customFormat="1" ht="15">
      <c r="A18" s="590" t="s">
        <v>65</v>
      </c>
      <c r="B18" s="590" t="str">
        <f>IFERROR(VLOOKUP(B$12,選定!$C$3:$AG$100,5,FALSE),"")</f>
        <v/>
      </c>
      <c r="C18" s="590" t="str">
        <f>IFERROR(VLOOKUP(C$12,選定!$C$3:$AG$100,5,FALSE),"")</f>
        <v/>
      </c>
      <c r="D18" s="590" t="str">
        <f>IFERROR(VLOOKUP(D$12,選定!$C$3:$AG$100,5,FALSE),"")</f>
        <v/>
      </c>
      <c r="E18" s="590" t="str">
        <f>IFERROR(VLOOKUP(E$12,選定!$C$3:$AG$100,5,FALSE),"")</f>
        <v/>
      </c>
      <c r="F18" s="590" t="str">
        <f>IFERROR(VLOOKUP(F$12,選定!$C$3:$AG$100,5,FALSE),"")</f>
        <v/>
      </c>
      <c r="G18" s="590" t="str">
        <f>IFERROR(VLOOKUP(G$12,選定!$C$3:$AG$100,5,FALSE),"")</f>
        <v/>
      </c>
      <c r="H18" s="590" t="str">
        <f>IFERROR(VLOOKUP(H$12,選定!$C$3:$AG$100,5,FALSE),"")</f>
        <v/>
      </c>
      <c r="I18" s="590" t="str">
        <f>IFERROR(VLOOKUP(I$12,選定!$C$3:$AG$100,5,FALSE),"")</f>
        <v/>
      </c>
      <c r="J18" s="590" t="str">
        <f>IFERROR(VLOOKUP(J$12,選定!$C$3:$AG$100,5,FALSE),"")</f>
        <v/>
      </c>
      <c r="K18" s="590" t="str">
        <f>IFERROR(VLOOKUP(K$12,選定!$C$3:$AG$100,5,FALSE),"")</f>
        <v/>
      </c>
      <c r="L18" s="590" t="str">
        <f>IFERROR(VLOOKUP(L$12,選定!$C$3:$AG$100,5,FALSE),"")</f>
        <v/>
      </c>
      <c r="M18" s="590" t="str">
        <f>IFERROR(VLOOKUP(M$12,選定!$C$3:$AG$100,5,FALSE),"")</f>
        <v/>
      </c>
      <c r="N18" s="590" t="str">
        <f>IFERROR(VLOOKUP(N$12,選定!$C$3:$AG$100,5,FALSE),"")</f>
        <v/>
      </c>
      <c r="O18" s="590" t="str">
        <f>IFERROR(VLOOKUP(O$12,選定!$C$3:$AG$100,5,FALSE),"")</f>
        <v/>
      </c>
      <c r="P18" s="590" t="str">
        <f>IFERROR(VLOOKUP(P$12,選定!$C$3:$AG$100,5,FALSE),"")</f>
        <v/>
      </c>
      <c r="Q18" s="590" t="str">
        <f>IFERROR(VLOOKUP(Q$12,選定!$C$3:$AG$100,5,FALSE),"")</f>
        <v/>
      </c>
      <c r="R18" s="590" t="str">
        <f>IFERROR(VLOOKUP(R$12,選定!$C$3:$AG$100,5,FALSE),"")</f>
        <v/>
      </c>
      <c r="S18" s="590" t="str">
        <f>IFERROR(VLOOKUP(S$12,選定!$C$3:$AG$100,5,FALSE),"")</f>
        <v/>
      </c>
      <c r="T18" s="590" t="str">
        <f>IFERROR(VLOOKUP(T$12,選定!$C$3:$AG$100,5,FALSE),"")</f>
        <v/>
      </c>
      <c r="U18" s="590" t="str">
        <f>IFERROR(VLOOKUP(U$12,選定!$C$3:$AG$100,5,FALSE),"")</f>
        <v/>
      </c>
      <c r="V18" s="590" t="str">
        <f>IFERROR(VLOOKUP(V$12,選定!$C$3:$AG$100,5,FALSE),"")</f>
        <v/>
      </c>
      <c r="W18" s="590" t="str">
        <f>IFERROR(VLOOKUP(W$12,選定!$C$3:$AG$100,5,FALSE),"")</f>
        <v/>
      </c>
      <c r="X18" s="590" t="str">
        <f>IFERROR(VLOOKUP(X$12,選定!$C$3:$AG$100,5,FALSE),"")</f>
        <v/>
      </c>
      <c r="Y18" s="590" t="str">
        <f>IFERROR(VLOOKUP(Y$12,選定!$C$3:$AG$100,5,FALSE),"")</f>
        <v/>
      </c>
      <c r="Z18" s="590" t="str">
        <f>IFERROR(VLOOKUP(Z$12,選定!$C$3:$AG$100,5,FALSE),"")</f>
        <v/>
      </c>
      <c r="AA18" s="590" t="str">
        <f>IFERROR(VLOOKUP(AA$12,選定!$C$3:$AG$100,5,FALSE),"")</f>
        <v/>
      </c>
      <c r="AB18" s="590" t="str">
        <f>IFERROR(VLOOKUP(AB$12,選定!$C$3:$AG$100,5,FALSE),"")</f>
        <v/>
      </c>
      <c r="AC18" s="590" t="str">
        <f>IFERROR(VLOOKUP(AC$12,選定!$C$3:$AG$100,5,FALSE),"")</f>
        <v/>
      </c>
      <c r="AD18" s="590" t="str">
        <f>IFERROR(VLOOKUP(AD$12,選定!$C$3:$AG$100,5,FALSE),"")</f>
        <v/>
      </c>
      <c r="AE18" s="590" t="str">
        <f>IFERROR(VLOOKUP(AE$12,選定!$C$3:$AG$100,5,FALSE),"")</f>
        <v/>
      </c>
    </row>
    <row r="19" spans="1:31" s="606" customFormat="1" ht="15" hidden="1" outlineLevel="1">
      <c r="A19" s="591" t="s">
        <v>66</v>
      </c>
      <c r="B19" s="591" t="str">
        <f>IFERROR(VLOOKUP(B$12,選定!$C$3:$AG$100,6,FALSE),"")</f>
        <v/>
      </c>
      <c r="C19" s="591" t="str">
        <f>IFERROR(VLOOKUP(C$12,選定!$C$3:$AG$100,6,FALSE),"")</f>
        <v/>
      </c>
      <c r="D19" s="591" t="str">
        <f>IFERROR(VLOOKUP(D$12,選定!$C$3:$AG$100,6,FALSE),"")</f>
        <v/>
      </c>
      <c r="E19" s="591" t="str">
        <f>IFERROR(VLOOKUP(E$12,選定!$C$3:$AG$100,6,FALSE),"")</f>
        <v/>
      </c>
      <c r="F19" s="591" t="str">
        <f>IFERROR(VLOOKUP(F$12,選定!$C$3:$AG$100,6,FALSE),"")</f>
        <v/>
      </c>
      <c r="G19" s="591" t="str">
        <f>IFERROR(VLOOKUP(G$12,選定!$C$3:$AG$100,6,FALSE),"")</f>
        <v/>
      </c>
      <c r="H19" s="591" t="str">
        <f>IFERROR(VLOOKUP(H$12,選定!$C$3:$AG$100,6,FALSE),"")</f>
        <v/>
      </c>
      <c r="I19" s="591" t="str">
        <f>IFERROR(VLOOKUP(I$12,選定!$C$3:$AG$100,6,FALSE),"")</f>
        <v/>
      </c>
      <c r="J19" s="591" t="str">
        <f>IFERROR(VLOOKUP(J$12,選定!$C$3:$AG$100,6,FALSE),"")</f>
        <v/>
      </c>
      <c r="K19" s="591" t="str">
        <f>IFERROR(VLOOKUP(K$12,選定!$C$3:$AG$100,6,FALSE),"")</f>
        <v/>
      </c>
      <c r="L19" s="591" t="str">
        <f>IFERROR(VLOOKUP(L$12,選定!$C$3:$AG$100,6,FALSE),"")</f>
        <v/>
      </c>
      <c r="M19" s="591" t="str">
        <f>IFERROR(VLOOKUP(M$12,選定!$C$3:$AG$100,6,FALSE),"")</f>
        <v/>
      </c>
      <c r="N19" s="591" t="str">
        <f>IFERROR(VLOOKUP(N$12,選定!$C$3:$AG$100,6,FALSE),"")</f>
        <v/>
      </c>
      <c r="O19" s="591" t="str">
        <f>IFERROR(VLOOKUP(O$12,選定!$C$3:$AG$100,6,FALSE),"")</f>
        <v/>
      </c>
      <c r="P19" s="591" t="str">
        <f>IFERROR(VLOOKUP(P$12,選定!$C$3:$AG$100,6,FALSE),"")</f>
        <v/>
      </c>
      <c r="Q19" s="591" t="str">
        <f>IFERROR(VLOOKUP(Q$12,選定!$C$3:$AG$100,6,FALSE),"")</f>
        <v/>
      </c>
      <c r="R19" s="591" t="str">
        <f>IFERROR(VLOOKUP(R$12,選定!$C$3:$AG$100,6,FALSE),"")</f>
        <v/>
      </c>
      <c r="S19" s="591" t="str">
        <f>IFERROR(VLOOKUP(S$12,選定!$C$3:$AG$100,6,FALSE),"")</f>
        <v/>
      </c>
      <c r="T19" s="591" t="str">
        <f>IFERROR(VLOOKUP(T$12,選定!$C$3:$AG$100,6,FALSE),"")</f>
        <v/>
      </c>
      <c r="U19" s="591" t="str">
        <f>IFERROR(VLOOKUP(U$12,選定!$C$3:$AG$100,6,FALSE),"")</f>
        <v/>
      </c>
      <c r="V19" s="591" t="str">
        <f>IFERROR(VLOOKUP(V$12,選定!$C$3:$AG$100,6,FALSE),"")</f>
        <v/>
      </c>
      <c r="W19" s="591" t="str">
        <f>IFERROR(VLOOKUP(W$12,選定!$C$3:$AG$100,6,FALSE),"")</f>
        <v/>
      </c>
      <c r="X19" s="591" t="str">
        <f>IFERROR(VLOOKUP(X$12,選定!$C$3:$AG$100,6,FALSE),"")</f>
        <v/>
      </c>
      <c r="Y19" s="591" t="str">
        <f>IFERROR(VLOOKUP(Y$12,選定!$C$3:$AG$100,6,FALSE),"")</f>
        <v/>
      </c>
      <c r="Z19" s="591" t="str">
        <f>IFERROR(VLOOKUP(Z$12,選定!$C$3:$AG$100,6,FALSE),"")</f>
        <v/>
      </c>
      <c r="AA19" s="591" t="str">
        <f>IFERROR(VLOOKUP(AA$12,選定!$C$3:$AG$100,6,FALSE),"")</f>
        <v/>
      </c>
      <c r="AB19" s="591" t="str">
        <f>IFERROR(VLOOKUP(AB$12,選定!$C$3:$AG$100,6,FALSE),"")</f>
        <v/>
      </c>
      <c r="AC19" s="591" t="str">
        <f>IFERROR(VLOOKUP(AC$12,選定!$C$3:$AG$100,6,FALSE),"")</f>
        <v/>
      </c>
      <c r="AD19" s="591" t="str">
        <f>IFERROR(VLOOKUP(AD$12,選定!$C$3:$AG$100,6,FALSE),"")</f>
        <v/>
      </c>
      <c r="AE19" s="591" t="str">
        <f>IFERROR(VLOOKUP(AE$12,選定!$C$3:$AG$100,6,FALSE),"")</f>
        <v/>
      </c>
    </row>
    <row r="20" spans="1:31" s="83" customFormat="1" ht="15" hidden="1" outlineLevel="1">
      <c r="A20" s="589" t="s">
        <v>67</v>
      </c>
      <c r="B20" s="589" t="str">
        <f>IFERROR(VLOOKUP(B$12,選定!$C$3:$AG$100,7,FALSE),"")</f>
        <v/>
      </c>
      <c r="C20" s="589" t="str">
        <f>IFERROR(VLOOKUP(C$12,選定!$C$3:$AG$100,7,FALSE),"")</f>
        <v/>
      </c>
      <c r="D20" s="589" t="str">
        <f>IFERROR(VLOOKUP(D$12,選定!$C$3:$AG$100,7,FALSE),"")</f>
        <v/>
      </c>
      <c r="E20" s="589" t="str">
        <f>IFERROR(VLOOKUP(E$12,選定!$C$3:$AG$100,7,FALSE),"")</f>
        <v/>
      </c>
      <c r="F20" s="589" t="str">
        <f>IFERROR(VLOOKUP(F$12,選定!$C$3:$AG$100,7,FALSE),"")</f>
        <v/>
      </c>
      <c r="G20" s="589" t="str">
        <f>IFERROR(VLOOKUP(G$12,選定!$C$3:$AG$100,7,FALSE),"")</f>
        <v/>
      </c>
      <c r="H20" s="589" t="str">
        <f>IFERROR(VLOOKUP(H$12,選定!$C$3:$AG$100,7,FALSE),"")</f>
        <v/>
      </c>
      <c r="I20" s="589" t="str">
        <f>IFERROR(VLOOKUP(I$12,選定!$C$3:$AG$100,7,FALSE),"")</f>
        <v/>
      </c>
      <c r="J20" s="589" t="str">
        <f>IFERROR(VLOOKUP(J$12,選定!$C$3:$AG$100,7,FALSE),"")</f>
        <v/>
      </c>
      <c r="K20" s="589" t="str">
        <f>IFERROR(VLOOKUP(K$12,選定!$C$3:$AG$100,7,FALSE),"")</f>
        <v/>
      </c>
      <c r="L20" s="589" t="str">
        <f>IFERROR(VLOOKUP(L$12,選定!$C$3:$AG$100,7,FALSE),"")</f>
        <v/>
      </c>
      <c r="M20" s="589" t="str">
        <f>IFERROR(VLOOKUP(M$12,選定!$C$3:$AG$100,7,FALSE),"")</f>
        <v/>
      </c>
      <c r="N20" s="589" t="str">
        <f>IFERROR(VLOOKUP(N$12,選定!$C$3:$AG$100,7,FALSE),"")</f>
        <v/>
      </c>
      <c r="O20" s="589" t="str">
        <f>IFERROR(VLOOKUP(O$12,選定!$C$3:$AG$100,7,FALSE),"")</f>
        <v/>
      </c>
      <c r="P20" s="589" t="str">
        <f>IFERROR(VLOOKUP(P$12,選定!$C$3:$AG$100,7,FALSE),"")</f>
        <v/>
      </c>
      <c r="Q20" s="589" t="str">
        <f>IFERROR(VLOOKUP(Q$12,選定!$C$3:$AG$100,7,FALSE),"")</f>
        <v/>
      </c>
      <c r="R20" s="589" t="str">
        <f>IFERROR(VLOOKUP(R$12,選定!$C$3:$AG$100,7,FALSE),"")</f>
        <v/>
      </c>
      <c r="S20" s="589" t="str">
        <f>IFERROR(VLOOKUP(S$12,選定!$C$3:$AG$100,7,FALSE),"")</f>
        <v/>
      </c>
      <c r="T20" s="589" t="str">
        <f>IFERROR(VLOOKUP(T$12,選定!$C$3:$AG$100,7,FALSE),"")</f>
        <v/>
      </c>
      <c r="U20" s="589" t="str">
        <f>IFERROR(VLOOKUP(U$12,選定!$C$3:$AG$100,7,FALSE),"")</f>
        <v/>
      </c>
      <c r="V20" s="589" t="str">
        <f>IFERROR(VLOOKUP(V$12,選定!$C$3:$AG$100,7,FALSE),"")</f>
        <v/>
      </c>
      <c r="W20" s="589" t="str">
        <f>IFERROR(VLOOKUP(W$12,選定!$C$3:$AG$100,7,FALSE),"")</f>
        <v/>
      </c>
      <c r="X20" s="589" t="str">
        <f>IFERROR(VLOOKUP(X$12,選定!$C$3:$AG$100,7,FALSE),"")</f>
        <v/>
      </c>
      <c r="Y20" s="589" t="str">
        <f>IFERROR(VLOOKUP(Y$12,選定!$C$3:$AG$100,7,FALSE),"")</f>
        <v/>
      </c>
      <c r="Z20" s="589" t="str">
        <f>IFERROR(VLOOKUP(Z$12,選定!$C$3:$AG$100,7,FALSE),"")</f>
        <v/>
      </c>
      <c r="AA20" s="589" t="str">
        <f>IFERROR(VLOOKUP(AA$12,選定!$C$3:$AG$100,7,FALSE),"")</f>
        <v/>
      </c>
      <c r="AB20" s="589" t="str">
        <f>IFERROR(VLOOKUP(AB$12,選定!$C$3:$AG$100,7,FALSE),"")</f>
        <v/>
      </c>
      <c r="AC20" s="589" t="str">
        <f>IFERROR(VLOOKUP(AC$12,選定!$C$3:$AG$100,7,FALSE),"")</f>
        <v/>
      </c>
      <c r="AD20" s="589" t="str">
        <f>IFERROR(VLOOKUP(AD$12,選定!$C$3:$AG$100,7,FALSE),"")</f>
        <v/>
      </c>
      <c r="AE20" s="589" t="str">
        <f>IFERROR(VLOOKUP(AE$12,選定!$C$3:$AG$100,7,FALSE),"")</f>
        <v/>
      </c>
    </row>
    <row r="21" spans="1:31" s="20" customFormat="1" ht="15" hidden="1" outlineLevel="1">
      <c r="A21" s="581"/>
      <c r="B21" s="581"/>
      <c r="C21" s="581"/>
      <c r="D21" s="581"/>
      <c r="E21" s="581"/>
      <c r="F21" s="581"/>
      <c r="G21" s="581"/>
      <c r="H21" s="581"/>
      <c r="I21" s="581"/>
      <c r="J21" s="581"/>
      <c r="K21" s="581"/>
      <c r="L21" s="581"/>
      <c r="M21" s="581"/>
      <c r="N21" s="581"/>
      <c r="O21" s="581"/>
      <c r="P21" s="581"/>
      <c r="Q21" s="581"/>
      <c r="R21" s="581"/>
      <c r="S21" s="581"/>
      <c r="T21" s="581"/>
      <c r="U21" s="581"/>
      <c r="V21" s="581"/>
      <c r="W21" s="581"/>
      <c r="X21" s="581"/>
      <c r="Y21" s="581"/>
      <c r="Z21" s="581"/>
      <c r="AA21" s="581"/>
      <c r="AB21" s="581"/>
      <c r="AC21" s="581"/>
      <c r="AD21" s="581"/>
      <c r="AE21" s="581"/>
    </row>
    <row r="22" spans="1:31" s="20" customFormat="1" ht="15" collapsed="1">
      <c r="A22" s="581" t="s">
        <v>69</v>
      </c>
      <c r="B22" s="581" t="str">
        <f>IFERROR(VLOOKUP(B$12,選定!$C$3:$AG$100,9,FALSE),"")</f>
        <v/>
      </c>
      <c r="C22" s="581" t="str">
        <f>IFERROR(VLOOKUP(C$12,選定!$C$3:$AG$100,9,FALSE),"")</f>
        <v/>
      </c>
      <c r="D22" s="581" t="str">
        <f>IFERROR(VLOOKUP(D$12,選定!$C$3:$AG$100,9,FALSE),"")</f>
        <v/>
      </c>
      <c r="E22" s="581" t="str">
        <f>IFERROR(VLOOKUP(E$12,選定!$C$3:$AG$100,9,FALSE),"")</f>
        <v/>
      </c>
      <c r="F22" s="581" t="str">
        <f>IFERROR(VLOOKUP(F$12,選定!$C$3:$AG$100,9,FALSE),"")</f>
        <v/>
      </c>
      <c r="G22" s="581" t="str">
        <f>IFERROR(VLOOKUP(G$12,選定!$C$3:$AG$100,9,FALSE),"")</f>
        <v/>
      </c>
      <c r="H22" s="581" t="str">
        <f>IFERROR(VLOOKUP(H$12,選定!$C$3:$AG$100,9,FALSE),"")</f>
        <v/>
      </c>
      <c r="I22" s="581" t="str">
        <f>IFERROR(VLOOKUP(I$12,選定!$C$3:$AG$100,9,FALSE),"")</f>
        <v/>
      </c>
      <c r="J22" s="581" t="str">
        <f>IFERROR(VLOOKUP(J$12,選定!$C$3:$AG$100,9,FALSE),"")</f>
        <v/>
      </c>
      <c r="K22" s="581" t="str">
        <f>IFERROR(VLOOKUP(K$12,選定!$C$3:$AG$100,9,FALSE),"")</f>
        <v/>
      </c>
      <c r="L22" s="581" t="str">
        <f>IFERROR(VLOOKUP(L$12,選定!$C$3:$AG$100,9,FALSE),"")</f>
        <v/>
      </c>
      <c r="M22" s="581" t="str">
        <f>IFERROR(VLOOKUP(M$12,選定!$C$3:$AG$100,9,FALSE),"")</f>
        <v/>
      </c>
      <c r="N22" s="581" t="str">
        <f>IFERROR(VLOOKUP(N$12,選定!$C$3:$AG$100,9,FALSE),"")</f>
        <v/>
      </c>
      <c r="O22" s="581" t="str">
        <f>IFERROR(VLOOKUP(O$12,選定!$C$3:$AG$100,9,FALSE),"")</f>
        <v/>
      </c>
      <c r="P22" s="581" t="str">
        <f>IFERROR(VLOOKUP(P$12,選定!$C$3:$AG$100,9,FALSE),"")</f>
        <v/>
      </c>
      <c r="Q22" s="581" t="str">
        <f>IFERROR(VLOOKUP(Q$12,選定!$C$3:$AG$100,9,FALSE),"")</f>
        <v/>
      </c>
      <c r="R22" s="581" t="str">
        <f>IFERROR(VLOOKUP(R$12,選定!$C$3:$AG$100,9,FALSE),"")</f>
        <v/>
      </c>
      <c r="S22" s="581" t="str">
        <f>IFERROR(VLOOKUP(S$12,選定!$C$3:$AG$100,9,FALSE),"")</f>
        <v/>
      </c>
      <c r="T22" s="581" t="str">
        <f>IFERROR(VLOOKUP(T$12,選定!$C$3:$AG$100,9,FALSE),"")</f>
        <v/>
      </c>
      <c r="U22" s="581" t="str">
        <f>IFERROR(VLOOKUP(U$12,選定!$C$3:$AG$100,9,FALSE),"")</f>
        <v/>
      </c>
      <c r="V22" s="581" t="str">
        <f>IFERROR(VLOOKUP(V$12,選定!$C$3:$AG$100,9,FALSE),"")</f>
        <v/>
      </c>
      <c r="W22" s="581" t="str">
        <f>IFERROR(VLOOKUP(W$12,選定!$C$3:$AG$100,9,FALSE),"")</f>
        <v/>
      </c>
      <c r="X22" s="581" t="str">
        <f>IFERROR(VLOOKUP(X$12,選定!$C$3:$AG$100,9,FALSE),"")</f>
        <v/>
      </c>
      <c r="Y22" s="581" t="str">
        <f>IFERROR(VLOOKUP(Y$12,選定!$C$3:$AG$100,9,FALSE),"")</f>
        <v/>
      </c>
      <c r="Z22" s="581" t="str">
        <f>IFERROR(VLOOKUP(Z$12,選定!$C$3:$AG$100,9,FALSE),"")</f>
        <v/>
      </c>
      <c r="AA22" s="581" t="str">
        <f>IFERROR(VLOOKUP(AA$12,選定!$C$3:$AG$100,9,FALSE),"")</f>
        <v/>
      </c>
      <c r="AB22" s="581" t="str">
        <f>IFERROR(VLOOKUP(AB$12,選定!$C$3:$AG$100,9,FALSE),"")</f>
        <v/>
      </c>
      <c r="AC22" s="581" t="str">
        <f>IFERROR(VLOOKUP(AC$12,選定!$C$3:$AG$100,9,FALSE),"")</f>
        <v/>
      </c>
      <c r="AD22" s="581" t="str">
        <f>IFERROR(VLOOKUP(AD$12,選定!$C$3:$AG$100,9,FALSE),"")</f>
        <v/>
      </c>
      <c r="AE22" s="581" t="str">
        <f>IFERROR(VLOOKUP(AE$12,選定!$C$3:$AG$100,9,FALSE),"")</f>
        <v/>
      </c>
    </row>
    <row r="23" spans="1:31" s="20" customFormat="1" ht="15">
      <c r="A23" s="581" t="s">
        <v>61</v>
      </c>
      <c r="B23" s="581" t="str">
        <f>IFERROR(VLOOKUP(B$12,選定!$C$3:$AG$100,10,FALSE),"")</f>
        <v/>
      </c>
      <c r="C23" s="581" t="str">
        <f>IFERROR(VLOOKUP(C$12,選定!$C$3:$AG$100,10,FALSE),"")</f>
        <v/>
      </c>
      <c r="D23" s="581" t="str">
        <f>IFERROR(VLOOKUP(D$12,選定!$C$3:$AG$100,10,FALSE),"")</f>
        <v/>
      </c>
      <c r="E23" s="581" t="str">
        <f>IFERROR(VLOOKUP(E$12,選定!$C$3:$AG$100,10,FALSE),"")</f>
        <v/>
      </c>
      <c r="F23" s="581" t="str">
        <f>IFERROR(VLOOKUP(F$12,選定!$C$3:$AG$100,10,FALSE),"")</f>
        <v/>
      </c>
      <c r="G23" s="581" t="str">
        <f>IFERROR(VLOOKUP(G$12,選定!$C$3:$AG$100,10,FALSE),"")</f>
        <v/>
      </c>
      <c r="H23" s="581" t="str">
        <f>IFERROR(VLOOKUP(H$12,選定!$C$3:$AG$100,10,FALSE),"")</f>
        <v/>
      </c>
      <c r="I23" s="581" t="str">
        <f>IFERROR(VLOOKUP(I$12,選定!$C$3:$AG$100,10,FALSE),"")</f>
        <v/>
      </c>
      <c r="J23" s="581" t="str">
        <f>IFERROR(VLOOKUP(J$12,選定!$C$3:$AG$100,10,FALSE),"")</f>
        <v/>
      </c>
      <c r="K23" s="581" t="str">
        <f>IFERROR(VLOOKUP(K$12,選定!$C$3:$AG$100,10,FALSE),"")</f>
        <v/>
      </c>
      <c r="L23" s="581" t="str">
        <f>IFERROR(VLOOKUP(L$12,選定!$C$3:$AG$100,10,FALSE),"")</f>
        <v/>
      </c>
      <c r="M23" s="581" t="str">
        <f>IFERROR(VLOOKUP(M$12,選定!$C$3:$AG$100,10,FALSE),"")</f>
        <v/>
      </c>
      <c r="N23" s="581" t="str">
        <f>IFERROR(VLOOKUP(N$12,選定!$C$3:$AG$100,10,FALSE),"")</f>
        <v/>
      </c>
      <c r="O23" s="581" t="str">
        <f>IFERROR(VLOOKUP(O$12,選定!$C$3:$AG$100,10,FALSE),"")</f>
        <v/>
      </c>
      <c r="P23" s="581" t="str">
        <f>IFERROR(VLOOKUP(P$12,選定!$C$3:$AG$100,10,FALSE),"")</f>
        <v/>
      </c>
      <c r="Q23" s="581" t="str">
        <f>IFERROR(VLOOKUP(Q$12,選定!$C$3:$AG$100,10,FALSE),"")</f>
        <v/>
      </c>
      <c r="R23" s="581" t="str">
        <f>IFERROR(VLOOKUP(R$12,選定!$C$3:$AG$100,10,FALSE),"")</f>
        <v/>
      </c>
      <c r="S23" s="581" t="str">
        <f>IFERROR(VLOOKUP(S$12,選定!$C$3:$AG$100,10,FALSE),"")</f>
        <v/>
      </c>
      <c r="T23" s="581" t="str">
        <f>IFERROR(VLOOKUP(T$12,選定!$C$3:$AG$100,10,FALSE),"")</f>
        <v/>
      </c>
      <c r="U23" s="581" t="str">
        <f>IFERROR(VLOOKUP(U$12,選定!$C$3:$AG$100,10,FALSE),"")</f>
        <v/>
      </c>
      <c r="V23" s="581" t="str">
        <f>IFERROR(VLOOKUP(V$12,選定!$C$3:$AG$100,10,FALSE),"")</f>
        <v/>
      </c>
      <c r="W23" s="581" t="str">
        <f>IFERROR(VLOOKUP(W$12,選定!$C$3:$AG$100,10,FALSE),"")</f>
        <v/>
      </c>
      <c r="X23" s="581" t="str">
        <f>IFERROR(VLOOKUP(X$12,選定!$C$3:$AG$100,10,FALSE),"")</f>
        <v/>
      </c>
      <c r="Y23" s="581" t="str">
        <f>IFERROR(VLOOKUP(Y$12,選定!$C$3:$AG$100,10,FALSE),"")</f>
        <v/>
      </c>
      <c r="Z23" s="581" t="str">
        <f>IFERROR(VLOOKUP(Z$12,選定!$C$3:$AG$100,10,FALSE),"")</f>
        <v/>
      </c>
      <c r="AA23" s="581" t="str">
        <f>IFERROR(VLOOKUP(AA$12,選定!$C$3:$AG$100,10,FALSE),"")</f>
        <v/>
      </c>
      <c r="AB23" s="581" t="str">
        <f>IFERROR(VLOOKUP(AB$12,選定!$C$3:$AG$100,10,FALSE),"")</f>
        <v/>
      </c>
      <c r="AC23" s="581" t="str">
        <f>IFERROR(VLOOKUP(AC$12,選定!$C$3:$AG$100,10,FALSE),"")</f>
        <v/>
      </c>
      <c r="AD23" s="581" t="str">
        <f>IFERROR(VLOOKUP(AD$12,選定!$C$3:$AG$100,10,FALSE),"")</f>
        <v/>
      </c>
      <c r="AE23" s="581" t="str">
        <f>IFERROR(VLOOKUP(AE$12,選定!$C$3:$AG$100,10,FALSE),"")</f>
        <v/>
      </c>
    </row>
    <row r="24" spans="1:31" s="20" customFormat="1" ht="15.75" thickBot="1">
      <c r="A24" s="601" t="s">
        <v>441</v>
      </c>
      <c r="B24" s="581" t="str">
        <f>IFERROR(VLOOKUP(B$12,選定!$C$3:$AG$100,11,FALSE),"")</f>
        <v/>
      </c>
      <c r="C24" s="581" t="str">
        <f>IFERROR(VLOOKUP(C$12,選定!$C$3:$AG$100,11,FALSE),"")</f>
        <v/>
      </c>
      <c r="D24" s="581" t="str">
        <f>IFERROR(VLOOKUP(D$12,選定!$C$3:$AG$100,11,FALSE),"")</f>
        <v/>
      </c>
      <c r="E24" s="581" t="str">
        <f>IFERROR(VLOOKUP(E$12,選定!$C$3:$AG$100,11,FALSE),"")</f>
        <v/>
      </c>
      <c r="F24" s="581" t="str">
        <f>IFERROR(VLOOKUP(F$12,選定!$C$3:$AG$100,11,FALSE),"")</f>
        <v/>
      </c>
      <c r="G24" s="581" t="str">
        <f>IFERROR(VLOOKUP(G$12,選定!$C$3:$AG$100,11,FALSE),"")</f>
        <v/>
      </c>
      <c r="H24" s="581" t="str">
        <f>IFERROR(VLOOKUP(H$12,選定!$C$3:$AG$100,11,FALSE),"")</f>
        <v/>
      </c>
      <c r="I24" s="581" t="str">
        <f>IFERROR(VLOOKUP(I$12,選定!$C$3:$AG$100,11,FALSE),"")</f>
        <v/>
      </c>
      <c r="J24" s="581" t="str">
        <f>IFERROR(VLOOKUP(J$12,選定!$C$3:$AG$100,11,FALSE),"")</f>
        <v/>
      </c>
      <c r="K24" s="581" t="str">
        <f>IFERROR(VLOOKUP(K$12,選定!$C$3:$AG$100,11,FALSE),"")</f>
        <v/>
      </c>
      <c r="L24" s="581" t="str">
        <f>IFERROR(VLOOKUP(L$12,選定!$C$3:$AG$100,11,FALSE),"")</f>
        <v/>
      </c>
      <c r="M24" s="581" t="str">
        <f>IFERROR(VLOOKUP(M$12,選定!$C$3:$AG$100,11,FALSE),"")</f>
        <v/>
      </c>
      <c r="N24" s="581" t="str">
        <f>IFERROR(VLOOKUP(N$12,選定!$C$3:$AG$100,11,FALSE),"")</f>
        <v/>
      </c>
      <c r="O24" s="581" t="str">
        <f>IFERROR(VLOOKUP(O$12,選定!$C$3:$AG$100,11,FALSE),"")</f>
        <v/>
      </c>
      <c r="P24" s="581" t="str">
        <f>IFERROR(VLOOKUP(P$12,選定!$C$3:$AG$100,11,FALSE),"")</f>
        <v/>
      </c>
      <c r="Q24" s="581" t="str">
        <f>IFERROR(VLOOKUP(Q$12,選定!$C$3:$AG$100,11,FALSE),"")</f>
        <v/>
      </c>
      <c r="R24" s="581" t="str">
        <f>IFERROR(VLOOKUP(R$12,選定!$C$3:$AG$100,11,FALSE),"")</f>
        <v/>
      </c>
      <c r="S24" s="581" t="str">
        <f>IFERROR(VLOOKUP(S$12,選定!$C$3:$AG$100,11,FALSE),"")</f>
        <v/>
      </c>
      <c r="T24" s="581" t="str">
        <f>IFERROR(VLOOKUP(T$12,選定!$C$3:$AG$100,11,FALSE),"")</f>
        <v/>
      </c>
      <c r="U24" s="581" t="str">
        <f>IFERROR(VLOOKUP(U$12,選定!$C$3:$AG$100,11,FALSE),"")</f>
        <v/>
      </c>
      <c r="V24" s="581" t="str">
        <f>IFERROR(VLOOKUP(V$12,選定!$C$3:$AG$100,11,FALSE),"")</f>
        <v/>
      </c>
      <c r="W24" s="581" t="str">
        <f>IFERROR(VLOOKUP(W$12,選定!$C$3:$AG$100,11,FALSE),"")</f>
        <v/>
      </c>
      <c r="X24" s="581" t="str">
        <f>IFERROR(VLOOKUP(X$12,選定!$C$3:$AG$100,11,FALSE),"")</f>
        <v/>
      </c>
      <c r="Y24" s="581" t="str">
        <f>IFERROR(VLOOKUP(Y$12,選定!$C$3:$AG$100,11,FALSE),"")</f>
        <v/>
      </c>
      <c r="Z24" s="581" t="str">
        <f>IFERROR(VLOOKUP(Z$12,選定!$C$3:$AG$100,11,FALSE),"")</f>
        <v/>
      </c>
      <c r="AA24" s="581" t="str">
        <f>IFERROR(VLOOKUP(AA$12,選定!$C$3:$AG$100,11,FALSE),"")</f>
        <v/>
      </c>
      <c r="AB24" s="581" t="str">
        <f>IFERROR(VLOOKUP(AB$12,選定!$C$3:$AG$100,11,FALSE),"")</f>
        <v/>
      </c>
      <c r="AC24" s="581" t="str">
        <f>IFERROR(VLOOKUP(AC$12,選定!$C$3:$AG$100,11,FALSE),"")</f>
        <v/>
      </c>
      <c r="AD24" s="581" t="str">
        <f>IFERROR(VLOOKUP(AD$12,選定!$C$3:$AG$100,11,FALSE),"")</f>
        <v/>
      </c>
      <c r="AE24" s="581" t="str">
        <f>IFERROR(VLOOKUP(AE$12,選定!$C$3:$AG$100,11,FALSE),"")</f>
        <v/>
      </c>
    </row>
    <row r="25" spans="1:31" s="20" customFormat="1" ht="15.75" hidden="1" thickBot="1">
      <c r="A25" s="615" t="s">
        <v>71</v>
      </c>
      <c r="B25" s="581" t="str">
        <f>IFERROR(VLOOKUP(B$12,選定!$C$3:$AG$100,12,FALSE),"")</f>
        <v/>
      </c>
      <c r="C25" s="581" t="str">
        <f>IFERROR(VLOOKUP(C$12,選定!$C$3:$AG$100,12,FALSE),"")</f>
        <v/>
      </c>
      <c r="D25" s="581" t="str">
        <f>IFERROR(VLOOKUP(D$12,選定!$C$3:$AG$100,12,FALSE),"")</f>
        <v/>
      </c>
      <c r="E25" s="581" t="str">
        <f>IFERROR(VLOOKUP(E$12,選定!$C$3:$AG$100,12,FALSE),"")</f>
        <v/>
      </c>
      <c r="F25" s="581" t="str">
        <f>IFERROR(VLOOKUP(F$12,選定!$C$3:$AG$100,12,FALSE),"")</f>
        <v/>
      </c>
      <c r="G25" s="581" t="str">
        <f>IFERROR(VLOOKUP(G$12,選定!$C$3:$AG$100,12,FALSE),"")</f>
        <v/>
      </c>
      <c r="H25" s="581" t="str">
        <f>IFERROR(VLOOKUP(H$12,選定!$C$3:$AG$100,12,FALSE),"")</f>
        <v/>
      </c>
      <c r="I25" s="581" t="str">
        <f>IFERROR(VLOOKUP(I$12,選定!$C$3:$AG$100,12,FALSE),"")</f>
        <v/>
      </c>
      <c r="J25" s="581" t="str">
        <f>IFERROR(VLOOKUP(J$12,選定!$C$3:$AG$100,12,FALSE),"")</f>
        <v/>
      </c>
      <c r="K25" s="581" t="str">
        <f>IFERROR(VLOOKUP(K$12,選定!$C$3:$AG$100,12,FALSE),"")</f>
        <v/>
      </c>
      <c r="L25" s="581" t="str">
        <f>IFERROR(VLOOKUP(L$12,選定!$C$3:$AG$100,12,FALSE),"")</f>
        <v/>
      </c>
      <c r="M25" s="581" t="str">
        <f>IFERROR(VLOOKUP(M$12,選定!$C$3:$AG$100,12,FALSE),"")</f>
        <v/>
      </c>
      <c r="N25" s="581" t="str">
        <f>IFERROR(VLOOKUP(N$12,選定!$C$3:$AG$100,12,FALSE),"")</f>
        <v/>
      </c>
      <c r="O25" s="581" t="str">
        <f>IFERROR(VLOOKUP(O$12,選定!$C$3:$AG$100,12,FALSE),"")</f>
        <v/>
      </c>
      <c r="P25" s="581" t="str">
        <f>IFERROR(VLOOKUP(P$12,選定!$C$3:$AG$100,12,FALSE),"")</f>
        <v/>
      </c>
      <c r="Q25" s="581" t="str">
        <f>IFERROR(VLOOKUP(Q$12,選定!$C$3:$AG$100,12,FALSE),"")</f>
        <v/>
      </c>
      <c r="R25" s="581" t="str">
        <f>IFERROR(VLOOKUP(R$12,選定!$C$3:$AG$100,12,FALSE),"")</f>
        <v/>
      </c>
      <c r="S25" s="581" t="str">
        <f>IFERROR(VLOOKUP(S$12,選定!$C$3:$AG$100,12,FALSE),"")</f>
        <v/>
      </c>
      <c r="T25" s="581" t="str">
        <f>IFERROR(VLOOKUP(T$12,選定!$C$3:$AG$100,12,FALSE),"")</f>
        <v/>
      </c>
      <c r="U25" s="581" t="str">
        <f>IFERROR(VLOOKUP(U$12,選定!$C$3:$AG$100,12,FALSE),"")</f>
        <v/>
      </c>
      <c r="V25" s="581" t="str">
        <f>IFERROR(VLOOKUP(V$12,選定!$C$3:$AG$100,12,FALSE),"")</f>
        <v/>
      </c>
      <c r="W25" s="581" t="str">
        <f>IFERROR(VLOOKUP(W$12,選定!$C$3:$AG$100,12,FALSE),"")</f>
        <v/>
      </c>
      <c r="X25" s="581" t="str">
        <f>IFERROR(VLOOKUP(X$12,選定!$C$3:$AG$100,12,FALSE),"")</f>
        <v/>
      </c>
      <c r="Y25" s="581" t="str">
        <f>IFERROR(VLOOKUP(Y$12,選定!$C$3:$AG$100,12,FALSE),"")</f>
        <v/>
      </c>
      <c r="Z25" s="581" t="str">
        <f>IFERROR(VLOOKUP(Z$12,選定!$C$3:$AG$100,12,FALSE),"")</f>
        <v/>
      </c>
      <c r="AA25" s="581" t="str">
        <f>IFERROR(VLOOKUP(AA$12,選定!$C$3:$AG$100,12,FALSE),"")</f>
        <v/>
      </c>
      <c r="AB25" s="581" t="str">
        <f>IFERROR(VLOOKUP(AB$12,選定!$C$3:$AG$100,12,FALSE),"")</f>
        <v/>
      </c>
      <c r="AC25" s="581" t="str">
        <f>IFERROR(VLOOKUP(AC$12,選定!$C$3:$AG$100,12,FALSE),"")</f>
        <v/>
      </c>
      <c r="AD25" s="581" t="str">
        <f>IFERROR(VLOOKUP(AD$12,選定!$C$3:$AG$100,12,FALSE),"")</f>
        <v/>
      </c>
      <c r="AE25" s="581" t="str">
        <f>IFERROR(VLOOKUP(AE$12,選定!$C$3:$AG$100,12,FALSE),"")</f>
        <v/>
      </c>
    </row>
    <row r="26" spans="1:31" s="20" customFormat="1" ht="15.75" hidden="1" thickBot="1">
      <c r="A26" s="615" t="s">
        <v>72</v>
      </c>
      <c r="B26" s="581" t="str">
        <f>IFERROR(VLOOKUP(B$12,選定!$C$3:$AG$100,13,FALSE),"")</f>
        <v/>
      </c>
      <c r="C26" s="581" t="str">
        <f>IFERROR(VLOOKUP(C$12,選定!$C$3:$AG$100,13,FALSE),"")</f>
        <v/>
      </c>
      <c r="D26" s="581" t="str">
        <f>IFERROR(VLOOKUP(D$12,選定!$C$3:$AG$100,13,FALSE),"")</f>
        <v/>
      </c>
      <c r="E26" s="581" t="str">
        <f>IFERROR(VLOOKUP(E$12,選定!$C$3:$AG$100,13,FALSE),"")</f>
        <v/>
      </c>
      <c r="F26" s="581" t="str">
        <f>IFERROR(VLOOKUP(F$12,選定!$C$3:$AG$100,13,FALSE),"")</f>
        <v/>
      </c>
      <c r="G26" s="581" t="str">
        <f>IFERROR(VLOOKUP(G$12,選定!$C$3:$AG$100,13,FALSE),"")</f>
        <v/>
      </c>
      <c r="H26" s="581" t="str">
        <f>IFERROR(VLOOKUP(H$12,選定!$C$3:$AG$100,13,FALSE),"")</f>
        <v/>
      </c>
      <c r="I26" s="581" t="str">
        <f>IFERROR(VLOOKUP(I$12,選定!$C$3:$AG$100,13,FALSE),"")</f>
        <v/>
      </c>
      <c r="J26" s="581" t="str">
        <f>IFERROR(VLOOKUP(J$12,選定!$C$3:$AG$100,13,FALSE),"")</f>
        <v/>
      </c>
      <c r="K26" s="581" t="str">
        <f>IFERROR(VLOOKUP(K$12,選定!$C$3:$AG$100,13,FALSE),"")</f>
        <v/>
      </c>
      <c r="L26" s="581" t="str">
        <f>IFERROR(VLOOKUP(L$12,選定!$C$3:$AG$100,13,FALSE),"")</f>
        <v/>
      </c>
      <c r="M26" s="581" t="str">
        <f>IFERROR(VLOOKUP(M$12,選定!$C$3:$AG$100,13,FALSE),"")</f>
        <v/>
      </c>
      <c r="N26" s="581" t="str">
        <f>IFERROR(VLOOKUP(N$12,選定!$C$3:$AG$100,13,FALSE),"")</f>
        <v/>
      </c>
      <c r="O26" s="581" t="str">
        <f>IFERROR(VLOOKUP(O$12,選定!$C$3:$AG$100,13,FALSE),"")</f>
        <v/>
      </c>
      <c r="P26" s="581" t="str">
        <f>IFERROR(VLOOKUP(P$12,選定!$C$3:$AG$100,13,FALSE),"")</f>
        <v/>
      </c>
      <c r="Q26" s="581" t="str">
        <f>IFERROR(VLOOKUP(Q$12,選定!$C$3:$AG$100,13,FALSE),"")</f>
        <v/>
      </c>
      <c r="R26" s="581" t="str">
        <f>IFERROR(VLOOKUP(R$12,選定!$C$3:$AG$100,13,FALSE),"")</f>
        <v/>
      </c>
      <c r="S26" s="581" t="str">
        <f>IFERROR(VLOOKUP(S$12,選定!$C$3:$AG$100,13,FALSE),"")</f>
        <v/>
      </c>
      <c r="T26" s="581" t="str">
        <f>IFERROR(VLOOKUP(T$12,選定!$C$3:$AG$100,13,FALSE),"")</f>
        <v/>
      </c>
      <c r="U26" s="581" t="str">
        <f>IFERROR(VLOOKUP(U$12,選定!$C$3:$AG$100,13,FALSE),"")</f>
        <v/>
      </c>
      <c r="V26" s="581" t="str">
        <f>IFERROR(VLOOKUP(V$12,選定!$C$3:$AG$100,13,FALSE),"")</f>
        <v/>
      </c>
      <c r="W26" s="581" t="str">
        <f>IFERROR(VLOOKUP(W$12,選定!$C$3:$AG$100,13,FALSE),"")</f>
        <v/>
      </c>
      <c r="X26" s="581" t="str">
        <f>IFERROR(VLOOKUP(X$12,選定!$C$3:$AG$100,13,FALSE),"")</f>
        <v/>
      </c>
      <c r="Y26" s="581" t="str">
        <f>IFERROR(VLOOKUP(Y$12,選定!$C$3:$AG$100,13,FALSE),"")</f>
        <v/>
      </c>
      <c r="Z26" s="581" t="str">
        <f>IFERROR(VLOOKUP(Z$12,選定!$C$3:$AG$100,13,FALSE),"")</f>
        <v/>
      </c>
      <c r="AA26" s="581" t="str">
        <f>IFERROR(VLOOKUP(AA$12,選定!$C$3:$AG$100,13,FALSE),"")</f>
        <v/>
      </c>
      <c r="AB26" s="581" t="str">
        <f>IFERROR(VLOOKUP(AB$12,選定!$C$3:$AG$100,13,FALSE),"")</f>
        <v/>
      </c>
      <c r="AC26" s="581" t="str">
        <f>IFERROR(VLOOKUP(AC$12,選定!$C$3:$AG$100,13,FALSE),"")</f>
        <v/>
      </c>
      <c r="AD26" s="581" t="str">
        <f>IFERROR(VLOOKUP(AD$12,選定!$C$3:$AG$100,13,FALSE),"")</f>
        <v/>
      </c>
      <c r="AE26" s="581" t="str">
        <f>IFERROR(VLOOKUP(AE$12,選定!$C$3:$AG$100,13,FALSE),"")</f>
        <v/>
      </c>
    </row>
    <row r="27" spans="1:31" s="83" customFormat="1" ht="15.75" hidden="1" thickBot="1">
      <c r="A27" s="618" t="s">
        <v>73</v>
      </c>
      <c r="B27" s="589" t="str">
        <f>IFERROR(VLOOKUP(B$12,選定!$C$3:$AG$100,14,FALSE),"")</f>
        <v/>
      </c>
      <c r="C27" s="589" t="str">
        <f>IFERROR(VLOOKUP(C$12,選定!$C$3:$AG$100,14,FALSE),"")</f>
        <v/>
      </c>
      <c r="D27" s="589" t="str">
        <f>IFERROR(VLOOKUP(D$12,選定!$C$3:$AG$100,14,FALSE),"")</f>
        <v/>
      </c>
      <c r="E27" s="589" t="str">
        <f>IFERROR(VLOOKUP(E$12,選定!$C$3:$AG$100,14,FALSE),"")</f>
        <v/>
      </c>
      <c r="F27" s="589" t="str">
        <f>IFERROR(VLOOKUP(F$12,選定!$C$3:$AG$100,14,FALSE),"")</f>
        <v/>
      </c>
      <c r="G27" s="589" t="str">
        <f>IFERROR(VLOOKUP(G$12,選定!$C$3:$AG$100,14,FALSE),"")</f>
        <v/>
      </c>
      <c r="H27" s="589" t="str">
        <f>IFERROR(VLOOKUP(H$12,選定!$C$3:$AG$100,14,FALSE),"")</f>
        <v/>
      </c>
      <c r="I27" s="589" t="str">
        <f>IFERROR(VLOOKUP(I$12,選定!$C$3:$AG$100,14,FALSE),"")</f>
        <v/>
      </c>
      <c r="J27" s="589" t="str">
        <f>IFERROR(VLOOKUP(J$12,選定!$C$3:$AG$100,14,FALSE),"")</f>
        <v/>
      </c>
      <c r="K27" s="589" t="str">
        <f>IFERROR(VLOOKUP(K$12,選定!$C$3:$AG$100,14,FALSE),"")</f>
        <v/>
      </c>
      <c r="L27" s="589" t="str">
        <f>IFERROR(VLOOKUP(L$12,選定!$C$3:$AG$100,14,FALSE),"")</f>
        <v/>
      </c>
      <c r="M27" s="589" t="str">
        <f>IFERROR(VLOOKUP(M$12,選定!$C$3:$AG$100,14,FALSE),"")</f>
        <v/>
      </c>
      <c r="N27" s="589" t="str">
        <f>IFERROR(VLOOKUP(N$12,選定!$C$3:$AG$100,14,FALSE),"")</f>
        <v/>
      </c>
      <c r="O27" s="589" t="str">
        <f>IFERROR(VLOOKUP(O$12,選定!$C$3:$AG$100,14,FALSE),"")</f>
        <v/>
      </c>
      <c r="P27" s="589" t="str">
        <f>IFERROR(VLOOKUP(P$12,選定!$C$3:$AG$100,14,FALSE),"")</f>
        <v/>
      </c>
      <c r="Q27" s="589" t="str">
        <f>IFERROR(VLOOKUP(Q$12,選定!$C$3:$AG$100,14,FALSE),"")</f>
        <v/>
      </c>
      <c r="R27" s="589" t="str">
        <f>IFERROR(VLOOKUP(R$12,選定!$C$3:$AG$100,14,FALSE),"")</f>
        <v/>
      </c>
      <c r="S27" s="589" t="str">
        <f>IFERROR(VLOOKUP(S$12,選定!$C$3:$AG$100,14,FALSE),"")</f>
        <v/>
      </c>
      <c r="T27" s="589" t="str">
        <f>IFERROR(VLOOKUP(T$12,選定!$C$3:$AG$100,14,FALSE),"")</f>
        <v/>
      </c>
      <c r="U27" s="589" t="str">
        <f>IFERROR(VLOOKUP(U$12,選定!$C$3:$AG$100,14,FALSE),"")</f>
        <v/>
      </c>
      <c r="V27" s="589" t="str">
        <f>IFERROR(VLOOKUP(V$12,選定!$C$3:$AG$100,14,FALSE),"")</f>
        <v/>
      </c>
      <c r="W27" s="589" t="str">
        <f>IFERROR(VLOOKUP(W$12,選定!$C$3:$AG$100,14,FALSE),"")</f>
        <v/>
      </c>
      <c r="X27" s="589" t="str">
        <f>IFERROR(VLOOKUP(X$12,選定!$C$3:$AG$100,14,FALSE),"")</f>
        <v/>
      </c>
      <c r="Y27" s="589" t="str">
        <f>IFERROR(VLOOKUP(Y$12,選定!$C$3:$AG$100,14,FALSE),"")</f>
        <v/>
      </c>
      <c r="Z27" s="589" t="str">
        <f>IFERROR(VLOOKUP(Z$12,選定!$C$3:$AG$100,14,FALSE),"")</f>
        <v/>
      </c>
      <c r="AA27" s="589" t="str">
        <f>IFERROR(VLOOKUP(AA$12,選定!$C$3:$AG$100,14,FALSE),"")</f>
        <v/>
      </c>
      <c r="AB27" s="589" t="str">
        <f>IFERROR(VLOOKUP(AB$12,選定!$C$3:$AG$100,14,FALSE),"")</f>
        <v/>
      </c>
      <c r="AC27" s="589" t="str">
        <f>IFERROR(VLOOKUP(AC$12,選定!$C$3:$AG$100,14,FALSE),"")</f>
        <v/>
      </c>
      <c r="AD27" s="589" t="str">
        <f>IFERROR(VLOOKUP(AD$12,選定!$C$3:$AG$100,14,FALSE),"")</f>
        <v/>
      </c>
      <c r="AE27" s="589" t="str">
        <f>IFERROR(VLOOKUP(AE$12,選定!$C$3:$AG$100,14,FALSE),"")</f>
        <v/>
      </c>
    </row>
    <row r="28" spans="1:31" s="20" customFormat="1" ht="15.75" hidden="1" thickBot="1">
      <c r="A28" s="615"/>
      <c r="B28" s="601"/>
      <c r="C28" s="601"/>
      <c r="D28" s="601"/>
      <c r="E28" s="601"/>
      <c r="F28" s="601"/>
      <c r="G28" s="601"/>
      <c r="H28" s="601"/>
      <c r="I28" s="601"/>
      <c r="J28" s="601"/>
      <c r="K28" s="601"/>
      <c r="L28" s="601"/>
      <c r="M28" s="601"/>
      <c r="N28" s="601"/>
      <c r="O28" s="601"/>
      <c r="P28" s="601"/>
      <c r="Q28" s="601"/>
      <c r="R28" s="601"/>
      <c r="S28" s="601"/>
      <c r="T28" s="601"/>
      <c r="U28" s="601"/>
      <c r="V28" s="601"/>
      <c r="W28" s="601"/>
      <c r="X28" s="601"/>
      <c r="Y28" s="601"/>
      <c r="Z28" s="601"/>
      <c r="AA28" s="601"/>
      <c r="AB28" s="601"/>
      <c r="AC28" s="601"/>
      <c r="AD28" s="601"/>
      <c r="AE28" s="601"/>
    </row>
    <row r="29" spans="1:31" s="20" customFormat="1" ht="15.75" hidden="1" thickBot="1">
      <c r="A29" s="615" t="s">
        <v>75</v>
      </c>
      <c r="B29" s="601" t="str">
        <f>IFERROR(VLOOKUP(B$12,選定!$C$3:$AG$100,16,FALSE),"")</f>
        <v/>
      </c>
      <c r="C29" s="601" t="str">
        <f>IFERROR(VLOOKUP(C$12,選定!$C$3:$AG$100,16,FALSE),"")</f>
        <v/>
      </c>
      <c r="D29" s="601" t="str">
        <f>IFERROR(VLOOKUP(D$12,選定!$C$3:$AG$100,16,FALSE),"")</f>
        <v/>
      </c>
      <c r="E29" s="601" t="str">
        <f>IFERROR(VLOOKUP(E$12,選定!$C$3:$AG$100,16,FALSE),"")</f>
        <v/>
      </c>
      <c r="F29" s="601" t="str">
        <f>IFERROR(VLOOKUP(F$12,選定!$C$3:$AG$100,16,FALSE),"")</f>
        <v/>
      </c>
      <c r="G29" s="601" t="str">
        <f>IFERROR(VLOOKUP(G$12,選定!$C$3:$AG$100,16,FALSE),"")</f>
        <v/>
      </c>
      <c r="H29" s="601" t="str">
        <f>IFERROR(VLOOKUP(H$12,選定!$C$3:$AG$100,16,FALSE),"")</f>
        <v/>
      </c>
      <c r="I29" s="601" t="str">
        <f>IFERROR(VLOOKUP(I$12,選定!$C$3:$AG$100,16,FALSE),"")</f>
        <v/>
      </c>
      <c r="J29" s="601" t="str">
        <f>IFERROR(VLOOKUP(J$12,選定!$C$3:$AG$100,16,FALSE),"")</f>
        <v/>
      </c>
      <c r="K29" s="601" t="str">
        <f>IFERROR(VLOOKUP(K$12,選定!$C$3:$AG$100,16,FALSE),"")</f>
        <v/>
      </c>
      <c r="L29" s="601" t="str">
        <f>IFERROR(VLOOKUP(L$12,選定!$C$3:$AG$100,16,FALSE),"")</f>
        <v/>
      </c>
      <c r="M29" s="601" t="str">
        <f>IFERROR(VLOOKUP(M$12,選定!$C$3:$AG$100,16,FALSE),"")</f>
        <v/>
      </c>
      <c r="N29" s="601" t="str">
        <f>IFERROR(VLOOKUP(N$12,選定!$C$3:$AG$100,16,FALSE),"")</f>
        <v/>
      </c>
      <c r="O29" s="601" t="str">
        <f>IFERROR(VLOOKUP(O$12,選定!$C$3:$AG$100,16,FALSE),"")</f>
        <v/>
      </c>
      <c r="P29" s="601" t="str">
        <f>IFERROR(VLOOKUP(P$12,選定!$C$3:$AG$100,16,FALSE),"")</f>
        <v/>
      </c>
      <c r="Q29" s="601" t="str">
        <f>IFERROR(VLOOKUP(Q$12,選定!$C$3:$AG$100,16,FALSE),"")</f>
        <v/>
      </c>
      <c r="R29" s="601" t="str">
        <f>IFERROR(VLOOKUP(R$12,選定!$C$3:$AG$100,16,FALSE),"")</f>
        <v/>
      </c>
      <c r="S29" s="601" t="str">
        <f>IFERROR(VLOOKUP(S$12,選定!$C$3:$AG$100,16,FALSE),"")</f>
        <v/>
      </c>
      <c r="T29" s="601" t="str">
        <f>IFERROR(VLOOKUP(T$12,選定!$C$3:$AG$100,16,FALSE),"")</f>
        <v/>
      </c>
      <c r="U29" s="601" t="str">
        <f>IFERROR(VLOOKUP(U$12,選定!$C$3:$AG$100,16,FALSE),"")</f>
        <v/>
      </c>
      <c r="V29" s="601" t="str">
        <f>IFERROR(VLOOKUP(V$12,選定!$C$3:$AG$100,16,FALSE),"")</f>
        <v/>
      </c>
      <c r="W29" s="601" t="str">
        <f>IFERROR(VLOOKUP(W$12,選定!$C$3:$AG$100,16,FALSE),"")</f>
        <v/>
      </c>
      <c r="X29" s="601" t="str">
        <f>IFERROR(VLOOKUP(X$12,選定!$C$3:$AG$100,16,FALSE),"")</f>
        <v/>
      </c>
      <c r="Y29" s="601" t="str">
        <f>IFERROR(VLOOKUP(Y$12,選定!$C$3:$AG$100,16,FALSE),"")</f>
        <v/>
      </c>
      <c r="Z29" s="601" t="str">
        <f>IFERROR(VLOOKUP(Z$12,選定!$C$3:$AG$100,16,FALSE),"")</f>
        <v/>
      </c>
      <c r="AA29" s="601" t="str">
        <f>IFERROR(VLOOKUP(AA$12,選定!$C$3:$AG$100,16,FALSE),"")</f>
        <v/>
      </c>
      <c r="AB29" s="601" t="str">
        <f>IFERROR(VLOOKUP(AB$12,選定!$C$3:$AG$100,16,FALSE),"")</f>
        <v/>
      </c>
      <c r="AC29" s="601" t="str">
        <f>IFERROR(VLOOKUP(AC$12,選定!$C$3:$AG$100,16,FALSE),"")</f>
        <v/>
      </c>
      <c r="AD29" s="601" t="str">
        <f>IFERROR(VLOOKUP(AD$12,選定!$C$3:$AG$100,16,FALSE),"")</f>
        <v/>
      </c>
      <c r="AE29" s="601" t="str">
        <f>IFERROR(VLOOKUP(AE$12,選定!$C$3:$AG$100,16,FALSE),"")</f>
        <v/>
      </c>
    </row>
    <row r="30" spans="1:31" s="83" customFormat="1" ht="15.75" hidden="1" thickBot="1">
      <c r="A30" s="618" t="s">
        <v>76</v>
      </c>
      <c r="B30" s="608" t="str">
        <f>IFERROR(VLOOKUP(B$12,選定!$C$3:$AG$100,17,FALSE),"")</f>
        <v/>
      </c>
      <c r="C30" s="608" t="str">
        <f>IFERROR(VLOOKUP(C$12,選定!$C$3:$AG$100,17,FALSE),"")</f>
        <v/>
      </c>
      <c r="D30" s="608" t="str">
        <f>IFERROR(VLOOKUP(D$12,選定!$C$3:$AG$100,17,FALSE),"")</f>
        <v/>
      </c>
      <c r="E30" s="608" t="str">
        <f>IFERROR(VLOOKUP(E$12,選定!$C$3:$AG$100,17,FALSE),"")</f>
        <v/>
      </c>
      <c r="F30" s="608" t="str">
        <f>IFERROR(VLOOKUP(F$12,選定!$C$3:$AG$100,17,FALSE),"")</f>
        <v/>
      </c>
      <c r="G30" s="608" t="str">
        <f>IFERROR(VLOOKUP(G$12,選定!$C$3:$AG$100,17,FALSE),"")</f>
        <v/>
      </c>
      <c r="H30" s="608" t="str">
        <f>IFERROR(VLOOKUP(H$12,選定!$C$3:$AG$100,17,FALSE),"")</f>
        <v/>
      </c>
      <c r="I30" s="608" t="str">
        <f>IFERROR(VLOOKUP(I$12,選定!$C$3:$AG$100,17,FALSE),"")</f>
        <v/>
      </c>
      <c r="J30" s="608" t="str">
        <f>IFERROR(VLOOKUP(J$12,選定!$C$3:$AG$100,17,FALSE),"")</f>
        <v/>
      </c>
      <c r="K30" s="608" t="str">
        <f>IFERROR(VLOOKUP(K$12,選定!$C$3:$AG$100,17,FALSE),"")</f>
        <v/>
      </c>
      <c r="L30" s="608" t="str">
        <f>IFERROR(VLOOKUP(L$12,選定!$C$3:$AG$100,17,FALSE),"")</f>
        <v/>
      </c>
      <c r="M30" s="608" t="str">
        <f>IFERROR(VLOOKUP(M$12,選定!$C$3:$AG$100,17,FALSE),"")</f>
        <v/>
      </c>
      <c r="N30" s="608" t="str">
        <f>IFERROR(VLOOKUP(N$12,選定!$C$3:$AG$100,17,FALSE),"")</f>
        <v/>
      </c>
      <c r="O30" s="608" t="str">
        <f>IFERROR(VLOOKUP(O$12,選定!$C$3:$AG$100,17,FALSE),"")</f>
        <v/>
      </c>
      <c r="P30" s="608" t="str">
        <f>IFERROR(VLOOKUP(P$12,選定!$C$3:$AG$100,17,FALSE),"")</f>
        <v/>
      </c>
      <c r="Q30" s="608" t="str">
        <f>IFERROR(VLOOKUP(Q$12,選定!$C$3:$AG$100,17,FALSE),"")</f>
        <v/>
      </c>
      <c r="R30" s="608" t="str">
        <f>IFERROR(VLOOKUP(R$12,選定!$C$3:$AG$100,17,FALSE),"")</f>
        <v/>
      </c>
      <c r="S30" s="608" t="str">
        <f>IFERROR(VLOOKUP(S$12,選定!$C$3:$AG$100,17,FALSE),"")</f>
        <v/>
      </c>
      <c r="T30" s="608" t="str">
        <f>IFERROR(VLOOKUP(T$12,選定!$C$3:$AG$100,17,FALSE),"")</f>
        <v/>
      </c>
      <c r="U30" s="608" t="str">
        <f>IFERROR(VLOOKUP(U$12,選定!$C$3:$AG$100,17,FALSE),"")</f>
        <v/>
      </c>
      <c r="V30" s="608" t="str">
        <f>IFERROR(VLOOKUP(V$12,選定!$C$3:$AG$100,17,FALSE),"")</f>
        <v/>
      </c>
      <c r="W30" s="608" t="str">
        <f>IFERROR(VLOOKUP(W$12,選定!$C$3:$AG$100,17,FALSE),"")</f>
        <v/>
      </c>
      <c r="X30" s="608" t="str">
        <f>IFERROR(VLOOKUP(X$12,選定!$C$3:$AG$100,17,FALSE),"")</f>
        <v/>
      </c>
      <c r="Y30" s="608" t="str">
        <f>IFERROR(VLOOKUP(Y$12,選定!$C$3:$AG$100,17,FALSE),"")</f>
        <v/>
      </c>
      <c r="Z30" s="608" t="str">
        <f>IFERROR(VLOOKUP(Z$12,選定!$C$3:$AG$100,17,FALSE),"")</f>
        <v/>
      </c>
      <c r="AA30" s="608" t="str">
        <f>IFERROR(VLOOKUP(AA$12,選定!$C$3:$AG$100,17,FALSE),"")</f>
        <v/>
      </c>
      <c r="AB30" s="608" t="str">
        <f>IFERROR(VLOOKUP(AB$12,選定!$C$3:$AG$100,17,FALSE),"")</f>
        <v/>
      </c>
      <c r="AC30" s="608" t="str">
        <f>IFERROR(VLOOKUP(AC$12,選定!$C$3:$AG$100,17,FALSE),"")</f>
        <v/>
      </c>
      <c r="AD30" s="608" t="str">
        <f>IFERROR(VLOOKUP(AD$12,選定!$C$3:$AG$100,17,FALSE),"")</f>
        <v/>
      </c>
      <c r="AE30" s="608" t="str">
        <f>IFERROR(VLOOKUP(AE$12,選定!$C$3:$AG$100,17,FALSE),"")</f>
        <v/>
      </c>
    </row>
    <row r="31" spans="1:31" s="20" customFormat="1" ht="15.75" hidden="1" thickBot="1">
      <c r="A31" s="615"/>
      <c r="B31" s="601"/>
      <c r="C31" s="601"/>
      <c r="D31" s="601"/>
      <c r="E31" s="601"/>
      <c r="F31" s="601"/>
      <c r="G31" s="601"/>
      <c r="H31" s="601"/>
      <c r="I31" s="601"/>
      <c r="J31" s="601"/>
      <c r="K31" s="601"/>
      <c r="L31" s="601"/>
      <c r="M31" s="601"/>
      <c r="N31" s="601"/>
      <c r="O31" s="601"/>
      <c r="P31" s="601"/>
      <c r="Q31" s="601"/>
      <c r="R31" s="601"/>
      <c r="S31" s="601"/>
      <c r="T31" s="601"/>
      <c r="U31" s="601"/>
      <c r="V31" s="601"/>
      <c r="W31" s="601"/>
      <c r="X31" s="601"/>
      <c r="Y31" s="601"/>
      <c r="Z31" s="601"/>
      <c r="AA31" s="601"/>
      <c r="AB31" s="601"/>
      <c r="AC31" s="601"/>
      <c r="AD31" s="601"/>
      <c r="AE31" s="601"/>
    </row>
    <row r="32" spans="1:31" s="20" customFormat="1" ht="15.75" hidden="1" thickBot="1">
      <c r="A32" s="615" t="s">
        <v>78</v>
      </c>
      <c r="B32" s="601" t="str">
        <f>IFERROR(VLOOKUP(B$12,選定!$C$3:$AG$100,19,FALSE),"")</f>
        <v/>
      </c>
      <c r="C32" s="601" t="str">
        <f>IFERROR(VLOOKUP(C$12,選定!$C$3:$AG$100,19,FALSE),"")</f>
        <v/>
      </c>
      <c r="D32" s="601" t="str">
        <f>IFERROR(VLOOKUP(D$12,選定!$C$3:$AG$100,19,FALSE),"")</f>
        <v/>
      </c>
      <c r="E32" s="601" t="str">
        <f>IFERROR(VLOOKUP(E$12,選定!$C$3:$AG$100,19,FALSE),"")</f>
        <v/>
      </c>
      <c r="F32" s="601" t="str">
        <f>IFERROR(VLOOKUP(F$12,選定!$C$3:$AG$100,19,FALSE),"")</f>
        <v/>
      </c>
      <c r="G32" s="601" t="str">
        <f>IFERROR(VLOOKUP(G$12,選定!$C$3:$AG$100,19,FALSE),"")</f>
        <v/>
      </c>
      <c r="H32" s="601" t="str">
        <f>IFERROR(VLOOKUP(H$12,選定!$C$3:$AG$100,19,FALSE),"")</f>
        <v/>
      </c>
      <c r="I32" s="601" t="str">
        <f>IFERROR(VLOOKUP(I$12,選定!$C$3:$AG$100,19,FALSE),"")</f>
        <v/>
      </c>
      <c r="J32" s="601" t="str">
        <f>IFERROR(VLOOKUP(J$12,選定!$C$3:$AG$100,19,FALSE),"")</f>
        <v/>
      </c>
      <c r="K32" s="601" t="str">
        <f>IFERROR(VLOOKUP(K$12,選定!$C$3:$AG$100,19,FALSE),"")</f>
        <v/>
      </c>
      <c r="L32" s="601" t="str">
        <f>IFERROR(VLOOKUP(L$12,選定!$C$3:$AG$100,19,FALSE),"")</f>
        <v/>
      </c>
      <c r="M32" s="601" t="str">
        <f>IFERROR(VLOOKUP(M$12,選定!$C$3:$AG$100,19,FALSE),"")</f>
        <v/>
      </c>
      <c r="N32" s="601" t="str">
        <f>IFERROR(VLOOKUP(N$12,選定!$C$3:$AG$100,19,FALSE),"")</f>
        <v/>
      </c>
      <c r="O32" s="601" t="str">
        <f>IFERROR(VLOOKUP(O$12,選定!$C$3:$AG$100,19,FALSE),"")</f>
        <v/>
      </c>
      <c r="P32" s="601" t="str">
        <f>IFERROR(VLOOKUP(P$12,選定!$C$3:$AG$100,19,FALSE),"")</f>
        <v/>
      </c>
      <c r="Q32" s="601" t="str">
        <f>IFERROR(VLOOKUP(Q$12,選定!$C$3:$AG$100,19,FALSE),"")</f>
        <v/>
      </c>
      <c r="R32" s="601" t="str">
        <f>IFERROR(VLOOKUP(R$12,選定!$C$3:$AG$100,19,FALSE),"")</f>
        <v/>
      </c>
      <c r="S32" s="601" t="str">
        <f>IFERROR(VLOOKUP(S$12,選定!$C$3:$AG$100,19,FALSE),"")</f>
        <v/>
      </c>
      <c r="T32" s="601" t="str">
        <f>IFERROR(VLOOKUP(T$12,選定!$C$3:$AG$100,19,FALSE),"")</f>
        <v/>
      </c>
      <c r="U32" s="601" t="str">
        <f>IFERROR(VLOOKUP(U$12,選定!$C$3:$AG$100,19,FALSE),"")</f>
        <v/>
      </c>
      <c r="V32" s="601" t="str">
        <f>IFERROR(VLOOKUP(V$12,選定!$C$3:$AG$100,19,FALSE),"")</f>
        <v/>
      </c>
      <c r="W32" s="601" t="str">
        <f>IFERROR(VLOOKUP(W$12,選定!$C$3:$AG$100,19,FALSE),"")</f>
        <v/>
      </c>
      <c r="X32" s="601" t="str">
        <f>IFERROR(VLOOKUP(X$12,選定!$C$3:$AG$100,19,FALSE),"")</f>
        <v/>
      </c>
      <c r="Y32" s="601" t="str">
        <f>IFERROR(VLOOKUP(Y$12,選定!$C$3:$AG$100,19,FALSE),"")</f>
        <v/>
      </c>
      <c r="Z32" s="601" t="str">
        <f>IFERROR(VLOOKUP(Z$12,選定!$C$3:$AG$100,19,FALSE),"")</f>
        <v/>
      </c>
      <c r="AA32" s="601" t="str">
        <f>IFERROR(VLOOKUP(AA$12,選定!$C$3:$AG$100,19,FALSE),"")</f>
        <v/>
      </c>
      <c r="AB32" s="601" t="str">
        <f>IFERROR(VLOOKUP(AB$12,選定!$C$3:$AG$100,19,FALSE),"")</f>
        <v/>
      </c>
      <c r="AC32" s="601" t="str">
        <f>IFERROR(VLOOKUP(AC$12,選定!$C$3:$AG$100,19,FALSE),"")</f>
        <v/>
      </c>
      <c r="AD32" s="601" t="str">
        <f>IFERROR(VLOOKUP(AD$12,選定!$C$3:$AG$100,19,FALSE),"")</f>
        <v/>
      </c>
      <c r="AE32" s="601" t="str">
        <f>IFERROR(VLOOKUP(AE$12,選定!$C$3:$AG$100,19,FALSE),"")</f>
        <v/>
      </c>
    </row>
    <row r="33" spans="1:31" s="83" customFormat="1" ht="15.75" hidden="1" thickBot="1">
      <c r="A33" s="618" t="s">
        <v>79</v>
      </c>
      <c r="B33" s="608" t="str">
        <f>IFERROR(VLOOKUP(B$12,選定!$C$3:$AG$100,20,FALSE),"")</f>
        <v/>
      </c>
      <c r="C33" s="608" t="str">
        <f>IFERROR(VLOOKUP(C$12,選定!$C$3:$AG$100,20,FALSE),"")</f>
        <v/>
      </c>
      <c r="D33" s="608" t="str">
        <f>IFERROR(VLOOKUP(D$12,選定!$C$3:$AG$100,20,FALSE),"")</f>
        <v/>
      </c>
      <c r="E33" s="608" t="str">
        <f>IFERROR(VLOOKUP(E$12,選定!$C$3:$AG$100,20,FALSE),"")</f>
        <v/>
      </c>
      <c r="F33" s="608" t="str">
        <f>IFERROR(VLOOKUP(F$12,選定!$C$3:$AG$100,20,FALSE),"")</f>
        <v/>
      </c>
      <c r="G33" s="608" t="str">
        <f>IFERROR(VLOOKUP(G$12,選定!$C$3:$AG$100,20,FALSE),"")</f>
        <v/>
      </c>
      <c r="H33" s="608" t="str">
        <f>IFERROR(VLOOKUP(H$12,選定!$C$3:$AG$100,20,FALSE),"")</f>
        <v/>
      </c>
      <c r="I33" s="608" t="str">
        <f>IFERROR(VLOOKUP(I$12,選定!$C$3:$AG$100,20,FALSE),"")</f>
        <v/>
      </c>
      <c r="J33" s="608" t="str">
        <f>IFERROR(VLOOKUP(J$12,選定!$C$3:$AG$100,20,FALSE),"")</f>
        <v/>
      </c>
      <c r="K33" s="608" t="str">
        <f>IFERROR(VLOOKUP(K$12,選定!$C$3:$AG$100,20,FALSE),"")</f>
        <v/>
      </c>
      <c r="L33" s="608" t="str">
        <f>IFERROR(VLOOKUP(L$12,選定!$C$3:$AG$100,20,FALSE),"")</f>
        <v/>
      </c>
      <c r="M33" s="608" t="str">
        <f>IFERROR(VLOOKUP(M$12,選定!$C$3:$AG$100,20,FALSE),"")</f>
        <v/>
      </c>
      <c r="N33" s="608" t="str">
        <f>IFERROR(VLOOKUP(N$12,選定!$C$3:$AG$100,20,FALSE),"")</f>
        <v/>
      </c>
      <c r="O33" s="608" t="str">
        <f>IFERROR(VLOOKUP(O$12,選定!$C$3:$AG$100,20,FALSE),"")</f>
        <v/>
      </c>
      <c r="P33" s="608" t="str">
        <f>IFERROR(VLOOKUP(P$12,選定!$C$3:$AG$100,20,FALSE),"")</f>
        <v/>
      </c>
      <c r="Q33" s="608" t="str">
        <f>IFERROR(VLOOKUP(Q$12,選定!$C$3:$AG$100,20,FALSE),"")</f>
        <v/>
      </c>
      <c r="R33" s="608" t="str">
        <f>IFERROR(VLOOKUP(R$12,選定!$C$3:$AG$100,20,FALSE),"")</f>
        <v/>
      </c>
      <c r="S33" s="608" t="str">
        <f>IFERROR(VLOOKUP(S$12,選定!$C$3:$AG$100,20,FALSE),"")</f>
        <v/>
      </c>
      <c r="T33" s="608" t="str">
        <f>IFERROR(VLOOKUP(T$12,選定!$C$3:$AG$100,20,FALSE),"")</f>
        <v/>
      </c>
      <c r="U33" s="608" t="str">
        <f>IFERROR(VLOOKUP(U$12,選定!$C$3:$AG$100,20,FALSE),"")</f>
        <v/>
      </c>
      <c r="V33" s="608" t="str">
        <f>IFERROR(VLOOKUP(V$12,選定!$C$3:$AG$100,20,FALSE),"")</f>
        <v/>
      </c>
      <c r="W33" s="608" t="str">
        <f>IFERROR(VLOOKUP(W$12,選定!$C$3:$AG$100,20,FALSE),"")</f>
        <v/>
      </c>
      <c r="X33" s="608" t="str">
        <f>IFERROR(VLOOKUP(X$12,選定!$C$3:$AG$100,20,FALSE),"")</f>
        <v/>
      </c>
      <c r="Y33" s="608" t="str">
        <f>IFERROR(VLOOKUP(Y$12,選定!$C$3:$AG$100,20,FALSE),"")</f>
        <v/>
      </c>
      <c r="Z33" s="608" t="str">
        <f>IFERROR(VLOOKUP(Z$12,選定!$C$3:$AG$100,20,FALSE),"")</f>
        <v/>
      </c>
      <c r="AA33" s="608" t="str">
        <f>IFERROR(VLOOKUP(AA$12,選定!$C$3:$AG$100,20,FALSE),"")</f>
        <v/>
      </c>
      <c r="AB33" s="608" t="str">
        <f>IFERROR(VLOOKUP(AB$12,選定!$C$3:$AG$100,20,FALSE),"")</f>
        <v/>
      </c>
      <c r="AC33" s="608" t="str">
        <f>IFERROR(VLOOKUP(AC$12,選定!$C$3:$AG$100,20,FALSE),"")</f>
        <v/>
      </c>
      <c r="AD33" s="608" t="str">
        <f>IFERROR(VLOOKUP(AD$12,選定!$C$3:$AG$100,20,FALSE),"")</f>
        <v/>
      </c>
      <c r="AE33" s="608" t="str">
        <f>IFERROR(VLOOKUP(AE$12,選定!$C$3:$AG$100,20,FALSE),"")</f>
        <v/>
      </c>
    </row>
    <row r="34" spans="1:31" s="20" customFormat="1" ht="15.75" hidden="1" thickBot="1">
      <c r="A34" s="615"/>
      <c r="B34" s="601"/>
      <c r="C34" s="601"/>
      <c r="D34" s="601"/>
      <c r="E34" s="601"/>
      <c r="F34" s="601"/>
      <c r="G34" s="601"/>
      <c r="H34" s="601"/>
      <c r="I34" s="601"/>
      <c r="J34" s="601"/>
      <c r="K34" s="601"/>
      <c r="L34" s="601"/>
      <c r="M34" s="601"/>
      <c r="N34" s="601"/>
      <c r="O34" s="601"/>
      <c r="P34" s="601"/>
      <c r="Q34" s="601"/>
      <c r="R34" s="601"/>
      <c r="S34" s="601"/>
      <c r="T34" s="601"/>
      <c r="U34" s="601"/>
      <c r="V34" s="601"/>
      <c r="W34" s="601"/>
      <c r="X34" s="601"/>
      <c r="Y34" s="601"/>
      <c r="Z34" s="601"/>
      <c r="AA34" s="601"/>
      <c r="AB34" s="601"/>
      <c r="AC34" s="601"/>
      <c r="AD34" s="601"/>
      <c r="AE34" s="601"/>
    </row>
    <row r="35" spans="1:31" s="605" customFormat="1" ht="15.75" hidden="1" thickBot="1">
      <c r="A35" s="616" t="s">
        <v>82</v>
      </c>
      <c r="B35" s="604" t="str">
        <f>IFERROR(VLOOKUP(B$12,選定!$C$3:$AG$100,22,FALSE),"")</f>
        <v/>
      </c>
      <c r="C35" s="604" t="str">
        <f>IFERROR(VLOOKUP(C$12,選定!$C$3:$AG$100,22,FALSE),"")</f>
        <v/>
      </c>
      <c r="D35" s="604" t="str">
        <f>IFERROR(VLOOKUP(D$12,選定!$C$3:$AG$100,22,FALSE),"")</f>
        <v/>
      </c>
      <c r="E35" s="604" t="str">
        <f>IFERROR(VLOOKUP(E$12,選定!$C$3:$AG$100,22,FALSE),"")</f>
        <v/>
      </c>
      <c r="F35" s="604" t="str">
        <f>IFERROR(VLOOKUP(F$12,選定!$C$3:$AG$100,22,FALSE),"")</f>
        <v/>
      </c>
      <c r="G35" s="604" t="str">
        <f>IFERROR(VLOOKUP(G$12,選定!$C$3:$AG$100,22,FALSE),"")</f>
        <v/>
      </c>
      <c r="H35" s="604" t="str">
        <f>IFERROR(VLOOKUP(H$12,選定!$C$3:$AG$100,22,FALSE),"")</f>
        <v/>
      </c>
      <c r="I35" s="604" t="str">
        <f>IFERROR(VLOOKUP(I$12,選定!$C$3:$AG$100,22,FALSE),"")</f>
        <v/>
      </c>
      <c r="J35" s="604" t="str">
        <f>IFERROR(VLOOKUP(J$12,選定!$C$3:$AG$100,22,FALSE),"")</f>
        <v/>
      </c>
      <c r="K35" s="604" t="str">
        <f>IFERROR(VLOOKUP(K$12,選定!$C$3:$AG$100,22,FALSE),"")</f>
        <v/>
      </c>
      <c r="L35" s="604" t="str">
        <f>IFERROR(VLOOKUP(L$12,選定!$C$3:$AG$100,22,FALSE),"")</f>
        <v/>
      </c>
      <c r="M35" s="604" t="str">
        <f>IFERROR(VLOOKUP(M$12,選定!$C$3:$AG$100,22,FALSE),"")</f>
        <v/>
      </c>
      <c r="N35" s="604" t="str">
        <f>IFERROR(VLOOKUP(N$12,選定!$C$3:$AG$100,22,FALSE),"")</f>
        <v/>
      </c>
      <c r="O35" s="604" t="str">
        <f>IFERROR(VLOOKUP(O$12,選定!$C$3:$AG$100,22,FALSE),"")</f>
        <v/>
      </c>
      <c r="P35" s="604" t="str">
        <f>IFERROR(VLOOKUP(P$12,選定!$C$3:$AG$100,22,FALSE),"")</f>
        <v/>
      </c>
      <c r="Q35" s="604" t="str">
        <f>IFERROR(VLOOKUP(Q$12,選定!$C$3:$AG$100,22,FALSE),"")</f>
        <v/>
      </c>
      <c r="R35" s="604" t="str">
        <f>IFERROR(VLOOKUP(R$12,選定!$C$3:$AG$100,22,FALSE),"")</f>
        <v/>
      </c>
      <c r="S35" s="604" t="str">
        <f>IFERROR(VLOOKUP(S$12,選定!$C$3:$AG$100,22,FALSE),"")</f>
        <v/>
      </c>
      <c r="T35" s="604" t="str">
        <f>IFERROR(VLOOKUP(T$12,選定!$C$3:$AG$100,22,FALSE),"")</f>
        <v/>
      </c>
      <c r="U35" s="604" t="str">
        <f>IFERROR(VLOOKUP(U$12,選定!$C$3:$AG$100,22,FALSE),"")</f>
        <v/>
      </c>
      <c r="V35" s="604" t="str">
        <f>IFERROR(VLOOKUP(V$12,選定!$C$3:$AG$100,22,FALSE),"")</f>
        <v/>
      </c>
      <c r="W35" s="604" t="str">
        <f>IFERROR(VLOOKUP(W$12,選定!$C$3:$AG$100,22,FALSE),"")</f>
        <v/>
      </c>
      <c r="X35" s="604" t="str">
        <f>IFERROR(VLOOKUP(X$12,選定!$C$3:$AG$100,22,FALSE),"")</f>
        <v/>
      </c>
      <c r="Y35" s="604" t="str">
        <f>IFERROR(VLOOKUP(Y$12,選定!$C$3:$AG$100,22,FALSE),"")</f>
        <v/>
      </c>
      <c r="Z35" s="604" t="str">
        <f>IFERROR(VLOOKUP(Z$12,選定!$C$3:$AG$100,22,FALSE),"")</f>
        <v/>
      </c>
      <c r="AA35" s="604" t="str">
        <f>IFERROR(VLOOKUP(AA$12,選定!$C$3:$AG$100,22,FALSE),"")</f>
        <v/>
      </c>
      <c r="AB35" s="604" t="str">
        <f>IFERROR(VLOOKUP(AB$12,選定!$C$3:$AG$100,22,FALSE),"")</f>
        <v/>
      </c>
      <c r="AC35" s="604" t="str">
        <f>IFERROR(VLOOKUP(AC$12,選定!$C$3:$AG$100,22,FALSE),"")</f>
        <v/>
      </c>
      <c r="AD35" s="604" t="str">
        <f>IFERROR(VLOOKUP(AD$12,選定!$C$3:$AG$100,22,FALSE),"")</f>
        <v/>
      </c>
      <c r="AE35" s="604" t="str">
        <f>IFERROR(VLOOKUP(AE$12,選定!$C$3:$AG$100,22,FALSE),"")</f>
        <v/>
      </c>
    </row>
    <row r="36" spans="1:31" s="606" customFormat="1" ht="15.75" hidden="1" thickBot="1">
      <c r="A36" s="617" t="s">
        <v>83</v>
      </c>
      <c r="B36" s="607" t="str">
        <f>IFERROR(VLOOKUP(B$12,選定!$C$3:$AG$100,23,FALSE),"")</f>
        <v/>
      </c>
      <c r="C36" s="607" t="str">
        <f>IFERROR(VLOOKUP(C$12,選定!$C$3:$AG$100,23,FALSE),"")</f>
        <v/>
      </c>
      <c r="D36" s="607" t="str">
        <f>IFERROR(VLOOKUP(D$12,選定!$C$3:$AG$100,23,FALSE),"")</f>
        <v/>
      </c>
      <c r="E36" s="607" t="str">
        <f>IFERROR(VLOOKUP(E$12,選定!$C$3:$AG$100,23,FALSE),"")</f>
        <v/>
      </c>
      <c r="F36" s="607" t="str">
        <f>IFERROR(VLOOKUP(F$12,選定!$C$3:$AG$100,23,FALSE),"")</f>
        <v/>
      </c>
      <c r="G36" s="607" t="str">
        <f>IFERROR(VLOOKUP(G$12,選定!$C$3:$AG$100,23,FALSE),"")</f>
        <v/>
      </c>
      <c r="H36" s="607" t="str">
        <f>IFERROR(VLOOKUP(H$12,選定!$C$3:$AG$100,23,FALSE),"")</f>
        <v/>
      </c>
      <c r="I36" s="607" t="str">
        <f>IFERROR(VLOOKUP(I$12,選定!$C$3:$AG$100,23,FALSE),"")</f>
        <v/>
      </c>
      <c r="J36" s="607" t="str">
        <f>IFERROR(VLOOKUP(J$12,選定!$C$3:$AG$100,23,FALSE),"")</f>
        <v/>
      </c>
      <c r="K36" s="607" t="str">
        <f>IFERROR(VLOOKUP(K$12,選定!$C$3:$AG$100,23,FALSE),"")</f>
        <v/>
      </c>
      <c r="L36" s="607" t="str">
        <f>IFERROR(VLOOKUP(L$12,選定!$C$3:$AG$100,23,FALSE),"")</f>
        <v/>
      </c>
      <c r="M36" s="607" t="str">
        <f>IFERROR(VLOOKUP(M$12,選定!$C$3:$AG$100,23,FALSE),"")</f>
        <v/>
      </c>
      <c r="N36" s="607" t="str">
        <f>IFERROR(VLOOKUP(N$12,選定!$C$3:$AG$100,23,FALSE),"")</f>
        <v/>
      </c>
      <c r="O36" s="607" t="str">
        <f>IFERROR(VLOOKUP(O$12,選定!$C$3:$AG$100,23,FALSE),"")</f>
        <v/>
      </c>
      <c r="P36" s="607" t="str">
        <f>IFERROR(VLOOKUP(P$12,選定!$C$3:$AG$100,23,FALSE),"")</f>
        <v/>
      </c>
      <c r="Q36" s="607" t="str">
        <f>IFERROR(VLOOKUP(Q$12,選定!$C$3:$AG$100,23,FALSE),"")</f>
        <v/>
      </c>
      <c r="R36" s="607" t="str">
        <f>IFERROR(VLOOKUP(R$12,選定!$C$3:$AG$100,23,FALSE),"")</f>
        <v/>
      </c>
      <c r="S36" s="607" t="str">
        <f>IFERROR(VLOOKUP(S$12,選定!$C$3:$AG$100,23,FALSE),"")</f>
        <v/>
      </c>
      <c r="T36" s="607" t="str">
        <f>IFERROR(VLOOKUP(T$12,選定!$C$3:$AG$100,23,FALSE),"")</f>
        <v/>
      </c>
      <c r="U36" s="607" t="str">
        <f>IFERROR(VLOOKUP(U$12,選定!$C$3:$AG$100,23,FALSE),"")</f>
        <v/>
      </c>
      <c r="V36" s="607" t="str">
        <f>IFERROR(VLOOKUP(V$12,選定!$C$3:$AG$100,23,FALSE),"")</f>
        <v/>
      </c>
      <c r="W36" s="607" t="str">
        <f>IFERROR(VLOOKUP(W$12,選定!$C$3:$AG$100,23,FALSE),"")</f>
        <v/>
      </c>
      <c r="X36" s="607" t="str">
        <f>IFERROR(VLOOKUP(X$12,選定!$C$3:$AG$100,23,FALSE),"")</f>
        <v/>
      </c>
      <c r="Y36" s="607" t="str">
        <f>IFERROR(VLOOKUP(Y$12,選定!$C$3:$AG$100,23,FALSE),"")</f>
        <v/>
      </c>
      <c r="Z36" s="607" t="str">
        <f>IFERROR(VLOOKUP(Z$12,選定!$C$3:$AG$100,23,FALSE),"")</f>
        <v/>
      </c>
      <c r="AA36" s="607" t="str">
        <f>IFERROR(VLOOKUP(AA$12,選定!$C$3:$AG$100,23,FALSE),"")</f>
        <v/>
      </c>
      <c r="AB36" s="607" t="str">
        <f>IFERROR(VLOOKUP(AB$12,選定!$C$3:$AG$100,23,FALSE),"")</f>
        <v/>
      </c>
      <c r="AC36" s="607" t="str">
        <f>IFERROR(VLOOKUP(AC$12,選定!$C$3:$AG$100,23,FALSE),"")</f>
        <v/>
      </c>
      <c r="AD36" s="607" t="str">
        <f>IFERROR(VLOOKUP(AD$12,選定!$C$3:$AG$100,23,FALSE),"")</f>
        <v/>
      </c>
      <c r="AE36" s="607" t="str">
        <f>IFERROR(VLOOKUP(AE$12,選定!$C$3:$AG$100,23,FALSE),"")</f>
        <v/>
      </c>
    </row>
    <row r="37" spans="1:31" s="20" customFormat="1" ht="15.75" hidden="1" thickBot="1">
      <c r="A37" s="615" t="s">
        <v>84</v>
      </c>
      <c r="B37" s="601" t="str">
        <f>IFERROR(VLOOKUP(B$12,選定!$C$3:$AG$100,24,FALSE),"")</f>
        <v/>
      </c>
      <c r="C37" s="601" t="str">
        <f>IFERROR(VLOOKUP(C$12,選定!$C$3:$AG$100,24,FALSE),"")</f>
        <v/>
      </c>
      <c r="D37" s="601" t="str">
        <f>IFERROR(VLOOKUP(D$12,選定!$C$3:$AG$100,24,FALSE),"")</f>
        <v/>
      </c>
      <c r="E37" s="601" t="str">
        <f>IFERROR(VLOOKUP(E$12,選定!$C$3:$AG$100,24,FALSE),"")</f>
        <v/>
      </c>
      <c r="F37" s="601" t="str">
        <f>IFERROR(VLOOKUP(F$12,選定!$C$3:$AG$100,24,FALSE),"")</f>
        <v/>
      </c>
      <c r="G37" s="601" t="str">
        <f>IFERROR(VLOOKUP(G$12,選定!$C$3:$AG$100,24,FALSE),"")</f>
        <v/>
      </c>
      <c r="H37" s="601" t="str">
        <f>IFERROR(VLOOKUP(H$12,選定!$C$3:$AG$100,24,FALSE),"")</f>
        <v/>
      </c>
      <c r="I37" s="601" t="str">
        <f>IFERROR(VLOOKUP(I$12,選定!$C$3:$AG$100,24,FALSE),"")</f>
        <v/>
      </c>
      <c r="J37" s="601" t="str">
        <f>IFERROR(VLOOKUP(J$12,選定!$C$3:$AG$100,24,FALSE),"")</f>
        <v/>
      </c>
      <c r="K37" s="601" t="str">
        <f>IFERROR(VLOOKUP(K$12,選定!$C$3:$AG$100,24,FALSE),"")</f>
        <v/>
      </c>
      <c r="L37" s="601" t="str">
        <f>IFERROR(VLOOKUP(L$12,選定!$C$3:$AG$100,24,FALSE),"")</f>
        <v/>
      </c>
      <c r="M37" s="601" t="str">
        <f>IFERROR(VLOOKUP(M$12,選定!$C$3:$AG$100,24,FALSE),"")</f>
        <v/>
      </c>
      <c r="N37" s="601" t="str">
        <f>IFERROR(VLOOKUP(N$12,選定!$C$3:$AG$100,24,FALSE),"")</f>
        <v/>
      </c>
      <c r="O37" s="601" t="str">
        <f>IFERROR(VLOOKUP(O$12,選定!$C$3:$AG$100,24,FALSE),"")</f>
        <v/>
      </c>
      <c r="P37" s="601" t="str">
        <f>IFERROR(VLOOKUP(P$12,選定!$C$3:$AG$100,24,FALSE),"")</f>
        <v/>
      </c>
      <c r="Q37" s="601" t="str">
        <f>IFERROR(VLOOKUP(Q$12,選定!$C$3:$AG$100,24,FALSE),"")</f>
        <v/>
      </c>
      <c r="R37" s="601" t="str">
        <f>IFERROR(VLOOKUP(R$12,選定!$C$3:$AG$100,24,FALSE),"")</f>
        <v/>
      </c>
      <c r="S37" s="601" t="str">
        <f>IFERROR(VLOOKUP(S$12,選定!$C$3:$AG$100,24,FALSE),"")</f>
        <v/>
      </c>
      <c r="T37" s="601" t="str">
        <f>IFERROR(VLOOKUP(T$12,選定!$C$3:$AG$100,24,FALSE),"")</f>
        <v/>
      </c>
      <c r="U37" s="601" t="str">
        <f>IFERROR(VLOOKUP(U$12,選定!$C$3:$AG$100,24,FALSE),"")</f>
        <v/>
      </c>
      <c r="V37" s="601" t="str">
        <f>IFERROR(VLOOKUP(V$12,選定!$C$3:$AG$100,24,FALSE),"")</f>
        <v/>
      </c>
      <c r="W37" s="601" t="str">
        <f>IFERROR(VLOOKUP(W$12,選定!$C$3:$AG$100,24,FALSE),"")</f>
        <v/>
      </c>
      <c r="X37" s="601" t="str">
        <f>IFERROR(VLOOKUP(X$12,選定!$C$3:$AG$100,24,FALSE),"")</f>
        <v/>
      </c>
      <c r="Y37" s="601" t="str">
        <f>IFERROR(VLOOKUP(Y$12,選定!$C$3:$AG$100,24,FALSE),"")</f>
        <v/>
      </c>
      <c r="Z37" s="601" t="str">
        <f>IFERROR(VLOOKUP(Z$12,選定!$C$3:$AG$100,24,FALSE),"")</f>
        <v/>
      </c>
      <c r="AA37" s="601" t="str">
        <f>IFERROR(VLOOKUP(AA$12,選定!$C$3:$AG$100,24,FALSE),"")</f>
        <v/>
      </c>
      <c r="AB37" s="601" t="str">
        <f>IFERROR(VLOOKUP(AB$12,選定!$C$3:$AG$100,24,FALSE),"")</f>
        <v/>
      </c>
      <c r="AC37" s="601" t="str">
        <f>IFERROR(VLOOKUP(AC$12,選定!$C$3:$AG$100,24,FALSE),"")</f>
        <v/>
      </c>
      <c r="AD37" s="601" t="str">
        <f>IFERROR(VLOOKUP(AD$12,選定!$C$3:$AG$100,24,FALSE),"")</f>
        <v/>
      </c>
      <c r="AE37" s="601" t="str">
        <f>IFERROR(VLOOKUP(AE$12,選定!$C$3:$AG$100,24,FALSE),"")</f>
        <v/>
      </c>
    </row>
    <row r="38" spans="1:31" s="20" customFormat="1" ht="15.75" thickTop="1">
      <c r="A38" s="687" t="s">
        <v>85</v>
      </c>
      <c r="B38" s="621" t="str">
        <f>IFERROR(VLOOKUP(B$12,選定!$C$3:$AG$100,27,FALSE),"")</f>
        <v/>
      </c>
      <c r="C38" s="621" t="str">
        <f>IFERROR(VLOOKUP(C$12,選定!$C$3:$AG$100,27,FALSE),"")</f>
        <v/>
      </c>
      <c r="D38" s="621" t="str">
        <f>IFERROR(VLOOKUP(D$12,選定!$C$3:$AG$100,27,FALSE),"")</f>
        <v/>
      </c>
      <c r="E38" s="621" t="str">
        <f>IFERROR(VLOOKUP(E$12,選定!$C$3:$AG$100,27,FALSE),"")</f>
        <v/>
      </c>
      <c r="F38" s="621" t="str">
        <f>IFERROR(VLOOKUP(F$12,選定!$C$3:$AG$100,27,FALSE),"")</f>
        <v/>
      </c>
      <c r="G38" s="621" t="str">
        <f>IFERROR(VLOOKUP(G$12,選定!$C$3:$AG$100,27,FALSE),"")</f>
        <v/>
      </c>
      <c r="H38" s="621" t="str">
        <f>IFERROR(VLOOKUP(H$12,選定!$C$3:$AG$100,27,FALSE),"")</f>
        <v/>
      </c>
      <c r="I38" s="621" t="str">
        <f>IFERROR(VLOOKUP(I$12,選定!$C$3:$AG$100,27,FALSE),"")</f>
        <v/>
      </c>
      <c r="J38" s="621" t="str">
        <f>IFERROR(VLOOKUP(J$12,選定!$C$3:$AG$100,27,FALSE),"")</f>
        <v/>
      </c>
      <c r="K38" s="621" t="str">
        <f>IFERROR(VLOOKUP(K$12,選定!$C$3:$AG$100,27,FALSE),"")</f>
        <v/>
      </c>
      <c r="L38" s="621" t="str">
        <f>IFERROR(VLOOKUP(L$12,選定!$C$3:$AG$100,27,FALSE),"")</f>
        <v/>
      </c>
      <c r="M38" s="621" t="str">
        <f>IFERROR(VLOOKUP(M$12,選定!$C$3:$AG$100,27,FALSE),"")</f>
        <v/>
      </c>
      <c r="N38" s="621" t="str">
        <f>IFERROR(VLOOKUP(N$12,選定!$C$3:$AG$100,27,FALSE),"")</f>
        <v/>
      </c>
      <c r="O38" s="621" t="str">
        <f>IFERROR(VLOOKUP(O$12,選定!$C$3:$AG$100,27,FALSE),"")</f>
        <v/>
      </c>
      <c r="P38" s="621" t="str">
        <f>IFERROR(VLOOKUP(P$12,選定!$C$3:$AG$100,27,FALSE),"")</f>
        <v/>
      </c>
      <c r="Q38" s="621" t="str">
        <f>IFERROR(VLOOKUP(Q$12,選定!$C$3:$AG$100,27,FALSE),"")</f>
        <v/>
      </c>
      <c r="R38" s="621" t="str">
        <f>IFERROR(VLOOKUP(R$12,選定!$C$3:$AG$100,27,FALSE),"")</f>
        <v/>
      </c>
      <c r="S38" s="621" t="str">
        <f>IFERROR(VLOOKUP(S$12,選定!$C$3:$AG$100,27,FALSE),"")</f>
        <v/>
      </c>
      <c r="T38" s="621" t="str">
        <f>IFERROR(VLOOKUP(T$12,選定!$C$3:$AG$100,27,FALSE),"")</f>
        <v/>
      </c>
      <c r="U38" s="621" t="str">
        <f>IFERROR(VLOOKUP(U$12,選定!$C$3:$AG$100,27,FALSE),"")</f>
        <v/>
      </c>
      <c r="V38" s="621" t="str">
        <f>IFERROR(VLOOKUP(V$12,選定!$C$3:$AG$100,27,FALSE),"")</f>
        <v/>
      </c>
      <c r="W38" s="621" t="str">
        <f>IFERROR(VLOOKUP(W$12,選定!$C$3:$AG$100,27,FALSE),"")</f>
        <v/>
      </c>
      <c r="X38" s="621" t="str">
        <f>IFERROR(VLOOKUP(X$12,選定!$C$3:$AG$100,27,FALSE),"")</f>
        <v/>
      </c>
      <c r="Y38" s="621" t="str">
        <f>IFERROR(VLOOKUP(Y$12,選定!$C$3:$AG$100,27,FALSE),"")</f>
        <v/>
      </c>
      <c r="Z38" s="621" t="str">
        <f>IFERROR(VLOOKUP(Z$12,選定!$C$3:$AG$100,27,FALSE),"")</f>
        <v/>
      </c>
      <c r="AA38" s="621" t="str">
        <f>IFERROR(VLOOKUP(AA$12,選定!$C$3:$AG$100,27,FALSE),"")</f>
        <v/>
      </c>
      <c r="AB38" s="621" t="str">
        <f>IFERROR(VLOOKUP(AB$12,選定!$C$3:$AG$100,27,FALSE),"")</f>
        <v/>
      </c>
      <c r="AC38" s="621" t="str">
        <f>IFERROR(VLOOKUP(AC$12,選定!$C$3:$AG$100,27,FALSE),"")</f>
        <v/>
      </c>
      <c r="AD38" s="621" t="str">
        <f>IFERROR(VLOOKUP(AD$12,選定!$C$3:$AG$100,27,FALSE),"")</f>
        <v/>
      </c>
      <c r="AE38" s="621" t="str">
        <f>IFERROR(VLOOKUP(AE$12,選定!$C$3:$AG$100,27,FALSE),"")</f>
        <v/>
      </c>
    </row>
    <row r="39" spans="1:31" s="20" customFormat="1" ht="15">
      <c r="A39" s="601" t="s">
        <v>86</v>
      </c>
      <c r="B39" s="601" t="str">
        <f>IFERROR(VLOOKUP(B$12,選定!$C$3:$AG$100,28,FALSE),"")</f>
        <v/>
      </c>
      <c r="C39" s="601" t="str">
        <f>IFERROR(VLOOKUP(C$12,選定!$C$3:$AG$100,28,FALSE),"")</f>
        <v/>
      </c>
      <c r="D39" s="601" t="str">
        <f>IFERROR(VLOOKUP(D$12,選定!$C$3:$AG$100,28,FALSE),"")</f>
        <v/>
      </c>
      <c r="E39" s="601" t="str">
        <f>IFERROR(VLOOKUP(E$12,選定!$C$3:$AG$100,28,FALSE),"")</f>
        <v/>
      </c>
      <c r="F39" s="601" t="str">
        <f>IFERROR(VLOOKUP(F$12,選定!$C$3:$AG$100,28,FALSE),"")</f>
        <v/>
      </c>
      <c r="G39" s="601" t="str">
        <f>IFERROR(VLOOKUP(G$12,選定!$C$3:$AG$100,28,FALSE),"")</f>
        <v/>
      </c>
      <c r="H39" s="601" t="str">
        <f>IFERROR(VLOOKUP(H$12,選定!$C$3:$AG$100,28,FALSE),"")</f>
        <v/>
      </c>
      <c r="I39" s="601" t="str">
        <f>IFERROR(VLOOKUP(I$12,選定!$C$3:$AG$100,28,FALSE),"")</f>
        <v/>
      </c>
      <c r="J39" s="601" t="str">
        <f>IFERROR(VLOOKUP(J$12,選定!$C$3:$AG$100,28,FALSE),"")</f>
        <v/>
      </c>
      <c r="K39" s="601" t="str">
        <f>IFERROR(VLOOKUP(K$12,選定!$C$3:$AG$100,28,FALSE),"")</f>
        <v/>
      </c>
      <c r="L39" s="601" t="str">
        <f>IFERROR(VLOOKUP(L$12,選定!$C$3:$AG$100,28,FALSE),"")</f>
        <v/>
      </c>
      <c r="M39" s="601" t="str">
        <f>IFERROR(VLOOKUP(M$12,選定!$C$3:$AG$100,28,FALSE),"")</f>
        <v/>
      </c>
      <c r="N39" s="601" t="str">
        <f>IFERROR(VLOOKUP(N$12,選定!$C$3:$AG$100,28,FALSE),"")</f>
        <v/>
      </c>
      <c r="O39" s="601" t="str">
        <f>IFERROR(VLOOKUP(O$12,選定!$C$3:$AG$100,28,FALSE),"")</f>
        <v/>
      </c>
      <c r="P39" s="601" t="str">
        <f>IFERROR(VLOOKUP(P$12,選定!$C$3:$AG$100,28,FALSE),"")</f>
        <v/>
      </c>
      <c r="Q39" s="601" t="str">
        <f>IFERROR(VLOOKUP(Q$12,選定!$C$3:$AG$100,28,FALSE),"")</f>
        <v/>
      </c>
      <c r="R39" s="601" t="str">
        <f>IFERROR(VLOOKUP(R$12,選定!$C$3:$AG$100,28,FALSE),"")</f>
        <v/>
      </c>
      <c r="S39" s="601" t="str">
        <f>IFERROR(VLOOKUP(S$12,選定!$C$3:$AG$100,28,FALSE),"")</f>
        <v/>
      </c>
      <c r="T39" s="601" t="str">
        <f>IFERROR(VLOOKUP(T$12,選定!$C$3:$AG$100,28,FALSE),"")</f>
        <v/>
      </c>
      <c r="U39" s="601" t="str">
        <f>IFERROR(VLOOKUP(U$12,選定!$C$3:$AG$100,28,FALSE),"")</f>
        <v/>
      </c>
      <c r="V39" s="601" t="str">
        <f>IFERROR(VLOOKUP(V$12,選定!$C$3:$AG$100,28,FALSE),"")</f>
        <v/>
      </c>
      <c r="W39" s="601" t="str">
        <f>IFERROR(VLOOKUP(W$12,選定!$C$3:$AG$100,28,FALSE),"")</f>
        <v/>
      </c>
      <c r="X39" s="601" t="str">
        <f>IFERROR(VLOOKUP(X$12,選定!$C$3:$AG$100,28,FALSE),"")</f>
        <v/>
      </c>
      <c r="Y39" s="601" t="str">
        <f>IFERROR(VLOOKUP(Y$12,選定!$C$3:$AG$100,28,FALSE),"")</f>
        <v/>
      </c>
      <c r="Z39" s="601" t="str">
        <f>IFERROR(VLOOKUP(Z$12,選定!$C$3:$AG$100,28,FALSE),"")</f>
        <v/>
      </c>
      <c r="AA39" s="601" t="str">
        <f>IFERROR(VLOOKUP(AA$12,選定!$C$3:$AG$100,28,FALSE),"")</f>
        <v/>
      </c>
      <c r="AB39" s="601" t="str">
        <f>IFERROR(VLOOKUP(AB$12,選定!$C$3:$AG$100,28,FALSE),"")</f>
        <v/>
      </c>
      <c r="AC39" s="601" t="str">
        <f>IFERROR(VLOOKUP(AC$12,選定!$C$3:$AG$100,28,FALSE),"")</f>
        <v/>
      </c>
      <c r="AD39" s="601" t="str">
        <f>IFERROR(VLOOKUP(AD$12,選定!$C$3:$AG$100,28,FALSE),"")</f>
        <v/>
      </c>
      <c r="AE39" s="601" t="str">
        <f>IFERROR(VLOOKUP(AE$12,選定!$C$3:$AG$100,28,FALSE),"")</f>
        <v/>
      </c>
    </row>
    <row r="40" spans="1:31" s="597" customFormat="1" ht="15" hidden="1">
      <c r="A40" s="619" t="s">
        <v>87</v>
      </c>
      <c r="B40" s="609" t="str">
        <f>IFERROR(VLOOKUP(B$12,選定!$C$3:$AG$100,27,FALSE),"")</f>
        <v/>
      </c>
      <c r="C40" s="609" t="str">
        <f>IFERROR(VLOOKUP(C$12,選定!$C$3:$AG$100,27,FALSE),"")</f>
        <v/>
      </c>
      <c r="D40" s="609" t="str">
        <f>IFERROR(VLOOKUP(D$12,選定!$C$3:$AG$100,27,FALSE),"")</f>
        <v/>
      </c>
      <c r="E40" s="609" t="str">
        <f>IFERROR(VLOOKUP(E$12,選定!$C$3:$AG$100,27,FALSE),"")</f>
        <v/>
      </c>
      <c r="F40" s="609" t="str">
        <f>IFERROR(VLOOKUP(F$12,選定!$C$3:$AG$100,27,FALSE),"")</f>
        <v/>
      </c>
      <c r="G40" s="609" t="str">
        <f>IFERROR(VLOOKUP(G$12,選定!$C$3:$AG$100,27,FALSE),"")</f>
        <v/>
      </c>
      <c r="H40" s="609" t="str">
        <f>IFERROR(VLOOKUP(H$12,選定!$C$3:$AG$100,27,FALSE),"")</f>
        <v/>
      </c>
      <c r="I40" s="609" t="str">
        <f>IFERROR(VLOOKUP(I$12,選定!$C$3:$AG$100,27,FALSE),"")</f>
        <v/>
      </c>
      <c r="J40" s="609" t="str">
        <f>IFERROR(VLOOKUP(J$12,選定!$C$3:$AG$100,27,FALSE),"")</f>
        <v/>
      </c>
      <c r="K40" s="609" t="str">
        <f>IFERROR(VLOOKUP(K$12,選定!$C$3:$AG$100,27,FALSE),"")</f>
        <v/>
      </c>
      <c r="L40" s="609" t="str">
        <f>IFERROR(VLOOKUP(L$12,選定!$C$3:$AG$100,27,FALSE),"")</f>
        <v/>
      </c>
      <c r="M40" s="609" t="str">
        <f>IFERROR(VLOOKUP(M$12,選定!$C$3:$AG$100,27,FALSE),"")</f>
        <v/>
      </c>
      <c r="N40" s="609" t="str">
        <f>IFERROR(VLOOKUP(N$12,選定!$C$3:$AG$100,27,FALSE),"")</f>
        <v/>
      </c>
      <c r="O40" s="609" t="str">
        <f>IFERROR(VLOOKUP(O$12,選定!$C$3:$AG$100,27,FALSE),"")</f>
        <v/>
      </c>
      <c r="P40" s="609" t="str">
        <f>IFERROR(VLOOKUP(P$12,選定!$C$3:$AG$100,27,FALSE),"")</f>
        <v/>
      </c>
      <c r="Q40" s="609" t="str">
        <f>IFERROR(VLOOKUP(Q$12,選定!$C$3:$AG$100,27,FALSE),"")</f>
        <v/>
      </c>
      <c r="R40" s="609" t="str">
        <f>IFERROR(VLOOKUP(R$12,選定!$C$3:$AG$100,27,FALSE),"")</f>
        <v/>
      </c>
      <c r="S40" s="609" t="str">
        <f>IFERROR(VLOOKUP(S$12,選定!$C$3:$AG$100,27,FALSE),"")</f>
        <v/>
      </c>
      <c r="T40" s="609" t="str">
        <f>IFERROR(VLOOKUP(T$12,選定!$C$3:$AG$100,27,FALSE),"")</f>
        <v/>
      </c>
      <c r="U40" s="609" t="str">
        <f>IFERROR(VLOOKUP(U$12,選定!$C$3:$AG$100,27,FALSE),"")</f>
        <v/>
      </c>
      <c r="V40" s="609" t="str">
        <f>IFERROR(VLOOKUP(V$12,選定!$C$3:$AG$100,27,FALSE),"")</f>
        <v/>
      </c>
      <c r="W40" s="609" t="str">
        <f>IFERROR(VLOOKUP(W$12,選定!$C$3:$AG$100,27,FALSE),"")</f>
        <v/>
      </c>
      <c r="X40" s="609" t="str">
        <f>IFERROR(VLOOKUP(X$12,選定!$C$3:$AG$100,27,FALSE),"")</f>
        <v/>
      </c>
      <c r="Y40" s="609" t="str">
        <f>IFERROR(VLOOKUP(Y$12,選定!$C$3:$AG$100,27,FALSE),"")</f>
        <v/>
      </c>
      <c r="Z40" s="609" t="str">
        <f>IFERROR(VLOOKUP(Z$12,選定!$C$3:$AG$100,27,FALSE),"")</f>
        <v/>
      </c>
      <c r="AA40" s="609" t="str">
        <f>IFERROR(VLOOKUP(AA$12,選定!$C$3:$AG$100,27,FALSE),"")</f>
        <v/>
      </c>
      <c r="AB40" s="609" t="str">
        <f>IFERROR(VLOOKUP(AB$12,選定!$C$3:$AG$100,27,FALSE),"")</f>
        <v/>
      </c>
      <c r="AC40" s="609" t="str">
        <f>IFERROR(VLOOKUP(AC$12,選定!$C$3:$AG$100,27,FALSE),"")</f>
        <v/>
      </c>
      <c r="AD40" s="609" t="str">
        <f>IFERROR(VLOOKUP(AD$12,選定!$C$3:$AG$100,27,FALSE),"")</f>
        <v/>
      </c>
      <c r="AE40" s="609" t="str">
        <f>IFERROR(VLOOKUP(AE$12,選定!$C$3:$AG$100,27,FALSE),"")</f>
        <v/>
      </c>
    </row>
    <row r="41" spans="1:31" s="20" customFormat="1" ht="15" hidden="1">
      <c r="A41" s="615" t="s">
        <v>88</v>
      </c>
      <c r="B41" s="601" t="str">
        <f>IFERROR(VLOOKUP(B$12,選定!$C$3:$AG$100,28,FALSE),"")</f>
        <v/>
      </c>
      <c r="C41" s="601" t="str">
        <f>IFERROR(VLOOKUP(C$12,選定!$C$3:$AG$100,28,FALSE),"")</f>
        <v/>
      </c>
      <c r="D41" s="601" t="str">
        <f>IFERROR(VLOOKUP(D$12,選定!$C$3:$AG$100,28,FALSE),"")</f>
        <v/>
      </c>
      <c r="E41" s="601" t="str">
        <f>IFERROR(VLOOKUP(E$12,選定!$C$3:$AG$100,28,FALSE),"")</f>
        <v/>
      </c>
      <c r="F41" s="601" t="str">
        <f>IFERROR(VLOOKUP(F$12,選定!$C$3:$AG$100,28,FALSE),"")</f>
        <v/>
      </c>
      <c r="G41" s="601" t="str">
        <f>IFERROR(VLOOKUP(G$12,選定!$C$3:$AG$100,28,FALSE),"")</f>
        <v/>
      </c>
      <c r="H41" s="601" t="str">
        <f>IFERROR(VLOOKUP(H$12,選定!$C$3:$AG$100,28,FALSE),"")</f>
        <v/>
      </c>
      <c r="I41" s="601" t="str">
        <f>IFERROR(VLOOKUP(I$12,選定!$C$3:$AG$100,28,FALSE),"")</f>
        <v/>
      </c>
      <c r="J41" s="601" t="str">
        <f>IFERROR(VLOOKUP(J$12,選定!$C$3:$AG$100,28,FALSE),"")</f>
        <v/>
      </c>
      <c r="K41" s="601" t="str">
        <f>IFERROR(VLOOKUP(K$12,選定!$C$3:$AG$100,28,FALSE),"")</f>
        <v/>
      </c>
      <c r="L41" s="601" t="str">
        <f>IFERROR(VLOOKUP(L$12,選定!$C$3:$AG$100,28,FALSE),"")</f>
        <v/>
      </c>
      <c r="M41" s="601" t="str">
        <f>IFERROR(VLOOKUP(M$12,選定!$C$3:$AG$100,28,FALSE),"")</f>
        <v/>
      </c>
      <c r="N41" s="601" t="str">
        <f>IFERROR(VLOOKUP(N$12,選定!$C$3:$AG$100,28,FALSE),"")</f>
        <v/>
      </c>
      <c r="O41" s="601" t="str">
        <f>IFERROR(VLOOKUP(O$12,選定!$C$3:$AG$100,28,FALSE),"")</f>
        <v/>
      </c>
      <c r="P41" s="601" t="str">
        <f>IFERROR(VLOOKUP(P$12,選定!$C$3:$AG$100,28,FALSE),"")</f>
        <v/>
      </c>
      <c r="Q41" s="601" t="str">
        <f>IFERROR(VLOOKUP(Q$12,選定!$C$3:$AG$100,28,FALSE),"")</f>
        <v/>
      </c>
      <c r="R41" s="601" t="str">
        <f>IFERROR(VLOOKUP(R$12,選定!$C$3:$AG$100,28,FALSE),"")</f>
        <v/>
      </c>
      <c r="S41" s="601" t="str">
        <f>IFERROR(VLOOKUP(S$12,選定!$C$3:$AG$100,28,FALSE),"")</f>
        <v/>
      </c>
      <c r="T41" s="601" t="str">
        <f>IFERROR(VLOOKUP(T$12,選定!$C$3:$AG$100,28,FALSE),"")</f>
        <v/>
      </c>
      <c r="U41" s="601" t="str">
        <f>IFERROR(VLOOKUP(U$12,選定!$C$3:$AG$100,28,FALSE),"")</f>
        <v/>
      </c>
      <c r="V41" s="601" t="str">
        <f>IFERROR(VLOOKUP(V$12,選定!$C$3:$AG$100,28,FALSE),"")</f>
        <v/>
      </c>
      <c r="W41" s="601" t="str">
        <f>IFERROR(VLOOKUP(W$12,選定!$C$3:$AG$100,28,FALSE),"")</f>
        <v/>
      </c>
      <c r="X41" s="601" t="str">
        <f>IFERROR(VLOOKUP(X$12,選定!$C$3:$AG$100,28,FALSE),"")</f>
        <v/>
      </c>
      <c r="Y41" s="601" t="str">
        <f>IFERROR(VLOOKUP(Y$12,選定!$C$3:$AG$100,28,FALSE),"")</f>
        <v/>
      </c>
      <c r="Z41" s="601" t="str">
        <f>IFERROR(VLOOKUP(Z$12,選定!$C$3:$AG$100,28,FALSE),"")</f>
        <v/>
      </c>
      <c r="AA41" s="601" t="str">
        <f>IFERROR(VLOOKUP(AA$12,選定!$C$3:$AG$100,28,FALSE),"")</f>
        <v/>
      </c>
      <c r="AB41" s="601" t="str">
        <f>IFERROR(VLOOKUP(AB$12,選定!$C$3:$AG$100,28,FALSE),"")</f>
        <v/>
      </c>
      <c r="AC41" s="601" t="str">
        <f>IFERROR(VLOOKUP(AC$12,選定!$C$3:$AG$100,28,FALSE),"")</f>
        <v/>
      </c>
      <c r="AD41" s="601" t="str">
        <f>IFERROR(VLOOKUP(AD$12,選定!$C$3:$AG$100,28,FALSE),"")</f>
        <v/>
      </c>
      <c r="AE41" s="601" t="str">
        <f>IFERROR(VLOOKUP(AE$12,選定!$C$3:$AG$100,28,FALSE),"")</f>
        <v/>
      </c>
    </row>
    <row r="42" spans="1:31" s="20" customFormat="1" ht="15">
      <c r="A42" s="1369" t="s">
        <v>442</v>
      </c>
      <c r="B42" s="592"/>
      <c r="C42" s="592"/>
      <c r="D42" s="592"/>
      <c r="E42" s="592"/>
      <c r="F42" s="592"/>
      <c r="G42" s="592"/>
      <c r="H42" s="592"/>
      <c r="I42" s="592"/>
      <c r="J42" s="592"/>
      <c r="K42" s="592"/>
      <c r="L42" s="592"/>
      <c r="M42" s="592"/>
      <c r="N42" s="592"/>
      <c r="O42" s="592"/>
      <c r="P42" s="592"/>
      <c r="Q42" s="592"/>
      <c r="R42" s="592"/>
      <c r="S42" s="592"/>
      <c r="T42" s="592"/>
      <c r="U42" s="592"/>
      <c r="V42" s="592"/>
      <c r="W42" s="592"/>
      <c r="X42" s="592"/>
      <c r="Y42" s="592"/>
      <c r="Z42" s="592"/>
      <c r="AA42" s="592"/>
      <c r="AB42" s="592"/>
      <c r="AC42" s="592"/>
      <c r="AD42" s="592"/>
      <c r="AE42" s="592"/>
    </row>
    <row r="43" spans="1:31" s="20" customFormat="1" ht="15">
      <c r="A43" s="1370"/>
      <c r="B43" s="593"/>
      <c r="C43" s="593"/>
      <c r="D43" s="593"/>
      <c r="E43" s="593"/>
      <c r="F43" s="593"/>
      <c r="G43" s="593"/>
      <c r="H43" s="593"/>
      <c r="I43" s="593"/>
      <c r="J43" s="593"/>
      <c r="K43" s="593"/>
      <c r="L43" s="593"/>
      <c r="M43" s="593"/>
      <c r="N43" s="593"/>
      <c r="O43" s="593"/>
      <c r="P43" s="593"/>
      <c r="Q43" s="593"/>
      <c r="R43" s="593"/>
      <c r="S43" s="593"/>
      <c r="T43" s="593"/>
      <c r="U43" s="593"/>
      <c r="V43" s="593"/>
      <c r="W43" s="593"/>
      <c r="X43" s="593"/>
      <c r="Y43" s="593"/>
      <c r="Z43" s="593"/>
      <c r="AA43" s="593"/>
      <c r="AB43" s="593"/>
      <c r="AC43" s="593"/>
      <c r="AD43" s="593"/>
      <c r="AE43" s="593"/>
    </row>
    <row r="44" spans="1:31" s="20" customFormat="1" ht="18" customHeight="1">
      <c r="A44" s="1371"/>
      <c r="B44" s="594"/>
      <c r="C44" s="594"/>
      <c r="D44" s="594"/>
      <c r="E44" s="594"/>
      <c r="F44" s="594"/>
      <c r="G44" s="594"/>
      <c r="H44" s="595"/>
      <c r="I44" s="594"/>
      <c r="J44" s="594"/>
      <c r="K44" s="594"/>
      <c r="L44" s="594"/>
      <c r="M44" s="594"/>
      <c r="N44" s="594"/>
      <c r="O44" s="595"/>
      <c r="P44" s="594"/>
      <c r="Q44" s="594"/>
      <c r="R44" s="594"/>
      <c r="S44" s="594"/>
      <c r="T44" s="594"/>
      <c r="U44" s="594"/>
      <c r="V44" s="595"/>
      <c r="W44" s="594"/>
      <c r="X44" s="594"/>
      <c r="Y44" s="594"/>
      <c r="Z44" s="594"/>
      <c r="AA44" s="594"/>
      <c r="AB44" s="594"/>
      <c r="AC44" s="595"/>
      <c r="AD44" s="594"/>
      <c r="AE44" s="594"/>
    </row>
    <row r="45" spans="1:31" ht="19.5" thickBot="1"/>
    <row r="46" spans="1:31">
      <c r="A46" s="1366" t="s">
        <v>443</v>
      </c>
      <c r="B46" s="368"/>
      <c r="C46" s="368"/>
      <c r="D46" s="368"/>
      <c r="E46" s="368"/>
      <c r="F46" s="368"/>
      <c r="G46" s="368"/>
      <c r="H46" s="368"/>
      <c r="I46" s="368"/>
      <c r="J46" s="368"/>
      <c r="K46" s="368"/>
      <c r="L46" s="368"/>
      <c r="M46" s="368"/>
      <c r="N46" s="368"/>
      <c r="O46" s="368"/>
      <c r="P46" s="368"/>
      <c r="Q46" s="368"/>
      <c r="R46" s="368"/>
      <c r="S46" s="368"/>
      <c r="T46" s="368"/>
      <c r="U46" s="368"/>
      <c r="V46" s="368"/>
      <c r="W46" s="368"/>
      <c r="X46" s="368"/>
      <c r="Y46" s="368"/>
      <c r="Z46" s="368"/>
      <c r="AA46" s="368"/>
      <c r="AB46" s="368"/>
      <c r="AC46" s="368"/>
      <c r="AD46" s="368"/>
      <c r="AE46" s="368"/>
    </row>
    <row r="47" spans="1:31">
      <c r="A47" s="1367"/>
      <c r="B47" s="369"/>
      <c r="C47" s="369"/>
      <c r="D47" s="369"/>
      <c r="E47" s="369"/>
      <c r="F47" s="369"/>
      <c r="G47" s="369"/>
      <c r="H47" s="369"/>
      <c r="I47" s="369"/>
      <c r="J47" s="369"/>
      <c r="K47" s="369"/>
      <c r="L47" s="369"/>
      <c r="M47" s="369"/>
      <c r="N47" s="369"/>
      <c r="O47" s="369"/>
      <c r="P47" s="369"/>
      <c r="Q47" s="369"/>
      <c r="R47" s="369"/>
      <c r="S47" s="369"/>
      <c r="T47" s="369"/>
      <c r="U47" s="369"/>
      <c r="V47" s="369"/>
      <c r="W47" s="369"/>
      <c r="X47" s="369"/>
      <c r="Y47" s="369"/>
      <c r="Z47" s="369"/>
      <c r="AA47" s="369"/>
      <c r="AB47" s="369"/>
      <c r="AC47" s="369"/>
      <c r="AD47" s="369"/>
      <c r="AE47" s="369"/>
    </row>
    <row r="48" spans="1:31">
      <c r="A48" s="1367"/>
      <c r="B48" s="369"/>
      <c r="C48" s="369"/>
      <c r="D48" s="369"/>
      <c r="E48" s="369"/>
      <c r="F48" s="369"/>
      <c r="G48" s="369"/>
      <c r="H48" s="369"/>
      <c r="I48" s="369"/>
      <c r="J48" s="369"/>
      <c r="K48" s="369"/>
      <c r="L48" s="369"/>
      <c r="M48" s="369"/>
      <c r="N48" s="369"/>
      <c r="O48" s="369"/>
      <c r="P48" s="369"/>
      <c r="Q48" s="369"/>
      <c r="R48" s="369"/>
      <c r="S48" s="369"/>
      <c r="T48" s="369"/>
      <c r="U48" s="369"/>
      <c r="V48" s="369"/>
      <c r="W48" s="369"/>
      <c r="X48" s="369"/>
      <c r="Y48" s="369"/>
      <c r="Z48" s="369"/>
      <c r="AA48" s="369"/>
      <c r="AB48" s="369"/>
      <c r="AC48" s="369"/>
      <c r="AD48" s="369"/>
      <c r="AE48" s="369"/>
    </row>
    <row r="49" spans="1:31">
      <c r="A49" s="1367"/>
      <c r="B49" s="369"/>
      <c r="C49" s="369"/>
      <c r="D49" s="369"/>
      <c r="E49" s="369"/>
      <c r="F49" s="369"/>
      <c r="G49" s="369"/>
      <c r="H49" s="369"/>
      <c r="I49" s="369"/>
      <c r="J49" s="369"/>
      <c r="K49" s="369"/>
      <c r="L49" s="369"/>
      <c r="M49" s="369"/>
      <c r="N49" s="369"/>
      <c r="O49" s="369"/>
      <c r="P49" s="369"/>
      <c r="Q49" s="369"/>
      <c r="R49" s="369"/>
      <c r="S49" s="369"/>
      <c r="T49" s="369"/>
      <c r="U49" s="369"/>
      <c r="V49" s="369"/>
      <c r="W49" s="369"/>
      <c r="X49" s="369"/>
      <c r="Y49" s="369"/>
      <c r="Z49" s="369"/>
      <c r="AA49" s="369"/>
      <c r="AB49" s="369"/>
      <c r="AC49" s="369"/>
      <c r="AD49" s="369"/>
      <c r="AE49" s="369"/>
    </row>
    <row r="50" spans="1:31" ht="19.5" thickBot="1">
      <c r="A50" s="1368"/>
      <c r="B50" s="370"/>
      <c r="C50" s="370"/>
      <c r="D50" s="370"/>
      <c r="E50" s="370"/>
      <c r="F50" s="370"/>
      <c r="G50" s="370"/>
      <c r="H50" s="370"/>
      <c r="I50" s="370"/>
      <c r="J50" s="370"/>
      <c r="K50" s="370"/>
      <c r="L50" s="370"/>
      <c r="M50" s="370"/>
      <c r="N50" s="370"/>
      <c r="O50" s="370"/>
      <c r="P50" s="370"/>
      <c r="Q50" s="370"/>
      <c r="R50" s="370"/>
      <c r="S50" s="370"/>
      <c r="T50" s="370"/>
      <c r="U50" s="370"/>
      <c r="V50" s="370"/>
      <c r="W50" s="370"/>
      <c r="X50" s="370"/>
      <c r="Y50" s="370"/>
      <c r="Z50" s="370"/>
      <c r="AA50" s="370"/>
      <c r="AB50" s="370"/>
      <c r="AC50" s="370"/>
      <c r="AD50" s="370"/>
      <c r="AE50" s="370"/>
    </row>
    <row r="51" spans="1:31" ht="19.5" thickBot="1"/>
    <row r="52" spans="1:31" s="255" customFormat="1" ht="18.600000000000001" customHeight="1" thickTop="1">
      <c r="B52" s="255" t="s">
        <v>444</v>
      </c>
      <c r="C52" s="255" t="s">
        <v>445</v>
      </c>
      <c r="E52" s="1362" t="s">
        <v>446</v>
      </c>
      <c r="F52" s="1363"/>
      <c r="G52" s="519"/>
      <c r="H52" s="519"/>
      <c r="I52" s="519"/>
      <c r="J52" s="519"/>
      <c r="K52" s="519"/>
      <c r="L52" s="519"/>
      <c r="M52" s="519"/>
      <c r="N52" s="519"/>
      <c r="O52" s="519"/>
      <c r="P52" s="520"/>
    </row>
    <row r="53" spans="1:31" s="255" customFormat="1">
      <c r="B53" s="255" t="s">
        <v>447</v>
      </c>
      <c r="C53" s="255" t="s">
        <v>448</v>
      </c>
      <c r="E53" s="1364"/>
      <c r="F53" s="1365"/>
      <c r="P53" s="522"/>
    </row>
    <row r="54" spans="1:31" s="255" customFormat="1">
      <c r="B54" s="255" t="s">
        <v>449</v>
      </c>
      <c r="C54" s="255" t="s">
        <v>450</v>
      </c>
      <c r="E54" s="521"/>
      <c r="P54" s="522"/>
    </row>
    <row r="55" spans="1:31">
      <c r="E55" s="523"/>
      <c r="P55" s="524"/>
    </row>
    <row r="56" spans="1:31">
      <c r="E56" s="523"/>
      <c r="P56" s="524"/>
    </row>
    <row r="57" spans="1:31">
      <c r="E57" s="523"/>
      <c r="P57" s="524"/>
    </row>
    <row r="58" spans="1:31">
      <c r="E58" s="523"/>
      <c r="P58" s="524"/>
    </row>
    <row r="59" spans="1:31">
      <c r="E59" s="523"/>
      <c r="P59" s="524"/>
    </row>
    <row r="60" spans="1:31">
      <c r="E60" s="523"/>
      <c r="P60" s="524"/>
    </row>
    <row r="61" spans="1:31">
      <c r="E61" s="523"/>
      <c r="P61" s="524"/>
    </row>
    <row r="62" spans="1:31">
      <c r="E62" s="523"/>
      <c r="P62" s="524"/>
    </row>
    <row r="63" spans="1:31">
      <c r="E63" s="523"/>
      <c r="P63" s="524"/>
    </row>
    <row r="64" spans="1:31">
      <c r="E64" s="523"/>
      <c r="P64" s="524"/>
    </row>
    <row r="65" spans="1:28">
      <c r="E65" s="523"/>
      <c r="P65" s="524"/>
    </row>
    <row r="66" spans="1:28">
      <c r="E66" s="523"/>
      <c r="P66" s="524"/>
    </row>
    <row r="67" spans="1:28">
      <c r="E67" s="523"/>
      <c r="P67" s="524"/>
    </row>
    <row r="68" spans="1:28">
      <c r="E68" s="523"/>
      <c r="P68" s="524"/>
    </row>
    <row r="69" spans="1:28">
      <c r="E69" s="523"/>
      <c r="P69" s="524"/>
    </row>
    <row r="70" spans="1:28">
      <c r="E70" s="523"/>
      <c r="P70" s="524"/>
    </row>
    <row r="71" spans="1:28">
      <c r="E71" s="523"/>
      <c r="P71" s="524"/>
    </row>
    <row r="72" spans="1:28">
      <c r="E72" s="523"/>
      <c r="P72" s="524"/>
    </row>
    <row r="73" spans="1:28">
      <c r="E73" s="523"/>
      <c r="P73" s="524"/>
    </row>
    <row r="74" spans="1:28" ht="19.5" thickBot="1">
      <c r="E74" s="525"/>
      <c r="F74" s="526"/>
      <c r="G74" s="526"/>
      <c r="H74" s="527"/>
      <c r="I74" s="526"/>
      <c r="J74" s="526"/>
      <c r="K74" s="526"/>
      <c r="L74" s="526"/>
      <c r="M74" s="526"/>
      <c r="N74" s="526"/>
      <c r="O74" s="527"/>
      <c r="P74" s="528"/>
    </row>
    <row r="75" spans="1:28" ht="19.5" thickTop="1"/>
    <row r="80" spans="1:28">
      <c r="A80" s="5" t="s">
        <v>62</v>
      </c>
      <c r="B80" s="4" t="s">
        <v>63</v>
      </c>
      <c r="C80" s="4" t="s">
        <v>64</v>
      </c>
      <c r="D80" s="4" t="s">
        <v>65</v>
      </c>
      <c r="E80" s="4" t="s">
        <v>66</v>
      </c>
      <c r="F80" s="4" t="s">
        <v>67</v>
      </c>
      <c r="G80" s="4" t="s">
        <v>68</v>
      </c>
      <c r="H80" s="5" t="s">
        <v>69</v>
      </c>
      <c r="I80" s="4" t="s">
        <v>61</v>
      </c>
      <c r="J80" s="4" t="s">
        <v>441</v>
      </c>
      <c r="K80" s="4" t="s">
        <v>71</v>
      </c>
      <c r="L80" s="4" t="s">
        <v>72</v>
      </c>
      <c r="M80" s="4" t="s">
        <v>73</v>
      </c>
      <c r="N80" s="4" t="s">
        <v>74</v>
      </c>
      <c r="O80" s="5" t="s">
        <v>75</v>
      </c>
      <c r="P80" s="4" t="s">
        <v>76</v>
      </c>
      <c r="Q80" s="4" t="s">
        <v>77</v>
      </c>
      <c r="R80" s="4" t="s">
        <v>78</v>
      </c>
      <c r="S80" s="4" t="s">
        <v>79</v>
      </c>
      <c r="T80" s="4" t="s">
        <v>80</v>
      </c>
      <c r="U80" s="4" t="s">
        <v>82</v>
      </c>
      <c r="V80" s="5" t="s">
        <v>83</v>
      </c>
      <c r="W80" s="4" t="s">
        <v>84</v>
      </c>
      <c r="X80" s="4" t="s">
        <v>85</v>
      </c>
      <c r="Y80" s="4" t="s">
        <v>86</v>
      </c>
      <c r="Z80" s="4" t="s">
        <v>87</v>
      </c>
      <c r="AA80" s="4" t="s">
        <v>88</v>
      </c>
      <c r="AB80" s="4" t="s">
        <v>89</v>
      </c>
    </row>
  </sheetData>
  <mergeCells count="7">
    <mergeCell ref="A1:H2"/>
    <mergeCell ref="I1:P2"/>
    <mergeCell ref="Q1:X2"/>
    <mergeCell ref="Y1:AE2"/>
    <mergeCell ref="E52:F53"/>
    <mergeCell ref="A46:A50"/>
    <mergeCell ref="A42:A44"/>
  </mergeCells>
  <phoneticPr fontId="2"/>
  <conditionalFormatting sqref="A12:AE12">
    <cfRule type="cellIs" dxfId="10" priority="2" operator="equal">
      <formula>0</formula>
    </cfRule>
  </conditionalFormatting>
  <conditionalFormatting sqref="A10:XFD10">
    <cfRule type="cellIs" dxfId="9" priority="3" operator="equal">
      <formula>0</formula>
    </cfRule>
  </conditionalFormatting>
  <conditionalFormatting sqref="A13:XFD13">
    <cfRule type="cellIs" dxfId="8" priority="1" operator="equal">
      <formula>0</formula>
    </cfRule>
  </conditionalFormatting>
  <conditionalFormatting sqref="B12:N12">
    <cfRule type="cellIs" dxfId="7" priority="36" operator="equal">
      <formula>0</formula>
    </cfRule>
  </conditionalFormatting>
  <conditionalFormatting sqref="B5:AE6">
    <cfRule type="cellIs" dxfId="6" priority="10" operator="equal">
      <formula>0</formula>
    </cfRule>
  </conditionalFormatting>
  <conditionalFormatting sqref="B8:AE10">
    <cfRule type="cellIs" dxfId="5" priority="11" operator="equal">
      <formula>0</formula>
    </cfRule>
  </conditionalFormatting>
  <conditionalFormatting sqref="B13:AE13">
    <cfRule type="cellIs" dxfId="4" priority="37" operator="equal">
      <formula>0</formula>
    </cfRule>
  </conditionalFormatting>
  <conditionalFormatting sqref="B15:AE43">
    <cfRule type="cellIs" dxfId="3" priority="14" operator="equal">
      <formula>0</formula>
    </cfRule>
  </conditionalFormatting>
  <conditionalFormatting sqref="O12:AE13">
    <cfRule type="cellIs" dxfId="2" priority="12" operator="equal">
      <formula>0</formula>
    </cfRule>
  </conditionalFormatting>
  <printOptions horizontalCentered="1" verticalCentered="1"/>
  <pageMargins left="0" right="0" top="0.19685039370078741" bottom="0" header="0.31496062992125984" footer="0.31496062992125984"/>
  <pageSetup paperSize="9" scale="107"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zoomScale="70" zoomScaleNormal="100" zoomScaleSheetLayoutView="70" workbookViewId="0">
      <selection activeCell="O19" sqref="O19"/>
    </sheetView>
  </sheetViews>
  <sheetFormatPr defaultColWidth="8.625" defaultRowHeight="15.95" customHeight="1"/>
  <cols>
    <col min="1" max="1" width="4.125" style="634" customWidth="1"/>
    <col min="2" max="2" width="11.625" style="634" customWidth="1"/>
    <col min="3" max="3" width="8.25" style="634" bestFit="1" customWidth="1"/>
    <col min="4" max="4" width="18.125" style="634" customWidth="1"/>
    <col min="5" max="5" width="9.625" style="634" bestFit="1" customWidth="1"/>
    <col min="6" max="6" width="18.125" style="634" customWidth="1"/>
    <col min="7" max="7" width="2.875" style="634" bestFit="1" customWidth="1"/>
    <col min="8" max="8" width="4.125" style="634" customWidth="1"/>
    <col min="9" max="9" width="11.625" style="634" customWidth="1"/>
    <col min="10" max="10" width="8.25" style="634" bestFit="1" customWidth="1"/>
    <col min="11" max="11" width="18.125" style="634" customWidth="1"/>
    <col min="12" max="12" width="9.625" style="634" bestFit="1" customWidth="1"/>
    <col min="13" max="13" width="18.125" style="634" customWidth="1"/>
    <col min="14" max="16384" width="8.625" style="634"/>
  </cols>
  <sheetData>
    <row r="1" spans="1:13" ht="15.95" customHeight="1">
      <c r="A1" s="1385" t="s">
        <v>451</v>
      </c>
      <c r="B1" s="1385"/>
      <c r="C1" s="1385"/>
      <c r="D1" s="1385"/>
      <c r="E1" s="1385"/>
      <c r="F1" s="1385"/>
      <c r="G1" s="1385"/>
      <c r="H1" s="1385"/>
      <c r="I1" s="1385"/>
      <c r="J1" s="1385"/>
      <c r="K1" s="1385"/>
      <c r="L1" s="1385"/>
      <c r="M1" s="1385"/>
    </row>
    <row r="2" spans="1:13" ht="15.95" customHeight="1">
      <c r="A2" s="1385"/>
      <c r="B2" s="1385"/>
      <c r="C2" s="1385"/>
      <c r="D2" s="1385"/>
      <c r="E2" s="1385"/>
      <c r="F2" s="1385"/>
      <c r="G2" s="1385"/>
      <c r="H2" s="1385"/>
      <c r="I2" s="1385"/>
      <c r="J2" s="1385"/>
      <c r="K2" s="1385"/>
      <c r="L2" s="1385"/>
      <c r="M2" s="1385"/>
    </row>
    <row r="3" spans="1:13" ht="15.95" customHeight="1" thickBot="1"/>
    <row r="4" spans="1:13" ht="15.95" customHeight="1">
      <c r="A4" s="1380">
        <v>1</v>
      </c>
      <c r="B4" s="1377" t="s">
        <v>432</v>
      </c>
      <c r="C4" s="658" t="s">
        <v>452</v>
      </c>
      <c r="D4" s="659" t="str">
        <f>☆入力!B49</f>
        <v/>
      </c>
      <c r="E4" s="658" t="s">
        <v>176</v>
      </c>
      <c r="F4" s="660">
        <f>☆入力!C49</f>
        <v>0</v>
      </c>
      <c r="G4" s="635"/>
      <c r="H4" s="1380">
        <v>7</v>
      </c>
      <c r="I4" s="1377" t="s">
        <v>432</v>
      </c>
      <c r="J4" s="658" t="s">
        <v>452</v>
      </c>
      <c r="K4" s="659" t="str">
        <f>☆入力!B55</f>
        <v/>
      </c>
      <c r="L4" s="658" t="s">
        <v>176</v>
      </c>
      <c r="M4" s="660">
        <f>☆入力!C55</f>
        <v>0</v>
      </c>
    </row>
    <row r="5" spans="1:13" ht="15.95" customHeight="1">
      <c r="A5" s="1381"/>
      <c r="B5" s="1378"/>
      <c r="C5" s="655" t="s">
        <v>268</v>
      </c>
      <c r="D5" s="656">
        <f>☆入力!D49</f>
        <v>0</v>
      </c>
      <c r="E5" s="655" t="s">
        <v>161</v>
      </c>
      <c r="F5" s="661">
        <f>☆入力!L49</f>
        <v>0</v>
      </c>
      <c r="G5" s="635"/>
      <c r="H5" s="1381"/>
      <c r="I5" s="1378"/>
      <c r="J5" s="655" t="s">
        <v>268</v>
      </c>
      <c r="K5" s="656">
        <f>☆入力!D55</f>
        <v>0</v>
      </c>
      <c r="L5" s="655" t="s">
        <v>161</v>
      </c>
      <c r="M5" s="661">
        <f>☆入力!L55</f>
        <v>0</v>
      </c>
    </row>
    <row r="6" spans="1:13" ht="15.95" customHeight="1">
      <c r="A6" s="1381"/>
      <c r="B6" s="1378"/>
      <c r="C6" s="657" t="s">
        <v>207</v>
      </c>
      <c r="D6" s="1383">
        <f>☆入力!W49</f>
        <v>0</v>
      </c>
      <c r="E6" s="1383"/>
      <c r="F6" s="1384"/>
      <c r="G6" s="635"/>
      <c r="H6" s="1381"/>
      <c r="I6" s="1378"/>
      <c r="J6" s="657" t="s">
        <v>207</v>
      </c>
      <c r="K6" s="1383">
        <f>☆入力!W55</f>
        <v>0</v>
      </c>
      <c r="L6" s="1383"/>
      <c r="M6" s="1384"/>
    </row>
    <row r="7" spans="1:13" ht="15.95" customHeight="1" thickBot="1">
      <c r="A7" s="1382"/>
      <c r="B7" s="1379"/>
      <c r="C7" s="662" t="s">
        <v>208</v>
      </c>
      <c r="D7" s="1373">
        <f>☆入力!AC49</f>
        <v>0</v>
      </c>
      <c r="E7" s="1374"/>
      <c r="F7" s="1375"/>
      <c r="G7" s="635"/>
      <c r="H7" s="1382"/>
      <c r="I7" s="1379"/>
      <c r="J7" s="662" t="s">
        <v>208</v>
      </c>
      <c r="K7" s="1373">
        <f>☆入力!AC55</f>
        <v>0</v>
      </c>
      <c r="L7" s="1374"/>
      <c r="M7" s="1375"/>
    </row>
    <row r="8" spans="1:13" ht="15.95" customHeight="1">
      <c r="A8" s="1380">
        <v>2</v>
      </c>
      <c r="B8" s="1377" t="s">
        <v>432</v>
      </c>
      <c r="C8" s="658" t="s">
        <v>452</v>
      </c>
      <c r="D8" s="659" t="str">
        <f>☆入力!B50</f>
        <v/>
      </c>
      <c r="E8" s="658" t="s">
        <v>176</v>
      </c>
      <c r="F8" s="660">
        <f>☆入力!C50</f>
        <v>0</v>
      </c>
      <c r="G8" s="635"/>
      <c r="H8" s="1380">
        <v>8</v>
      </c>
      <c r="I8" s="1377" t="s">
        <v>432</v>
      </c>
      <c r="J8" s="658" t="s">
        <v>452</v>
      </c>
      <c r="K8" s="659" t="str">
        <f>☆入力!B56</f>
        <v/>
      </c>
      <c r="L8" s="658" t="s">
        <v>176</v>
      </c>
      <c r="M8" s="660">
        <f>☆入力!C56</f>
        <v>0</v>
      </c>
    </row>
    <row r="9" spans="1:13" ht="15.95" customHeight="1">
      <c r="A9" s="1381"/>
      <c r="B9" s="1378"/>
      <c r="C9" s="655" t="s">
        <v>268</v>
      </c>
      <c r="D9" s="656">
        <f>☆入力!D50</f>
        <v>0</v>
      </c>
      <c r="E9" s="655" t="s">
        <v>161</v>
      </c>
      <c r="F9" s="661">
        <f>☆入力!L50</f>
        <v>0</v>
      </c>
      <c r="G9" s="635"/>
      <c r="H9" s="1381"/>
      <c r="I9" s="1378"/>
      <c r="J9" s="655" t="s">
        <v>268</v>
      </c>
      <c r="K9" s="656">
        <f>☆入力!D56</f>
        <v>0</v>
      </c>
      <c r="L9" s="655" t="s">
        <v>161</v>
      </c>
      <c r="M9" s="661">
        <f>☆入力!L56</f>
        <v>0</v>
      </c>
    </row>
    <row r="10" spans="1:13" ht="15.95" customHeight="1">
      <c r="A10" s="1381"/>
      <c r="B10" s="1378"/>
      <c r="C10" s="657" t="s">
        <v>207</v>
      </c>
      <c r="D10" s="1383">
        <f>☆入力!W50</f>
        <v>0</v>
      </c>
      <c r="E10" s="1383"/>
      <c r="F10" s="1384"/>
      <c r="G10" s="635"/>
      <c r="H10" s="1381"/>
      <c r="I10" s="1378"/>
      <c r="J10" s="657" t="s">
        <v>207</v>
      </c>
      <c r="K10" s="1383">
        <f>☆入力!W56</f>
        <v>0</v>
      </c>
      <c r="L10" s="1383"/>
      <c r="M10" s="1384"/>
    </row>
    <row r="11" spans="1:13" ht="15.95" customHeight="1" thickBot="1">
      <c r="A11" s="1382"/>
      <c r="B11" s="1379"/>
      <c r="C11" s="662" t="s">
        <v>208</v>
      </c>
      <c r="D11" s="1373">
        <f>☆入力!AC50</f>
        <v>0</v>
      </c>
      <c r="E11" s="1374"/>
      <c r="F11" s="1375"/>
      <c r="G11" s="635"/>
      <c r="H11" s="1382"/>
      <c r="I11" s="1379"/>
      <c r="J11" s="662" t="s">
        <v>208</v>
      </c>
      <c r="K11" s="1373">
        <f>☆入力!AC56</f>
        <v>0</v>
      </c>
      <c r="L11" s="1374"/>
      <c r="M11" s="1375"/>
    </row>
    <row r="12" spans="1:13" ht="15.95" customHeight="1">
      <c r="A12" s="1380">
        <v>3</v>
      </c>
      <c r="B12" s="1377" t="s">
        <v>432</v>
      </c>
      <c r="C12" s="658" t="s">
        <v>452</v>
      </c>
      <c r="D12" s="659" t="str">
        <f>☆入力!B51</f>
        <v/>
      </c>
      <c r="E12" s="658" t="s">
        <v>176</v>
      </c>
      <c r="F12" s="660">
        <f>☆入力!C51</f>
        <v>0</v>
      </c>
      <c r="G12" s="635"/>
      <c r="H12" s="1380">
        <v>9</v>
      </c>
      <c r="I12" s="1377" t="s">
        <v>432</v>
      </c>
      <c r="J12" s="658" t="s">
        <v>452</v>
      </c>
      <c r="K12" s="659" t="str">
        <f>☆入力!B57</f>
        <v/>
      </c>
      <c r="L12" s="658" t="s">
        <v>176</v>
      </c>
      <c r="M12" s="660">
        <f>☆入力!C57</f>
        <v>0</v>
      </c>
    </row>
    <row r="13" spans="1:13" ht="15.95" customHeight="1">
      <c r="A13" s="1381"/>
      <c r="B13" s="1378"/>
      <c r="C13" s="655" t="s">
        <v>268</v>
      </c>
      <c r="D13" s="656">
        <f>☆入力!D51</f>
        <v>0</v>
      </c>
      <c r="E13" s="655" t="s">
        <v>161</v>
      </c>
      <c r="F13" s="661">
        <f>☆入力!L51</f>
        <v>0</v>
      </c>
      <c r="G13" s="635"/>
      <c r="H13" s="1381"/>
      <c r="I13" s="1378"/>
      <c r="J13" s="655" t="s">
        <v>268</v>
      </c>
      <c r="K13" s="656">
        <f>☆入力!D57</f>
        <v>0</v>
      </c>
      <c r="L13" s="655" t="s">
        <v>161</v>
      </c>
      <c r="M13" s="661">
        <f>☆入力!L57</f>
        <v>0</v>
      </c>
    </row>
    <row r="14" spans="1:13" ht="15.95" customHeight="1">
      <c r="A14" s="1381"/>
      <c r="B14" s="1378"/>
      <c r="C14" s="657" t="s">
        <v>207</v>
      </c>
      <c r="D14" s="1383">
        <f>☆入力!W51</f>
        <v>0</v>
      </c>
      <c r="E14" s="1383"/>
      <c r="F14" s="1384"/>
      <c r="G14" s="635"/>
      <c r="H14" s="1381"/>
      <c r="I14" s="1378"/>
      <c r="J14" s="657" t="s">
        <v>207</v>
      </c>
      <c r="K14" s="1383">
        <f>☆入力!W57</f>
        <v>0</v>
      </c>
      <c r="L14" s="1383"/>
      <c r="M14" s="1384"/>
    </row>
    <row r="15" spans="1:13" ht="15.95" customHeight="1" thickBot="1">
      <c r="A15" s="1382"/>
      <c r="B15" s="1379"/>
      <c r="C15" s="662" t="s">
        <v>208</v>
      </c>
      <c r="D15" s="1373">
        <f>☆入力!AC51</f>
        <v>0</v>
      </c>
      <c r="E15" s="1374"/>
      <c r="F15" s="1375"/>
      <c r="G15" s="635"/>
      <c r="H15" s="1382"/>
      <c r="I15" s="1379"/>
      <c r="J15" s="662" t="s">
        <v>208</v>
      </c>
      <c r="K15" s="1373">
        <f>☆入力!AC57</f>
        <v>0</v>
      </c>
      <c r="L15" s="1374"/>
      <c r="M15" s="1375"/>
    </row>
    <row r="16" spans="1:13" ht="15.95" customHeight="1">
      <c r="A16" s="1380">
        <v>4</v>
      </c>
      <c r="B16" s="1377" t="s">
        <v>432</v>
      </c>
      <c r="C16" s="658" t="s">
        <v>452</v>
      </c>
      <c r="D16" s="659" t="str">
        <f>☆入力!B52</f>
        <v/>
      </c>
      <c r="E16" s="658" t="s">
        <v>176</v>
      </c>
      <c r="F16" s="660">
        <f>☆入力!C52</f>
        <v>0</v>
      </c>
      <c r="G16" s="635"/>
      <c r="H16" s="1380">
        <v>10</v>
      </c>
      <c r="I16" s="1377" t="s">
        <v>432</v>
      </c>
      <c r="J16" s="658" t="s">
        <v>452</v>
      </c>
      <c r="K16" s="659" t="str">
        <f>☆入力!B58</f>
        <v/>
      </c>
      <c r="L16" s="658" t="s">
        <v>176</v>
      </c>
      <c r="M16" s="660">
        <f>☆入力!C58</f>
        <v>0</v>
      </c>
    </row>
    <row r="17" spans="1:13" ht="15.95" customHeight="1">
      <c r="A17" s="1381"/>
      <c r="B17" s="1378"/>
      <c r="C17" s="655" t="s">
        <v>268</v>
      </c>
      <c r="D17" s="656">
        <f>☆入力!D52</f>
        <v>0</v>
      </c>
      <c r="E17" s="655" t="s">
        <v>161</v>
      </c>
      <c r="F17" s="661">
        <f>☆入力!L52</f>
        <v>0</v>
      </c>
      <c r="G17" s="635"/>
      <c r="H17" s="1381"/>
      <c r="I17" s="1378"/>
      <c r="J17" s="655" t="s">
        <v>268</v>
      </c>
      <c r="K17" s="656">
        <f>☆入力!D58</f>
        <v>0</v>
      </c>
      <c r="L17" s="655" t="s">
        <v>161</v>
      </c>
      <c r="M17" s="661">
        <f>☆入力!L58</f>
        <v>0</v>
      </c>
    </row>
    <row r="18" spans="1:13" ht="15.95" customHeight="1">
      <c r="A18" s="1381"/>
      <c r="B18" s="1378"/>
      <c r="C18" s="657" t="s">
        <v>207</v>
      </c>
      <c r="D18" s="1383">
        <f>☆入力!W52</f>
        <v>0</v>
      </c>
      <c r="E18" s="1383"/>
      <c r="F18" s="1384"/>
      <c r="G18" s="635"/>
      <c r="H18" s="1381"/>
      <c r="I18" s="1378"/>
      <c r="J18" s="657" t="s">
        <v>207</v>
      </c>
      <c r="K18" s="1383">
        <f>☆入力!W58</f>
        <v>0</v>
      </c>
      <c r="L18" s="1383"/>
      <c r="M18" s="1384"/>
    </row>
    <row r="19" spans="1:13" ht="15.95" customHeight="1" thickBot="1">
      <c r="A19" s="1382"/>
      <c r="B19" s="1379"/>
      <c r="C19" s="662" t="s">
        <v>208</v>
      </c>
      <c r="D19" s="1373">
        <f>☆入力!AC52</f>
        <v>0</v>
      </c>
      <c r="E19" s="1374"/>
      <c r="F19" s="1375"/>
      <c r="G19" s="635"/>
      <c r="H19" s="1382"/>
      <c r="I19" s="1379"/>
      <c r="J19" s="662" t="s">
        <v>208</v>
      </c>
      <c r="K19" s="1373">
        <f>☆入力!AC58</f>
        <v>0</v>
      </c>
      <c r="L19" s="1374"/>
      <c r="M19" s="1375"/>
    </row>
    <row r="20" spans="1:13" ht="15.95" customHeight="1">
      <c r="A20" s="1380">
        <v>5</v>
      </c>
      <c r="B20" s="1377" t="s">
        <v>432</v>
      </c>
      <c r="C20" s="658" t="s">
        <v>452</v>
      </c>
      <c r="D20" s="659" t="str">
        <f>☆入力!B53</f>
        <v/>
      </c>
      <c r="E20" s="658" t="s">
        <v>176</v>
      </c>
      <c r="F20" s="660">
        <f>☆入力!C53</f>
        <v>0</v>
      </c>
      <c r="G20" s="635"/>
      <c r="H20" s="1380">
        <v>11</v>
      </c>
      <c r="I20" s="1377" t="s">
        <v>432</v>
      </c>
      <c r="J20" s="658" t="s">
        <v>452</v>
      </c>
      <c r="K20" s="659" t="str">
        <f>☆入力!B59</f>
        <v/>
      </c>
      <c r="L20" s="658" t="s">
        <v>176</v>
      </c>
      <c r="M20" s="660">
        <f>☆入力!C59</f>
        <v>0</v>
      </c>
    </row>
    <row r="21" spans="1:13" ht="15.95" customHeight="1">
      <c r="A21" s="1381"/>
      <c r="B21" s="1378"/>
      <c r="C21" s="655" t="s">
        <v>268</v>
      </c>
      <c r="D21" s="656">
        <f>☆入力!D53</f>
        <v>0</v>
      </c>
      <c r="E21" s="655" t="s">
        <v>161</v>
      </c>
      <c r="F21" s="661">
        <f>☆入力!L53</f>
        <v>0</v>
      </c>
      <c r="G21" s="635"/>
      <c r="H21" s="1381"/>
      <c r="I21" s="1378"/>
      <c r="J21" s="655" t="s">
        <v>268</v>
      </c>
      <c r="K21" s="656">
        <f>☆入力!D59</f>
        <v>0</v>
      </c>
      <c r="L21" s="655" t="s">
        <v>161</v>
      </c>
      <c r="M21" s="661">
        <f>☆入力!L59</f>
        <v>0</v>
      </c>
    </row>
    <row r="22" spans="1:13" ht="15.95" customHeight="1">
      <c r="A22" s="1381"/>
      <c r="B22" s="1378"/>
      <c r="C22" s="657" t="s">
        <v>207</v>
      </c>
      <c r="D22" s="1383">
        <f>☆入力!W53</f>
        <v>0</v>
      </c>
      <c r="E22" s="1383"/>
      <c r="F22" s="1384"/>
      <c r="G22" s="635"/>
      <c r="H22" s="1381"/>
      <c r="I22" s="1378"/>
      <c r="J22" s="657" t="s">
        <v>207</v>
      </c>
      <c r="K22" s="1383">
        <f>☆入力!W59</f>
        <v>0</v>
      </c>
      <c r="L22" s="1383"/>
      <c r="M22" s="1384"/>
    </row>
    <row r="23" spans="1:13" ht="15.95" customHeight="1" thickBot="1">
      <c r="A23" s="1382"/>
      <c r="B23" s="1379"/>
      <c r="C23" s="662" t="s">
        <v>208</v>
      </c>
      <c r="D23" s="1376">
        <f>☆入力!AC53</f>
        <v>0</v>
      </c>
      <c r="E23" s="1374"/>
      <c r="F23" s="1375"/>
      <c r="G23" s="635"/>
      <c r="H23" s="1382"/>
      <c r="I23" s="1379"/>
      <c r="J23" s="662" t="s">
        <v>208</v>
      </c>
      <c r="K23" s="1373">
        <f>☆入力!AC59</f>
        <v>0</v>
      </c>
      <c r="L23" s="1374"/>
      <c r="M23" s="1375"/>
    </row>
    <row r="24" spans="1:13" ht="15.95" customHeight="1">
      <c r="A24" s="1380">
        <v>6</v>
      </c>
      <c r="B24" s="1377" t="s">
        <v>432</v>
      </c>
      <c r="C24" s="658" t="s">
        <v>452</v>
      </c>
      <c r="D24" s="659" t="str">
        <f>☆入力!B54</f>
        <v/>
      </c>
      <c r="E24" s="658" t="s">
        <v>176</v>
      </c>
      <c r="F24" s="660">
        <f>☆入力!C54</f>
        <v>0</v>
      </c>
      <c r="G24" s="635"/>
      <c r="H24" s="1380">
        <v>12</v>
      </c>
      <c r="I24" s="1377" t="s">
        <v>432</v>
      </c>
      <c r="J24" s="658" t="s">
        <v>452</v>
      </c>
      <c r="K24" s="659" t="str">
        <f>☆入力!B60</f>
        <v/>
      </c>
      <c r="L24" s="658" t="s">
        <v>176</v>
      </c>
      <c r="M24" s="660">
        <f>☆入力!C60</f>
        <v>0</v>
      </c>
    </row>
    <row r="25" spans="1:13" ht="15.95" customHeight="1">
      <c r="A25" s="1381"/>
      <c r="B25" s="1378"/>
      <c r="C25" s="655" t="s">
        <v>268</v>
      </c>
      <c r="D25" s="656">
        <f>☆入力!D54</f>
        <v>0</v>
      </c>
      <c r="E25" s="655" t="s">
        <v>161</v>
      </c>
      <c r="F25" s="661">
        <f>☆入力!L54</f>
        <v>0</v>
      </c>
      <c r="G25" s="635"/>
      <c r="H25" s="1381"/>
      <c r="I25" s="1378"/>
      <c r="J25" s="655" t="s">
        <v>268</v>
      </c>
      <c r="K25" s="656">
        <f>☆入力!D60</f>
        <v>0</v>
      </c>
      <c r="L25" s="655" t="s">
        <v>161</v>
      </c>
      <c r="M25" s="661">
        <f>☆入力!L60</f>
        <v>0</v>
      </c>
    </row>
    <row r="26" spans="1:13" ht="15.95" customHeight="1">
      <c r="A26" s="1381"/>
      <c r="B26" s="1378"/>
      <c r="C26" s="657" t="s">
        <v>207</v>
      </c>
      <c r="D26" s="1383">
        <f>☆入力!W54</f>
        <v>0</v>
      </c>
      <c r="E26" s="1383"/>
      <c r="F26" s="1384"/>
      <c r="G26" s="635"/>
      <c r="H26" s="1381"/>
      <c r="I26" s="1378"/>
      <c r="J26" s="657" t="s">
        <v>207</v>
      </c>
      <c r="K26" s="1383">
        <f>☆入力!W60</f>
        <v>0</v>
      </c>
      <c r="L26" s="1383"/>
      <c r="M26" s="1384"/>
    </row>
    <row r="27" spans="1:13" ht="15.95" customHeight="1" thickBot="1">
      <c r="A27" s="1382"/>
      <c r="B27" s="1379"/>
      <c r="C27" s="662" t="s">
        <v>208</v>
      </c>
      <c r="D27" s="1376">
        <f>☆入力!AC54</f>
        <v>0</v>
      </c>
      <c r="E27" s="1374"/>
      <c r="F27" s="1375"/>
      <c r="G27" s="635"/>
      <c r="H27" s="1382"/>
      <c r="I27" s="1379"/>
      <c r="J27" s="662" t="s">
        <v>208</v>
      </c>
      <c r="K27" s="1373">
        <f>☆入力!AC60</f>
        <v>0</v>
      </c>
      <c r="L27" s="1374"/>
      <c r="M27" s="1375"/>
    </row>
    <row r="28" spans="1:13" ht="15.95" customHeight="1">
      <c r="A28" s="635"/>
      <c r="B28" s="638"/>
      <c r="C28" s="637"/>
      <c r="D28" s="635"/>
      <c r="E28" s="637"/>
      <c r="F28" s="635"/>
      <c r="G28" s="635"/>
      <c r="H28" s="635"/>
      <c r="I28" s="638"/>
      <c r="J28" s="637"/>
      <c r="K28" s="635"/>
      <c r="L28" s="637"/>
      <c r="M28" s="635"/>
    </row>
    <row r="29" spans="1:13" s="3" customFormat="1" ht="15.95" customHeight="1" thickBot="1">
      <c r="A29" s="663" t="s">
        <v>453</v>
      </c>
      <c r="B29" s="651"/>
      <c r="C29" s="651"/>
      <c r="D29" s="652"/>
      <c r="E29" s="652"/>
      <c r="F29" s="652"/>
      <c r="G29" s="82"/>
      <c r="H29" s="82"/>
      <c r="I29" s="653"/>
      <c r="J29" s="654"/>
      <c r="K29" s="652"/>
      <c r="L29" s="652"/>
      <c r="M29" s="652"/>
    </row>
    <row r="30" spans="1:13" ht="15.95" customHeight="1" thickTop="1">
      <c r="A30" s="371"/>
      <c r="B30" s="371"/>
      <c r="C30" s="371"/>
      <c r="D30" s="635"/>
      <c r="E30" s="637"/>
      <c r="F30" s="635"/>
      <c r="G30" s="635"/>
      <c r="H30" s="635"/>
      <c r="I30" s="638"/>
      <c r="J30" s="637"/>
      <c r="K30" s="635"/>
      <c r="L30" s="637"/>
      <c r="M30" s="635"/>
    </row>
    <row r="31" spans="1:13" s="646" customFormat="1" ht="15.95" customHeight="1" thickTop="1">
      <c r="A31" s="649"/>
      <c r="B31" s="649" t="s">
        <v>259</v>
      </c>
      <c r="C31" s="649"/>
      <c r="D31" s="643"/>
      <c r="E31" s="645"/>
      <c r="F31" s="643"/>
      <c r="G31" s="643"/>
      <c r="H31" s="643"/>
      <c r="I31" s="644"/>
      <c r="J31" s="645"/>
      <c r="K31" s="643"/>
      <c r="L31" s="645"/>
      <c r="M31" s="643"/>
    </row>
    <row r="32" spans="1:13" s="646" customFormat="1" ht="15.95" customHeight="1">
      <c r="A32" s="649"/>
      <c r="B32" s="649" t="s">
        <v>260</v>
      </c>
      <c r="C32" s="649"/>
      <c r="D32" s="647"/>
      <c r="E32" s="647"/>
      <c r="F32" s="647"/>
      <c r="G32" s="643"/>
      <c r="H32" s="643"/>
      <c r="I32" s="644"/>
      <c r="J32" s="648"/>
      <c r="K32" s="647"/>
      <c r="L32" s="647"/>
      <c r="M32" s="647"/>
    </row>
    <row r="33" spans="1:8" ht="15.95" customHeight="1">
      <c r="A33" s="650"/>
      <c r="B33" s="1372" t="s">
        <v>261</v>
      </c>
      <c r="C33" s="1372"/>
      <c r="D33" s="1372"/>
      <c r="E33" s="1372"/>
      <c r="F33" s="1372"/>
      <c r="G33" s="1372"/>
      <c r="H33" s="1372"/>
    </row>
    <row r="34" spans="1:8" ht="15.95" customHeight="1">
      <c r="A34" s="636"/>
      <c r="B34" s="1372"/>
      <c r="C34" s="1372"/>
      <c r="D34" s="1372"/>
      <c r="E34" s="1372"/>
      <c r="F34" s="1372"/>
      <c r="G34" s="1372"/>
      <c r="H34" s="1372"/>
    </row>
  </sheetData>
  <mergeCells count="50">
    <mergeCell ref="D6:F6"/>
    <mergeCell ref="D10:F10"/>
    <mergeCell ref="D7:F7"/>
    <mergeCell ref="A20:A23"/>
    <mergeCell ref="B20:B23"/>
    <mergeCell ref="A24:A27"/>
    <mergeCell ref="B24:B27"/>
    <mergeCell ref="D14:F14"/>
    <mergeCell ref="D18:F18"/>
    <mergeCell ref="A16:A19"/>
    <mergeCell ref="B16:B19"/>
    <mergeCell ref="I8:I11"/>
    <mergeCell ref="H12:H15"/>
    <mergeCell ref="I12:I15"/>
    <mergeCell ref="H16:H19"/>
    <mergeCell ref="D22:F22"/>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K27:M27"/>
    <mergeCell ref="D23:F23"/>
    <mergeCell ref="I16:I19"/>
    <mergeCell ref="H20:H23"/>
    <mergeCell ref="I20:I23"/>
    <mergeCell ref="H24:H27"/>
    <mergeCell ref="I24:I27"/>
    <mergeCell ref="D26:F26"/>
    <mergeCell ref="K7:M7"/>
    <mergeCell ref="K11:M11"/>
    <mergeCell ref="K15:M15"/>
    <mergeCell ref="K19:M19"/>
    <mergeCell ref="K23:M23"/>
    <mergeCell ref="B33:H34"/>
    <mergeCell ref="D11:F11"/>
    <mergeCell ref="D15:F15"/>
    <mergeCell ref="D19:F19"/>
    <mergeCell ref="D27:F27"/>
  </mergeCells>
  <phoneticPr fontId="2"/>
  <conditionalFormatting sqref="A4:M27">
    <cfRule type="cellIs" dxfId="1" priority="2" operator="equal">
      <formula>0</formula>
    </cfRule>
  </conditionalFormatting>
  <conditionalFormatting sqref="D6:F7 K6:M7 D10:F11 K10:M11 D14:F15 K14:M15 D18:F19 K18:M19 D22:F23 K22:M23 D26:F27 K26:M27">
    <cfRule type="cellIs" dxfId="0" priority="1" operator="equal">
      <formula>0</formula>
    </cfRule>
  </conditionalFormatting>
  <pageMargins left="0.25" right="0.25" top="0.75" bottom="0.75" header="0.3" footer="0.3"/>
  <pageSetup paperSize="9" scale="87" orientation="landscape" r:id="rId1"/>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3"/>
  <sheetViews>
    <sheetView topLeftCell="C1" zoomScale="80" zoomScaleNormal="80" workbookViewId="0">
      <selection activeCell="N2" sqref="N2"/>
    </sheetView>
  </sheetViews>
  <sheetFormatPr defaultColWidth="8.625" defaultRowHeight="16.5" customHeight="1"/>
  <cols>
    <col min="1" max="1" width="5.125" style="223" customWidth="1"/>
    <col min="2" max="11" width="10.625" style="223" customWidth="1"/>
    <col min="12" max="16384" width="8.625" style="223"/>
  </cols>
  <sheetData>
    <row r="1" spans="1:18" ht="16.5" customHeight="1" thickBot="1"/>
    <row r="2" spans="1:18" ht="16.5" customHeight="1" thickBot="1">
      <c r="A2" s="247"/>
      <c r="H2" s="249" t="s">
        <v>454</v>
      </c>
      <c r="I2" s="246"/>
      <c r="J2" s="248" t="s">
        <v>455</v>
      </c>
      <c r="K2" s="245"/>
    </row>
    <row r="3" spans="1:18" ht="16.5" customHeight="1">
      <c r="B3" s="1394" t="s">
        <v>456</v>
      </c>
      <c r="C3" s="1394"/>
      <c r="D3" s="224">
        <f ca="1">☆入力!AL14*(100%-☆入力!AR11)</f>
        <v>0</v>
      </c>
      <c r="M3" s="348" t="s">
        <v>457</v>
      </c>
      <c r="N3" s="707" t="s">
        <v>458</v>
      </c>
      <c r="O3" s="514"/>
      <c r="P3" s="514"/>
      <c r="Q3" s="514"/>
      <c r="R3" s="515"/>
    </row>
    <row r="4" spans="1:18" ht="16.5" customHeight="1" thickBot="1">
      <c r="B4" s="225"/>
      <c r="C4" s="225"/>
      <c r="D4" s="225"/>
      <c r="M4" s="349" t="s">
        <v>459</v>
      </c>
      <c r="N4" s="708" t="s">
        <v>460</v>
      </c>
      <c r="O4" s="516"/>
      <c r="P4" s="516"/>
      <c r="Q4" s="516"/>
      <c r="R4" s="517"/>
    </row>
    <row r="5" spans="1:18" ht="16.5" customHeight="1" thickBot="1">
      <c r="B5" s="1394" t="s">
        <v>461</v>
      </c>
      <c r="C5" s="1395"/>
      <c r="D5" s="229">
        <v>0</v>
      </c>
      <c r="E5" s="223" t="s">
        <v>462</v>
      </c>
      <c r="M5" s="349" t="s">
        <v>463</v>
      </c>
      <c r="N5" s="708" t="s">
        <v>464</v>
      </c>
      <c r="O5" s="516"/>
      <c r="P5" s="516"/>
      <c r="Q5" s="516"/>
      <c r="R5" s="517"/>
    </row>
    <row r="6" spans="1:18" ht="16.5" customHeight="1">
      <c r="C6" s="225"/>
      <c r="D6" s="225"/>
      <c r="F6" s="226"/>
      <c r="K6" s="226"/>
      <c r="M6" s="349" t="s">
        <v>465</v>
      </c>
      <c r="N6" s="708" t="s">
        <v>466</v>
      </c>
      <c r="O6" s="516"/>
      <c r="P6" s="516"/>
      <c r="Q6" s="516"/>
      <c r="R6" s="517"/>
    </row>
    <row r="7" spans="1:18" ht="16.5" customHeight="1" thickBot="1">
      <c r="C7" s="225"/>
      <c r="D7" s="225"/>
      <c r="K7" s="226"/>
      <c r="M7" s="350" t="s">
        <v>467</v>
      </c>
      <c r="N7" s="1391"/>
      <c r="O7" s="1392"/>
      <c r="P7" s="1392"/>
      <c r="Q7" s="1392"/>
      <c r="R7" s="1393"/>
    </row>
    <row r="8" spans="1:18" ht="16.5" customHeight="1" thickBot="1">
      <c r="B8" s="1396" t="s">
        <v>468</v>
      </c>
      <c r="C8" s="1397"/>
      <c r="D8" s="244">
        <v>2500</v>
      </c>
      <c r="K8" s="226"/>
    </row>
    <row r="9" spans="1:18" ht="16.5" customHeight="1">
      <c r="B9" s="223" t="s">
        <v>469</v>
      </c>
      <c r="C9" s="225"/>
      <c r="D9" s="225"/>
    </row>
    <row r="10" spans="1:18" ht="16.5" customHeight="1">
      <c r="D10" s="225"/>
    </row>
    <row r="11" spans="1:18" ht="16.5" customHeight="1">
      <c r="F11" s="227" t="s">
        <v>470</v>
      </c>
    </row>
    <row r="12" spans="1:18" ht="16.5" customHeight="1">
      <c r="B12" s="228" t="s">
        <v>471</v>
      </c>
      <c r="C12" s="251">
        <f ca="1">D3+D5</f>
        <v>0</v>
      </c>
      <c r="D12" s="485" t="s">
        <v>472</v>
      </c>
      <c r="E12" s="252" t="str">
        <f ca="1">IFERROR(C12/☆入力!AH14,"0")</f>
        <v>0</v>
      </c>
      <c r="F12" s="485" t="s">
        <v>473</v>
      </c>
      <c r="G12" s="253" t="str">
        <f ca="1">☆入力!AN12</f>
        <v>0</v>
      </c>
    </row>
    <row r="14" spans="1:18" ht="16.5" customHeight="1">
      <c r="B14" s="223" t="s">
        <v>442</v>
      </c>
    </row>
    <row r="15" spans="1:18" ht="16.5" customHeight="1">
      <c r="B15" s="1398"/>
      <c r="C15" s="1399"/>
      <c r="D15" s="1399"/>
      <c r="E15" s="1399"/>
      <c r="F15" s="1399"/>
      <c r="G15" s="1399"/>
      <c r="H15" s="1399"/>
      <c r="I15" s="1399"/>
      <c r="J15" s="1399"/>
      <c r="K15" s="1400"/>
    </row>
    <row r="16" spans="1:18" ht="16.5" customHeight="1">
      <c r="B16" s="1401"/>
      <c r="C16" s="1402"/>
      <c r="D16" s="1402"/>
      <c r="E16" s="1402"/>
      <c r="F16" s="1402"/>
      <c r="G16" s="1402"/>
      <c r="H16" s="1402"/>
      <c r="I16" s="1402"/>
      <c r="J16" s="1402"/>
      <c r="K16" s="1403"/>
    </row>
    <row r="17" spans="2:11" ht="16.5" customHeight="1">
      <c r="B17" s="1401"/>
      <c r="C17" s="1402"/>
      <c r="D17" s="1402"/>
      <c r="E17" s="1402"/>
      <c r="F17" s="1402"/>
      <c r="G17" s="1402"/>
      <c r="H17" s="1402"/>
      <c r="I17" s="1402"/>
      <c r="J17" s="1402"/>
      <c r="K17" s="1403"/>
    </row>
    <row r="18" spans="2:11" ht="16.5" customHeight="1">
      <c r="B18" s="1401"/>
      <c r="C18" s="1402"/>
      <c r="D18" s="1402"/>
      <c r="E18" s="1402"/>
      <c r="F18" s="1402"/>
      <c r="G18" s="1402"/>
      <c r="H18" s="1402"/>
      <c r="I18" s="1402"/>
      <c r="J18" s="1402"/>
      <c r="K18" s="1403"/>
    </row>
    <row r="19" spans="2:11" ht="16.5" customHeight="1">
      <c r="B19" s="1401"/>
      <c r="C19" s="1402"/>
      <c r="D19" s="1402"/>
      <c r="E19" s="1402"/>
      <c r="F19" s="1402"/>
      <c r="G19" s="1402"/>
      <c r="H19" s="1402"/>
      <c r="I19" s="1402"/>
      <c r="J19" s="1402"/>
      <c r="K19" s="1403"/>
    </row>
    <row r="20" spans="2:11" ht="16.5" customHeight="1">
      <c r="B20" s="1404"/>
      <c r="C20" s="1405"/>
      <c r="D20" s="1405"/>
      <c r="E20" s="1405"/>
      <c r="F20" s="1405"/>
      <c r="G20" s="1405"/>
      <c r="H20" s="1405"/>
      <c r="I20" s="1405"/>
      <c r="J20" s="1405"/>
      <c r="K20" s="1406"/>
    </row>
    <row r="24" spans="2:11" ht="16.5" customHeight="1">
      <c r="B24" s="243" t="s">
        <v>474</v>
      </c>
      <c r="C24" s="242" t="s">
        <v>475</v>
      </c>
    </row>
    <row r="25" spans="2:11" ht="16.5" customHeight="1">
      <c r="B25" s="236" t="s">
        <v>476</v>
      </c>
      <c r="C25" s="1424" t="s">
        <v>477</v>
      </c>
      <c r="D25" s="1424"/>
      <c r="E25" s="1424"/>
      <c r="F25" s="1424"/>
      <c r="G25" s="1424"/>
      <c r="H25" s="1424"/>
      <c r="I25" s="1424"/>
      <c r="J25" s="1424"/>
      <c r="K25" s="1425"/>
    </row>
    <row r="26" spans="2:11" ht="16.5" customHeight="1">
      <c r="B26" s="237" t="s">
        <v>478</v>
      </c>
      <c r="C26" s="1426" t="s">
        <v>479</v>
      </c>
      <c r="D26" s="1426"/>
      <c r="E26" s="1426"/>
      <c r="F26" s="1426"/>
      <c r="G26" s="1426"/>
      <c r="H26" s="1426"/>
      <c r="I26" s="1426"/>
      <c r="J26" s="1426"/>
      <c r="K26" s="1427"/>
    </row>
    <row r="27" spans="2:11" ht="16.5" customHeight="1">
      <c r="B27" s="237" t="s">
        <v>480</v>
      </c>
      <c r="C27" s="1426" t="s">
        <v>481</v>
      </c>
      <c r="D27" s="1426"/>
      <c r="E27" s="1426"/>
      <c r="F27" s="1426"/>
      <c r="G27" s="1426"/>
      <c r="H27" s="1426"/>
      <c r="I27" s="1426"/>
      <c r="J27" s="1426"/>
      <c r="K27" s="1427"/>
    </row>
    <row r="28" spans="2:11" ht="16.5" customHeight="1">
      <c r="B28" s="238" t="s">
        <v>482</v>
      </c>
      <c r="C28" s="1428" t="s">
        <v>483</v>
      </c>
      <c r="D28" s="1428"/>
      <c r="E28" s="1428"/>
      <c r="F28" s="1428"/>
      <c r="G28" s="1428"/>
      <c r="H28" s="1428"/>
      <c r="I28" s="1428"/>
      <c r="J28" s="1428"/>
      <c r="K28" s="1429"/>
    </row>
    <row r="29" spans="2:11" ht="16.5" customHeight="1">
      <c r="B29" s="234"/>
      <c r="C29" s="1390"/>
      <c r="D29" s="1390"/>
      <c r="E29" s="1390"/>
      <c r="F29" s="1390"/>
      <c r="G29" s="1390"/>
      <c r="H29" s="1390"/>
      <c r="I29" s="1390"/>
      <c r="J29" s="1390"/>
      <c r="K29" s="1390"/>
    </row>
    <row r="30" spans="2:11" ht="16.5" customHeight="1">
      <c r="B30" s="239" t="s">
        <v>484</v>
      </c>
      <c r="C30" s="1424" t="s">
        <v>485</v>
      </c>
      <c r="D30" s="1424"/>
      <c r="E30" s="1424"/>
      <c r="F30" s="1424"/>
      <c r="G30" s="1424"/>
      <c r="H30" s="1424"/>
      <c r="I30" s="1424"/>
      <c r="J30" s="1424"/>
      <c r="K30" s="1425"/>
    </row>
    <row r="31" spans="2:11" ht="16.5" customHeight="1">
      <c r="B31" s="486" t="s">
        <v>486</v>
      </c>
      <c r="C31" s="1426" t="s">
        <v>487</v>
      </c>
      <c r="D31" s="1426"/>
      <c r="E31" s="1426"/>
      <c r="F31" s="1426"/>
      <c r="G31" s="1426"/>
      <c r="H31" s="1426"/>
      <c r="I31" s="1426"/>
      <c r="J31" s="1426"/>
      <c r="K31" s="1427"/>
    </row>
    <row r="32" spans="2:11" ht="16.5" customHeight="1">
      <c r="B32" s="486" t="s">
        <v>488</v>
      </c>
      <c r="C32" s="1426" t="s">
        <v>489</v>
      </c>
      <c r="D32" s="1426"/>
      <c r="E32" s="1426"/>
      <c r="F32" s="1426"/>
      <c r="G32" s="1426"/>
      <c r="H32" s="1426"/>
      <c r="I32" s="1426"/>
      <c r="J32" s="1426"/>
      <c r="K32" s="1427"/>
    </row>
    <row r="33" spans="2:11" ht="16.5" customHeight="1">
      <c r="B33" s="1430" t="s">
        <v>490</v>
      </c>
      <c r="C33" s="1426" t="s">
        <v>491</v>
      </c>
      <c r="D33" s="1426"/>
      <c r="E33" s="1426"/>
      <c r="F33" s="1426"/>
      <c r="G33" s="1426"/>
      <c r="H33" s="1426"/>
      <c r="I33" s="1426"/>
      <c r="J33" s="1426"/>
      <c r="K33" s="1427"/>
    </row>
    <row r="34" spans="2:11" ht="16.5" customHeight="1">
      <c r="B34" s="1430"/>
      <c r="C34" s="1426" t="s">
        <v>492</v>
      </c>
      <c r="D34" s="1426"/>
      <c r="E34" s="1426"/>
      <c r="F34" s="1426"/>
      <c r="G34" s="1426"/>
      <c r="H34" s="1426"/>
      <c r="I34" s="1426"/>
      <c r="J34" s="1426"/>
      <c r="K34" s="1427"/>
    </row>
    <row r="35" spans="2:11" ht="16.5" customHeight="1">
      <c r="B35" s="254" t="s">
        <v>493</v>
      </c>
      <c r="C35" s="1388" t="s">
        <v>494</v>
      </c>
      <c r="D35" s="1388"/>
      <c r="E35" s="1388"/>
      <c r="F35" s="1388"/>
      <c r="G35" s="1388"/>
      <c r="H35" s="1388"/>
      <c r="I35" s="1388"/>
      <c r="J35" s="1388"/>
      <c r="K35" s="1389"/>
    </row>
    <row r="36" spans="2:11" ht="16.5" customHeight="1">
      <c r="B36" s="234"/>
      <c r="C36" s="1390"/>
      <c r="D36" s="1390"/>
      <c r="E36" s="1390"/>
      <c r="F36" s="1390"/>
      <c r="G36" s="1390"/>
      <c r="H36" s="1390"/>
      <c r="I36" s="1390"/>
      <c r="J36" s="1390"/>
      <c r="K36" s="1390"/>
    </row>
    <row r="37" spans="2:11" ht="16.5" customHeight="1">
      <c r="B37" s="240" t="s">
        <v>495</v>
      </c>
      <c r="C37" s="1424" t="s">
        <v>496</v>
      </c>
      <c r="D37" s="1424"/>
      <c r="E37" s="1424"/>
      <c r="F37" s="1424"/>
      <c r="G37" s="1424"/>
      <c r="H37" s="1424"/>
      <c r="I37" s="1424"/>
      <c r="J37" s="1424"/>
      <c r="K37" s="1425"/>
    </row>
    <row r="38" spans="2:11" ht="16.5" customHeight="1">
      <c r="B38" s="241" t="s">
        <v>497</v>
      </c>
      <c r="C38" s="1428" t="s">
        <v>498</v>
      </c>
      <c r="D38" s="1428"/>
      <c r="E38" s="1428"/>
      <c r="F38" s="1428"/>
      <c r="G38" s="1428"/>
      <c r="H38" s="1428"/>
      <c r="I38" s="1428"/>
      <c r="J38" s="1428"/>
      <c r="K38" s="1429"/>
    </row>
    <row r="39" spans="2:11" ht="16.5" customHeight="1">
      <c r="B39" s="235"/>
      <c r="C39" s="1390"/>
      <c r="D39" s="1390"/>
      <c r="E39" s="1390"/>
      <c r="F39" s="1390"/>
      <c r="G39" s="1390"/>
      <c r="H39" s="1390"/>
      <c r="I39" s="1390"/>
      <c r="J39" s="1390"/>
      <c r="K39" s="1390"/>
    </row>
    <row r="40" spans="2:11" ht="16.5" customHeight="1">
      <c r="B40" s="240" t="s">
        <v>499</v>
      </c>
      <c r="C40" s="1424" t="s">
        <v>500</v>
      </c>
      <c r="D40" s="1424"/>
      <c r="E40" s="1424"/>
      <c r="F40" s="1424"/>
      <c r="G40" s="1424"/>
      <c r="H40" s="1424"/>
      <c r="I40" s="1424"/>
      <c r="J40" s="1424"/>
      <c r="K40" s="1425"/>
    </row>
    <row r="41" spans="2:11" ht="16.5" customHeight="1">
      <c r="B41" s="241" t="s">
        <v>501</v>
      </c>
      <c r="C41" s="1428" t="s">
        <v>502</v>
      </c>
      <c r="D41" s="1428"/>
      <c r="E41" s="1428"/>
      <c r="F41" s="1428"/>
      <c r="G41" s="1428"/>
      <c r="H41" s="1428"/>
      <c r="I41" s="1428"/>
      <c r="J41" s="1428"/>
      <c r="K41" s="1429"/>
    </row>
    <row r="42" spans="2:11" ht="16.5" customHeight="1">
      <c r="B42" s="233"/>
    </row>
    <row r="43" spans="2:11" ht="16.5" customHeight="1">
      <c r="B43" s="250" t="s">
        <v>503</v>
      </c>
      <c r="C43" s="1386" t="s">
        <v>504</v>
      </c>
      <c r="D43" s="1386"/>
      <c r="E43" s="1386"/>
      <c r="F43" s="1386"/>
      <c r="G43" s="1386"/>
      <c r="H43" s="1386"/>
      <c r="I43" s="1386"/>
      <c r="J43" s="1386"/>
      <c r="K43" s="1387"/>
    </row>
  </sheetData>
  <mergeCells count="29">
    <mergeCell ref="N7:R7"/>
    <mergeCell ref="C41:K41"/>
    <mergeCell ref="C40:K40"/>
    <mergeCell ref="B3:C3"/>
    <mergeCell ref="B5:C5"/>
    <mergeCell ref="B8:C8"/>
    <mergeCell ref="B15:K15"/>
    <mergeCell ref="B16:K16"/>
    <mergeCell ref="B17:K17"/>
    <mergeCell ref="B18:K18"/>
    <mergeCell ref="B19:K19"/>
    <mergeCell ref="B20:K20"/>
    <mergeCell ref="B33:B34"/>
    <mergeCell ref="C43:K43"/>
    <mergeCell ref="C35:K35"/>
    <mergeCell ref="C25:K25"/>
    <mergeCell ref="C26:K26"/>
    <mergeCell ref="C27:K27"/>
    <mergeCell ref="C28:K28"/>
    <mergeCell ref="C29:K29"/>
    <mergeCell ref="C30:K30"/>
    <mergeCell ref="C31:K31"/>
    <mergeCell ref="C32:K32"/>
    <mergeCell ref="C33:K33"/>
    <mergeCell ref="C34:K34"/>
    <mergeCell ref="C36:K36"/>
    <mergeCell ref="C37:K37"/>
    <mergeCell ref="C38:K38"/>
    <mergeCell ref="C39:K39"/>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D4BE3A-B189-4C01-912F-281CB7AE0633}"/>
</file>

<file path=customXml/itemProps2.xml><?xml version="1.0" encoding="utf-8"?>
<ds:datastoreItem xmlns:ds="http://schemas.openxmlformats.org/officeDocument/2006/customXml" ds:itemID="{F6DF3D49-7340-4049-BE9F-F0261872F637}"/>
</file>

<file path=customXml/itemProps3.xml><?xml version="1.0" encoding="utf-8"?>
<ds:datastoreItem xmlns:ds="http://schemas.openxmlformats.org/officeDocument/2006/customXml" ds:itemID="{93EE2F6D-55C2-464F-8487-D6D782174B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森岡 篤生</cp:lastModifiedBy>
  <cp:revision/>
  <dcterms:created xsi:type="dcterms:W3CDTF">2020-04-02T09:42:04Z</dcterms:created>
  <dcterms:modified xsi:type="dcterms:W3CDTF">2026-02-26T04:46:36Z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